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bookViews>
    <workbookView showSheetTabs="0" xWindow="3300" yWindow="45" windowWidth="7680" windowHeight="8970" tabRatio="0" firstSheet="1"/>
  </bookViews>
  <sheets>
    <sheet name="注意" sheetId="38" r:id="rId1"/>
    <sheet name="説明" sheetId="11" r:id="rId2"/>
    <sheet name="メニュー" sheetId="35" r:id="rId3"/>
    <sheet name="大会申込" sheetId="34" r:id="rId4"/>
    <sheet name="前年度登録" sheetId="49" r:id="rId5"/>
    <sheet name="名簿" sheetId="10" r:id="rId6"/>
    <sheet name="国体1次" sheetId="36" r:id="rId7"/>
    <sheet name="リレーカー二バル" sheetId="7" r:id="rId8"/>
    <sheet name="三重陸協記録会" sheetId="50" r:id="rId9"/>
    <sheet name="県選" sheetId="37" r:id="rId10"/>
    <sheet name="ジュニアO" sheetId="21" r:id="rId11"/>
    <sheet name="所属コード" sheetId="5" state="hidden" r:id="rId12"/>
    <sheet name="タスキリレー" sheetId="40" r:id="rId13"/>
    <sheet name="タスキリレーオーダー" sheetId="41" r:id="rId14"/>
    <sheet name="ロードレース" sheetId="25" r:id="rId15"/>
    <sheet name="振込票貼付用紙" sheetId="27" r:id="rId16"/>
    <sheet name="男子一覧表" sheetId="42" r:id="rId17"/>
    <sheet name="男子個票" sheetId="43" r:id="rId18"/>
    <sheet name="女子一覧表" sheetId="44" r:id="rId19"/>
    <sheet name="女子個票" sheetId="45" r:id="rId20"/>
    <sheet name="1" sheetId="30" r:id="rId21"/>
    <sheet name="男子種目コード" sheetId="8" state="hidden" r:id="rId22"/>
    <sheet name="女子種目コード" sheetId="9" state="hidden" r:id="rId23"/>
  </sheets>
  <functionGroups/>
  <definedNames>
    <definedName name="_xlnm._FilterDatabase" localSheetId="20" hidden="1">'1'!$A$1:$D$112</definedName>
    <definedName name="_xlnm._FilterDatabase" localSheetId="10" hidden="1">ジュニアO!$F$6:$AI$6</definedName>
    <definedName name="_xlnm._FilterDatabase" localSheetId="7" hidden="1">リレーカー二バル!$J$6:$AH$6</definedName>
    <definedName name="_xlnm._FilterDatabase" localSheetId="14" hidden="1">ロードレース!$C$6:$AC$6</definedName>
    <definedName name="_xlnm._FilterDatabase" localSheetId="9" hidden="1">県選!$F$6:$AJ$6</definedName>
    <definedName name="_xlnm._FilterDatabase" localSheetId="6" hidden="1">国体1次!$E$6:$AH$6</definedName>
    <definedName name="_xlnm._FilterDatabase" localSheetId="8" hidden="1">三重陸協記録会!$E$6:$AH$6</definedName>
    <definedName name="_xlnm._FilterDatabase" localSheetId="11" hidden="1">所属コード!$B$1:$D$78</definedName>
    <definedName name="_xlnm._FilterDatabase" localSheetId="4" hidden="1">前年度登録!$T$2:$AJ$113</definedName>
    <definedName name="_xlnm._FilterDatabase" localSheetId="5" hidden="1">名簿!$E$2:$U$113</definedName>
    <definedName name="_xlnm.Print_Area" localSheetId="10">ジュニアO!$E$1:$AS$116</definedName>
    <definedName name="_xlnm.Print_Area" localSheetId="12">タスキリレー!$A$1:$Q$77</definedName>
    <definedName name="_xlnm.Print_Area" localSheetId="7">リレーカー二バル!$E$1:$BB$116</definedName>
    <definedName name="_xlnm.Print_Area" localSheetId="14">ロードレース!$B$1:$AI$116</definedName>
    <definedName name="_xlnm.Print_Area" localSheetId="9">県選!$E$1:$BF$116</definedName>
    <definedName name="_xlnm.Print_Area" localSheetId="6">国体1次!$B$1:$AM$116</definedName>
    <definedName name="_xlnm.Print_Area" localSheetId="8">三重陸協記録会!$B$1:$AM$116</definedName>
    <definedName name="_xlnm.Print_Area" localSheetId="18">女子一覧表!$A$1:$N$82</definedName>
    <definedName name="_xlnm.Print_Area" localSheetId="19">女子個票!$A$1:$N$195</definedName>
    <definedName name="_xlnm.Print_Area" localSheetId="15">振込票貼付用紙!$A$1:$J$49</definedName>
    <definedName name="_xlnm.Print_Area" localSheetId="1">説明!$A$1:$M$102</definedName>
    <definedName name="_xlnm.Print_Area" localSheetId="4">前年度登録!$P$2:$AF$113</definedName>
    <definedName name="_xlnm.Print_Area" localSheetId="16">男子一覧表!$A$1:$N$82</definedName>
    <definedName name="_xlnm.Print_Area" localSheetId="17">男子個票!$A$1:$N$195</definedName>
    <definedName name="_xlnm.Print_Area" localSheetId="5">名簿!$A$2:$Q$113</definedName>
    <definedName name="_xlnm.Print_Titles" localSheetId="10">ジュニアO!$6:$6</definedName>
    <definedName name="_xlnm.Print_Titles" localSheetId="7">リレーカー二バル!$6:$6</definedName>
    <definedName name="_xlnm.Print_Titles" localSheetId="14">ロードレース!$6:$6</definedName>
    <definedName name="_xlnm.Print_Titles" localSheetId="9">県選!$6:$6</definedName>
    <definedName name="_xlnm.Print_Titles" localSheetId="6">国体1次!$6:$6</definedName>
    <definedName name="_xlnm.Print_Titles" localSheetId="8">三重陸協記録会!$6:$6</definedName>
    <definedName name="_xlnm.Print_Titles" localSheetId="4">前年度登録!$2:$2</definedName>
    <definedName name="_xlnm.Print_Titles" localSheetId="5">名簿!$2:$2</definedName>
  </definedNames>
  <calcPr calcId="125725"/>
</workbook>
</file>

<file path=xl/calcChain.xml><?xml version="1.0" encoding="utf-8"?>
<calcChain xmlns="http://schemas.openxmlformats.org/spreadsheetml/2006/main">
  <c r="F4" i="50"/>
  <c r="F3"/>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Q14"/>
  <c r="Q13"/>
  <c r="Q12"/>
  <c r="Q11"/>
  <c r="Q10"/>
  <c r="Q9"/>
  <c r="Q8"/>
  <c r="Q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7"/>
  <c r="N8" i="37"/>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7"/>
  <c r="A8" i="50"/>
  <c r="E8"/>
  <c r="A9"/>
  <c r="E9"/>
  <c r="A10"/>
  <c r="E10"/>
  <c r="A11"/>
  <c r="E11"/>
  <c r="A12"/>
  <c r="E12"/>
  <c r="A13"/>
  <c r="E13"/>
  <c r="A14"/>
  <c r="E14"/>
  <c r="A15"/>
  <c r="E15"/>
  <c r="A16"/>
  <c r="E16"/>
  <c r="A17"/>
  <c r="E17"/>
  <c r="A18"/>
  <c r="E18"/>
  <c r="A19"/>
  <c r="E19"/>
  <c r="A20"/>
  <c r="E20"/>
  <c r="A21"/>
  <c r="E21"/>
  <c r="A22"/>
  <c r="E22"/>
  <c r="A23"/>
  <c r="E23"/>
  <c r="A24"/>
  <c r="E24"/>
  <c r="A25"/>
  <c r="E25"/>
  <c r="A26"/>
  <c r="E26"/>
  <c r="A27"/>
  <c r="E27"/>
  <c r="A28"/>
  <c r="E28"/>
  <c r="A29"/>
  <c r="E29"/>
  <c r="A30"/>
  <c r="E30"/>
  <c r="A31"/>
  <c r="E31"/>
  <c r="A32"/>
  <c r="E32"/>
  <c r="A33"/>
  <c r="E33"/>
  <c r="A34"/>
  <c r="E34"/>
  <c r="A35"/>
  <c r="E35"/>
  <c r="A36"/>
  <c r="E36"/>
  <c r="A37"/>
  <c r="E37"/>
  <c r="A38"/>
  <c r="E38"/>
  <c r="A39"/>
  <c r="E39"/>
  <c r="A40"/>
  <c r="E40"/>
  <c r="A41"/>
  <c r="E41"/>
  <c r="A42"/>
  <c r="E42"/>
  <c r="A43"/>
  <c r="E43"/>
  <c r="A44"/>
  <c r="E44"/>
  <c r="A45"/>
  <c r="E45"/>
  <c r="A46"/>
  <c r="E46"/>
  <c r="A47"/>
  <c r="E47"/>
  <c r="A48"/>
  <c r="E48"/>
  <c r="A49"/>
  <c r="E49"/>
  <c r="A50"/>
  <c r="E50"/>
  <c r="A51"/>
  <c r="E51"/>
  <c r="A52"/>
  <c r="E52"/>
  <c r="A53"/>
  <c r="E53"/>
  <c r="A54"/>
  <c r="E54"/>
  <c r="A55"/>
  <c r="E55"/>
  <c r="A56"/>
  <c r="E56"/>
  <c r="A57"/>
  <c r="E57"/>
  <c r="A58"/>
  <c r="E58"/>
  <c r="A59"/>
  <c r="E59"/>
  <c r="A60"/>
  <c r="E60"/>
  <c r="A61"/>
  <c r="E61"/>
  <c r="A62"/>
  <c r="E62"/>
  <c r="A63"/>
  <c r="E63"/>
  <c r="A64"/>
  <c r="E64"/>
  <c r="A65"/>
  <c r="E65"/>
  <c r="A66"/>
  <c r="E66"/>
  <c r="A67"/>
  <c r="E67"/>
  <c r="A68"/>
  <c r="E68"/>
  <c r="A69"/>
  <c r="E69"/>
  <c r="A70"/>
  <c r="E70"/>
  <c r="A71"/>
  <c r="E71"/>
  <c r="A72"/>
  <c r="E72"/>
  <c r="A73"/>
  <c r="E73"/>
  <c r="A74"/>
  <c r="E74"/>
  <c r="A75"/>
  <c r="E75"/>
  <c r="A76"/>
  <c r="E76"/>
  <c r="A77"/>
  <c r="E77"/>
  <c r="A78"/>
  <c r="E78"/>
  <c r="A79"/>
  <c r="E79"/>
  <c r="A80"/>
  <c r="E80"/>
  <c r="A81"/>
  <c r="E81"/>
  <c r="A82"/>
  <c r="E82"/>
  <c r="A83"/>
  <c r="E83"/>
  <c r="A84"/>
  <c r="E84"/>
  <c r="A85"/>
  <c r="E85"/>
  <c r="A86"/>
  <c r="E86"/>
  <c r="A87"/>
  <c r="E87"/>
  <c r="A88"/>
  <c r="E88"/>
  <c r="A89"/>
  <c r="E89"/>
  <c r="A90"/>
  <c r="E90"/>
  <c r="A91"/>
  <c r="E91"/>
  <c r="A92"/>
  <c r="E92"/>
  <c r="A93"/>
  <c r="E93"/>
  <c r="A94"/>
  <c r="E94"/>
  <c r="A95"/>
  <c r="E95"/>
  <c r="A96"/>
  <c r="E96"/>
  <c r="A97"/>
  <c r="E97"/>
  <c r="A98"/>
  <c r="E98"/>
  <c r="A99"/>
  <c r="E99"/>
  <c r="A100"/>
  <c r="E100"/>
  <c r="A101"/>
  <c r="E101"/>
  <c r="A102"/>
  <c r="E102"/>
  <c r="A103"/>
  <c r="E103"/>
  <c r="A104"/>
  <c r="E104"/>
  <c r="A105"/>
  <c r="E105"/>
  <c r="A106"/>
  <c r="E106"/>
  <c r="A107"/>
  <c r="E107"/>
  <c r="A108"/>
  <c r="E108"/>
  <c r="A109"/>
  <c r="E109"/>
  <c r="A110"/>
  <c r="E110"/>
  <c r="A111"/>
  <c r="E111"/>
  <c r="A112"/>
  <c r="E112"/>
  <c r="A113"/>
  <c r="E113"/>
  <c r="A114"/>
  <c r="E114"/>
  <c r="A115"/>
  <c r="E115"/>
  <c r="A116"/>
  <c r="E116"/>
  <c r="F116"/>
  <c r="G116"/>
  <c r="H116"/>
  <c r="I116"/>
  <c r="J116"/>
  <c r="K116"/>
  <c r="L116"/>
  <c r="E7"/>
  <c r="A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V9"/>
  <c r="V8"/>
  <c r="V7"/>
  <c r="AL116"/>
  <c r="AM116" s="1"/>
  <c r="AN116" s="1"/>
  <c r="X116"/>
  <c r="W116"/>
  <c r="U116"/>
  <c r="S116"/>
  <c r="R116"/>
  <c r="P116"/>
  <c r="AL115"/>
  <c r="AM115" s="1"/>
  <c r="X115"/>
  <c r="W115"/>
  <c r="U115"/>
  <c r="S115"/>
  <c r="R115"/>
  <c r="P115"/>
  <c r="AL114"/>
  <c r="AM114" s="1"/>
  <c r="AN114" s="1"/>
  <c r="X114"/>
  <c r="W114"/>
  <c r="U114"/>
  <c r="S114"/>
  <c r="R114"/>
  <c r="P114"/>
  <c r="AL113"/>
  <c r="AM113" s="1"/>
  <c r="X113"/>
  <c r="W113"/>
  <c r="U113"/>
  <c r="S113"/>
  <c r="R113"/>
  <c r="P113"/>
  <c r="AL112"/>
  <c r="AM112" s="1"/>
  <c r="AN112" s="1"/>
  <c r="X112"/>
  <c r="W112"/>
  <c r="U112"/>
  <c r="S112"/>
  <c r="R112"/>
  <c r="P112"/>
  <c r="AL111"/>
  <c r="AM111" s="1"/>
  <c r="X111"/>
  <c r="W111"/>
  <c r="U111"/>
  <c r="S111"/>
  <c r="R111"/>
  <c r="P111"/>
  <c r="AL110"/>
  <c r="AM110" s="1"/>
  <c r="AN110" s="1"/>
  <c r="X110"/>
  <c r="W110"/>
  <c r="U110"/>
  <c r="S110"/>
  <c r="R110"/>
  <c r="P110"/>
  <c r="AL109"/>
  <c r="AM109" s="1"/>
  <c r="X109"/>
  <c r="W109"/>
  <c r="U109"/>
  <c r="S109"/>
  <c r="R109"/>
  <c r="P109"/>
  <c r="AL108"/>
  <c r="AM108" s="1"/>
  <c r="AN108" s="1"/>
  <c r="X108"/>
  <c r="W108"/>
  <c r="U108"/>
  <c r="S108"/>
  <c r="R108"/>
  <c r="P108"/>
  <c r="AL107"/>
  <c r="AM107" s="1"/>
  <c r="X107"/>
  <c r="W107"/>
  <c r="U107"/>
  <c r="S107"/>
  <c r="R107"/>
  <c r="P107"/>
  <c r="AL106"/>
  <c r="AM106" s="1"/>
  <c r="AN106" s="1"/>
  <c r="X106"/>
  <c r="W106"/>
  <c r="U106"/>
  <c r="S106"/>
  <c r="R106"/>
  <c r="P106"/>
  <c r="AL105"/>
  <c r="AM105" s="1"/>
  <c r="X105"/>
  <c r="W105"/>
  <c r="U105"/>
  <c r="S105"/>
  <c r="R105"/>
  <c r="P105"/>
  <c r="AL104"/>
  <c r="AM104" s="1"/>
  <c r="AN104" s="1"/>
  <c r="X104"/>
  <c r="W104"/>
  <c r="U104"/>
  <c r="S104"/>
  <c r="R104"/>
  <c r="P104"/>
  <c r="AL103"/>
  <c r="AM103" s="1"/>
  <c r="X103"/>
  <c r="W103"/>
  <c r="U103"/>
  <c r="S103"/>
  <c r="R103"/>
  <c r="P103"/>
  <c r="AL102"/>
  <c r="AM102" s="1"/>
  <c r="AN102" s="1"/>
  <c r="X102"/>
  <c r="W102"/>
  <c r="U102"/>
  <c r="S102"/>
  <c r="R102"/>
  <c r="P102"/>
  <c r="AL101"/>
  <c r="AM101" s="1"/>
  <c r="X101"/>
  <c r="W101"/>
  <c r="U101"/>
  <c r="S101"/>
  <c r="R101"/>
  <c r="P101"/>
  <c r="AL100"/>
  <c r="AM100" s="1"/>
  <c r="AN100" s="1"/>
  <c r="X100"/>
  <c r="W100"/>
  <c r="U100"/>
  <c r="S100"/>
  <c r="R100"/>
  <c r="P100"/>
  <c r="AL99"/>
  <c r="AM99" s="1"/>
  <c r="X99"/>
  <c r="W99"/>
  <c r="U99"/>
  <c r="S99"/>
  <c r="R99"/>
  <c r="P99"/>
  <c r="AL98"/>
  <c r="AM98" s="1"/>
  <c r="AN98" s="1"/>
  <c r="X98"/>
  <c r="W98"/>
  <c r="U98"/>
  <c r="S98"/>
  <c r="R98"/>
  <c r="P98"/>
  <c r="AL97"/>
  <c r="AM97" s="1"/>
  <c r="X97"/>
  <c r="W97"/>
  <c r="U97"/>
  <c r="S97"/>
  <c r="R97"/>
  <c r="P97"/>
  <c r="AL96"/>
  <c r="AM96" s="1"/>
  <c r="AN96" s="1"/>
  <c r="X96"/>
  <c r="W96"/>
  <c r="U96"/>
  <c r="S96"/>
  <c r="R96"/>
  <c r="P96"/>
  <c r="AL95"/>
  <c r="AM95" s="1"/>
  <c r="X95"/>
  <c r="W95"/>
  <c r="U95"/>
  <c r="S95"/>
  <c r="R95"/>
  <c r="P95"/>
  <c r="AL94"/>
  <c r="AM94" s="1"/>
  <c r="AN94" s="1"/>
  <c r="X94"/>
  <c r="W94"/>
  <c r="U94"/>
  <c r="S94"/>
  <c r="R94"/>
  <c r="P94"/>
  <c r="AL93"/>
  <c r="AM93" s="1"/>
  <c r="X93"/>
  <c r="W93"/>
  <c r="U93"/>
  <c r="S93"/>
  <c r="R93"/>
  <c r="P93"/>
  <c r="AL92"/>
  <c r="AM92" s="1"/>
  <c r="AN92" s="1"/>
  <c r="X92"/>
  <c r="W92"/>
  <c r="U92"/>
  <c r="S92"/>
  <c r="R92"/>
  <c r="P92"/>
  <c r="AL91"/>
  <c r="AM91" s="1"/>
  <c r="X91"/>
  <c r="W91"/>
  <c r="U91"/>
  <c r="S91"/>
  <c r="R91"/>
  <c r="P91"/>
  <c r="AL90"/>
  <c r="AM90" s="1"/>
  <c r="AN90" s="1"/>
  <c r="X90"/>
  <c r="W90"/>
  <c r="U90"/>
  <c r="S90"/>
  <c r="R90"/>
  <c r="P90"/>
  <c r="AL89"/>
  <c r="AM89" s="1"/>
  <c r="X89"/>
  <c r="W89"/>
  <c r="U89"/>
  <c r="S89"/>
  <c r="R89"/>
  <c r="P89"/>
  <c r="AL88"/>
  <c r="AM88" s="1"/>
  <c r="AN88" s="1"/>
  <c r="X88"/>
  <c r="W88"/>
  <c r="U88"/>
  <c r="S88"/>
  <c r="R88"/>
  <c r="P88"/>
  <c r="AL87"/>
  <c r="AM87" s="1"/>
  <c r="X87"/>
  <c r="W87"/>
  <c r="U87"/>
  <c r="S87"/>
  <c r="R87"/>
  <c r="P87"/>
  <c r="AL86"/>
  <c r="AM86" s="1"/>
  <c r="AN86" s="1"/>
  <c r="X86"/>
  <c r="W86"/>
  <c r="U86"/>
  <c r="S86"/>
  <c r="R86"/>
  <c r="P86"/>
  <c r="AL85"/>
  <c r="AM85" s="1"/>
  <c r="X85"/>
  <c r="W85"/>
  <c r="U85"/>
  <c r="S85"/>
  <c r="R85"/>
  <c r="P85"/>
  <c r="AL84"/>
  <c r="AM84" s="1"/>
  <c r="AN84" s="1"/>
  <c r="X84"/>
  <c r="W84"/>
  <c r="U84"/>
  <c r="S84"/>
  <c r="R84"/>
  <c r="P84"/>
  <c r="AL83"/>
  <c r="AM83" s="1"/>
  <c r="X83"/>
  <c r="W83"/>
  <c r="U83"/>
  <c r="S83"/>
  <c r="R83"/>
  <c r="P83"/>
  <c r="AL82"/>
  <c r="AM82" s="1"/>
  <c r="AN82" s="1"/>
  <c r="X82"/>
  <c r="W82"/>
  <c r="U82"/>
  <c r="S82"/>
  <c r="R82"/>
  <c r="P82"/>
  <c r="AL81"/>
  <c r="AM81" s="1"/>
  <c r="X81"/>
  <c r="W81"/>
  <c r="U81"/>
  <c r="S81"/>
  <c r="R81"/>
  <c r="P81"/>
  <c r="AL80"/>
  <c r="AM80" s="1"/>
  <c r="AN80" s="1"/>
  <c r="X80"/>
  <c r="W80"/>
  <c r="U80"/>
  <c r="S80"/>
  <c r="R80"/>
  <c r="P80"/>
  <c r="AL79"/>
  <c r="AM79" s="1"/>
  <c r="X79"/>
  <c r="W79"/>
  <c r="U79"/>
  <c r="S79"/>
  <c r="R79"/>
  <c r="P79"/>
  <c r="AL78"/>
  <c r="AM78" s="1"/>
  <c r="AN78" s="1"/>
  <c r="X78"/>
  <c r="W78"/>
  <c r="U78"/>
  <c r="S78"/>
  <c r="R78"/>
  <c r="P78"/>
  <c r="AL77"/>
  <c r="AM77" s="1"/>
  <c r="X77"/>
  <c r="W77"/>
  <c r="U77"/>
  <c r="S77"/>
  <c r="R77"/>
  <c r="P77"/>
  <c r="AL76"/>
  <c r="AM76" s="1"/>
  <c r="AN76" s="1"/>
  <c r="X76"/>
  <c r="W76"/>
  <c r="U76"/>
  <c r="S76"/>
  <c r="R76"/>
  <c r="P76"/>
  <c r="AL75"/>
  <c r="AM75" s="1"/>
  <c r="X75"/>
  <c r="W75"/>
  <c r="U75"/>
  <c r="S75"/>
  <c r="R75"/>
  <c r="P75"/>
  <c r="AL74"/>
  <c r="AM74" s="1"/>
  <c r="AN74" s="1"/>
  <c r="X74"/>
  <c r="W74"/>
  <c r="U74"/>
  <c r="S74"/>
  <c r="R74"/>
  <c r="P74"/>
  <c r="AL73"/>
  <c r="AM73" s="1"/>
  <c r="X73"/>
  <c r="W73"/>
  <c r="U73"/>
  <c r="S73"/>
  <c r="R73"/>
  <c r="P73"/>
  <c r="AL72"/>
  <c r="AM72" s="1"/>
  <c r="AN72" s="1"/>
  <c r="X72"/>
  <c r="W72"/>
  <c r="U72"/>
  <c r="S72"/>
  <c r="R72"/>
  <c r="P72"/>
  <c r="AL71"/>
  <c r="AM71" s="1"/>
  <c r="X71"/>
  <c r="W71"/>
  <c r="U71"/>
  <c r="S71"/>
  <c r="R71"/>
  <c r="P71"/>
  <c r="AL70"/>
  <c r="AM70" s="1"/>
  <c r="AN70" s="1"/>
  <c r="X70"/>
  <c r="W70"/>
  <c r="U70"/>
  <c r="S70"/>
  <c r="R70"/>
  <c r="P70"/>
  <c r="AL69"/>
  <c r="AM69" s="1"/>
  <c r="X69"/>
  <c r="W69"/>
  <c r="U69"/>
  <c r="S69"/>
  <c r="R69"/>
  <c r="P69"/>
  <c r="AL68"/>
  <c r="AM68" s="1"/>
  <c r="AN68" s="1"/>
  <c r="X68"/>
  <c r="W68"/>
  <c r="U68"/>
  <c r="S68"/>
  <c r="R68"/>
  <c r="P68"/>
  <c r="AL67"/>
  <c r="AM67" s="1"/>
  <c r="X67"/>
  <c r="W67"/>
  <c r="U67"/>
  <c r="S67"/>
  <c r="R67"/>
  <c r="P67"/>
  <c r="AL66"/>
  <c r="AM66" s="1"/>
  <c r="AN66" s="1"/>
  <c r="X66"/>
  <c r="W66"/>
  <c r="U66"/>
  <c r="S66"/>
  <c r="R66"/>
  <c r="P66"/>
  <c r="AL65"/>
  <c r="AM65" s="1"/>
  <c r="X65"/>
  <c r="W65"/>
  <c r="U65"/>
  <c r="S65"/>
  <c r="R65"/>
  <c r="P65"/>
  <c r="AL64"/>
  <c r="AM64" s="1"/>
  <c r="AN64" s="1"/>
  <c r="X64"/>
  <c r="W64"/>
  <c r="U64"/>
  <c r="S64"/>
  <c r="R64"/>
  <c r="P64"/>
  <c r="AL63"/>
  <c r="AM63" s="1"/>
  <c r="X63"/>
  <c r="W63"/>
  <c r="U63"/>
  <c r="S63"/>
  <c r="R63"/>
  <c r="P63"/>
  <c r="AL62"/>
  <c r="AM62" s="1"/>
  <c r="AN62" s="1"/>
  <c r="X62"/>
  <c r="W62"/>
  <c r="U62"/>
  <c r="S62"/>
  <c r="R62"/>
  <c r="P62"/>
  <c r="AL61"/>
  <c r="AM61" s="1"/>
  <c r="X61"/>
  <c r="W61"/>
  <c r="U61"/>
  <c r="S61"/>
  <c r="R61"/>
  <c r="P61"/>
  <c r="AL60"/>
  <c r="AM60" s="1"/>
  <c r="AN60" s="1"/>
  <c r="X60"/>
  <c r="W60"/>
  <c r="U60"/>
  <c r="S60"/>
  <c r="R60"/>
  <c r="P60"/>
  <c r="AL59"/>
  <c r="AM59" s="1"/>
  <c r="X59"/>
  <c r="W59"/>
  <c r="U59"/>
  <c r="S59"/>
  <c r="R59"/>
  <c r="P59"/>
  <c r="AL58"/>
  <c r="AM58" s="1"/>
  <c r="AN58" s="1"/>
  <c r="X58"/>
  <c r="W58"/>
  <c r="U58"/>
  <c r="S58"/>
  <c r="R58"/>
  <c r="P58"/>
  <c r="AL57"/>
  <c r="AM57" s="1"/>
  <c r="X57"/>
  <c r="W57"/>
  <c r="U57"/>
  <c r="S57"/>
  <c r="R57"/>
  <c r="P57"/>
  <c r="AL56"/>
  <c r="AM56" s="1"/>
  <c r="AN56" s="1"/>
  <c r="X56"/>
  <c r="W56"/>
  <c r="U56"/>
  <c r="S56"/>
  <c r="R56"/>
  <c r="P56"/>
  <c r="AL55"/>
  <c r="AM55" s="1"/>
  <c r="AN55" s="1"/>
  <c r="X55"/>
  <c r="W55"/>
  <c r="U55"/>
  <c r="S55"/>
  <c r="R55"/>
  <c r="P55"/>
  <c r="AL54"/>
  <c r="AM54" s="1"/>
  <c r="X54"/>
  <c r="W54"/>
  <c r="U54"/>
  <c r="S54"/>
  <c r="R54"/>
  <c r="P54"/>
  <c r="AL53"/>
  <c r="AM53" s="1"/>
  <c r="X53"/>
  <c r="W53"/>
  <c r="U53"/>
  <c r="S53"/>
  <c r="R53"/>
  <c r="P53"/>
  <c r="AL52"/>
  <c r="AM52" s="1"/>
  <c r="AN52" s="1"/>
  <c r="X52"/>
  <c r="W52"/>
  <c r="U52"/>
  <c r="S52"/>
  <c r="R52"/>
  <c r="P52"/>
  <c r="AL51"/>
  <c r="AM51" s="1"/>
  <c r="AN51" s="1"/>
  <c r="X51"/>
  <c r="W51"/>
  <c r="U51"/>
  <c r="S51"/>
  <c r="R51"/>
  <c r="P51"/>
  <c r="AL50"/>
  <c r="AM50" s="1"/>
  <c r="X50"/>
  <c r="W50"/>
  <c r="U50"/>
  <c r="S50"/>
  <c r="R50"/>
  <c r="P50"/>
  <c r="AL49"/>
  <c r="AM49" s="1"/>
  <c r="X49"/>
  <c r="W49"/>
  <c r="U49"/>
  <c r="S49"/>
  <c r="R49"/>
  <c r="P49"/>
  <c r="AL48"/>
  <c r="AM48" s="1"/>
  <c r="AN48" s="1"/>
  <c r="X48"/>
  <c r="W48"/>
  <c r="U48"/>
  <c r="S48"/>
  <c r="R48"/>
  <c r="P48"/>
  <c r="AL47"/>
  <c r="AM47" s="1"/>
  <c r="AN47" s="1"/>
  <c r="X47"/>
  <c r="W47"/>
  <c r="U47"/>
  <c r="S47"/>
  <c r="R47"/>
  <c r="P47"/>
  <c r="AL46"/>
  <c r="AM46" s="1"/>
  <c r="X46"/>
  <c r="W46"/>
  <c r="U46"/>
  <c r="S46"/>
  <c r="R46"/>
  <c r="P46"/>
  <c r="AL45"/>
  <c r="AM45" s="1"/>
  <c r="X45"/>
  <c r="W45"/>
  <c r="U45"/>
  <c r="S45"/>
  <c r="R45"/>
  <c r="P45"/>
  <c r="AL44"/>
  <c r="AM44" s="1"/>
  <c r="AN44" s="1"/>
  <c r="X44"/>
  <c r="W44"/>
  <c r="U44"/>
  <c r="S44"/>
  <c r="R44"/>
  <c r="P44"/>
  <c r="AL43"/>
  <c r="AM43" s="1"/>
  <c r="AN43" s="1"/>
  <c r="X43"/>
  <c r="W43"/>
  <c r="U43"/>
  <c r="S43"/>
  <c r="R43"/>
  <c r="P43"/>
  <c r="AL42"/>
  <c r="AM42" s="1"/>
  <c r="X42"/>
  <c r="W42"/>
  <c r="U42"/>
  <c r="S42"/>
  <c r="R42"/>
  <c r="P42"/>
  <c r="AL41"/>
  <c r="AM41" s="1"/>
  <c r="X41"/>
  <c r="W41"/>
  <c r="U41"/>
  <c r="S41"/>
  <c r="R41"/>
  <c r="P41"/>
  <c r="AL40"/>
  <c r="AM40" s="1"/>
  <c r="AN40" s="1"/>
  <c r="X40"/>
  <c r="W40"/>
  <c r="U40"/>
  <c r="S40"/>
  <c r="R40"/>
  <c r="P40"/>
  <c r="AL39"/>
  <c r="AM39" s="1"/>
  <c r="AN39" s="1"/>
  <c r="X39"/>
  <c r="W39"/>
  <c r="U39"/>
  <c r="S39"/>
  <c r="R39"/>
  <c r="P39"/>
  <c r="AL38"/>
  <c r="AM38" s="1"/>
  <c r="X38"/>
  <c r="W38"/>
  <c r="U38"/>
  <c r="S38"/>
  <c r="R38"/>
  <c r="P38"/>
  <c r="AL37"/>
  <c r="AM37" s="1"/>
  <c r="X37"/>
  <c r="W37"/>
  <c r="U37"/>
  <c r="S37"/>
  <c r="R37"/>
  <c r="P37"/>
  <c r="AL36"/>
  <c r="AM36" s="1"/>
  <c r="AN36" s="1"/>
  <c r="X36"/>
  <c r="W36"/>
  <c r="U36"/>
  <c r="S36"/>
  <c r="R36"/>
  <c r="P36"/>
  <c r="AL35"/>
  <c r="AM35" s="1"/>
  <c r="AN35" s="1"/>
  <c r="X35"/>
  <c r="W35"/>
  <c r="U35"/>
  <c r="S35"/>
  <c r="R35"/>
  <c r="P35"/>
  <c r="AL34"/>
  <c r="AM34" s="1"/>
  <c r="X34"/>
  <c r="W34"/>
  <c r="U34"/>
  <c r="S34"/>
  <c r="R34"/>
  <c r="P34"/>
  <c r="AL33"/>
  <c r="AM33" s="1"/>
  <c r="AN33" s="1"/>
  <c r="X33"/>
  <c r="W33"/>
  <c r="U33"/>
  <c r="S33"/>
  <c r="R33"/>
  <c r="P33"/>
  <c r="AM32"/>
  <c r="AN32" s="1"/>
  <c r="AL32"/>
  <c r="X32"/>
  <c r="W32"/>
  <c r="U32"/>
  <c r="S32"/>
  <c r="R32"/>
  <c r="P32"/>
  <c r="AL31"/>
  <c r="AM31" s="1"/>
  <c r="X31"/>
  <c r="W31"/>
  <c r="U31"/>
  <c r="S31"/>
  <c r="R31"/>
  <c r="P31"/>
  <c r="AL30"/>
  <c r="AM30" s="1"/>
  <c r="X30"/>
  <c r="W30"/>
  <c r="U30"/>
  <c r="S30"/>
  <c r="R30"/>
  <c r="P30"/>
  <c r="AL29"/>
  <c r="AM29" s="1"/>
  <c r="AN29" s="1"/>
  <c r="X29"/>
  <c r="W29"/>
  <c r="U29"/>
  <c r="S29"/>
  <c r="R29"/>
  <c r="P29"/>
  <c r="AL28"/>
  <c r="AM28" s="1"/>
  <c r="AN28" s="1"/>
  <c r="X28"/>
  <c r="W28"/>
  <c r="U28"/>
  <c r="S28"/>
  <c r="R28"/>
  <c r="P28"/>
  <c r="AL27"/>
  <c r="AM27" s="1"/>
  <c r="X27"/>
  <c r="W27"/>
  <c r="U27"/>
  <c r="S27"/>
  <c r="R27"/>
  <c r="P27"/>
  <c r="AL26"/>
  <c r="AM26" s="1"/>
  <c r="X26"/>
  <c r="W26"/>
  <c r="U26"/>
  <c r="S26"/>
  <c r="R26"/>
  <c r="P26"/>
  <c r="AL25"/>
  <c r="AM25" s="1"/>
  <c r="AN25" s="1"/>
  <c r="X25"/>
  <c r="W25"/>
  <c r="U25"/>
  <c r="S25"/>
  <c r="R25"/>
  <c r="P25"/>
  <c r="AL24"/>
  <c r="AM24" s="1"/>
  <c r="AN24" s="1"/>
  <c r="X24"/>
  <c r="W24"/>
  <c r="U24"/>
  <c r="S24"/>
  <c r="R24"/>
  <c r="P24"/>
  <c r="AL23"/>
  <c r="AM23" s="1"/>
  <c r="X23"/>
  <c r="W23"/>
  <c r="U23"/>
  <c r="S23"/>
  <c r="R23"/>
  <c r="P23"/>
  <c r="AL22"/>
  <c r="AM22" s="1"/>
  <c r="X22"/>
  <c r="W22"/>
  <c r="U22"/>
  <c r="S22"/>
  <c r="R22"/>
  <c r="P22"/>
  <c r="AL21"/>
  <c r="AM21" s="1"/>
  <c r="AN21" s="1"/>
  <c r="X21"/>
  <c r="W21"/>
  <c r="U21"/>
  <c r="S21"/>
  <c r="R21"/>
  <c r="P21"/>
  <c r="AL20"/>
  <c r="AM20" s="1"/>
  <c r="AN20" s="1"/>
  <c r="X20"/>
  <c r="W20"/>
  <c r="U20"/>
  <c r="S20"/>
  <c r="R20"/>
  <c r="P20"/>
  <c r="AL19"/>
  <c r="AM19" s="1"/>
  <c r="X19"/>
  <c r="W19"/>
  <c r="U19"/>
  <c r="S19"/>
  <c r="R19"/>
  <c r="P19"/>
  <c r="AL18"/>
  <c r="AM18" s="1"/>
  <c r="X18"/>
  <c r="W18"/>
  <c r="U18"/>
  <c r="S18"/>
  <c r="R18"/>
  <c r="P18"/>
  <c r="AL17"/>
  <c r="AM17" s="1"/>
  <c r="AN17" s="1"/>
  <c r="X17"/>
  <c r="W17"/>
  <c r="U17"/>
  <c r="S17"/>
  <c r="R17"/>
  <c r="P17"/>
  <c r="AL16"/>
  <c r="AM16" s="1"/>
  <c r="AN16" s="1"/>
  <c r="X16"/>
  <c r="W16"/>
  <c r="U16"/>
  <c r="S16"/>
  <c r="R16"/>
  <c r="P16"/>
  <c r="AL15"/>
  <c r="AM15" s="1"/>
  <c r="X15"/>
  <c r="W15"/>
  <c r="U15"/>
  <c r="S15"/>
  <c r="R15"/>
  <c r="P15"/>
  <c r="AL14"/>
  <c r="AM14" s="1"/>
  <c r="X14"/>
  <c r="W14"/>
  <c r="U14"/>
  <c r="S14"/>
  <c r="R14"/>
  <c r="P14"/>
  <c r="AL13"/>
  <c r="AM13" s="1"/>
  <c r="AN13" s="1"/>
  <c r="X13"/>
  <c r="W13"/>
  <c r="U13"/>
  <c r="S13"/>
  <c r="R13"/>
  <c r="P13"/>
  <c r="AL12"/>
  <c r="AM12" s="1"/>
  <c r="AN12" s="1"/>
  <c r="X12"/>
  <c r="W12"/>
  <c r="U12"/>
  <c r="S12"/>
  <c r="R12"/>
  <c r="P12"/>
  <c r="AL11"/>
  <c r="AM11" s="1"/>
  <c r="X11"/>
  <c r="W11"/>
  <c r="U11"/>
  <c r="S11"/>
  <c r="R11"/>
  <c r="P11"/>
  <c r="AL10"/>
  <c r="AM10" s="1"/>
  <c r="X10"/>
  <c r="W10"/>
  <c r="U10"/>
  <c r="S10"/>
  <c r="R10"/>
  <c r="P10"/>
  <c r="AL9"/>
  <c r="AM9" s="1"/>
  <c r="AN9" s="1"/>
  <c r="X9"/>
  <c r="W9"/>
  <c r="U9"/>
  <c r="S9"/>
  <c r="R9"/>
  <c r="P9"/>
  <c r="AL8"/>
  <c r="AM8" s="1"/>
  <c r="AN8" s="1"/>
  <c r="X8"/>
  <c r="W8"/>
  <c r="U8"/>
  <c r="S8"/>
  <c r="R8"/>
  <c r="P8"/>
  <c r="AL7"/>
  <c r="X7"/>
  <c r="W7"/>
  <c r="U7"/>
  <c r="S7"/>
  <c r="R7"/>
  <c r="V8" i="21"/>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V7"/>
  <c r="P7"/>
  <c r="CC5" i="10"/>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C103"/>
  <c r="CC104"/>
  <c r="CC105"/>
  <c r="CC106"/>
  <c r="CC107"/>
  <c r="CC108"/>
  <c r="CC109"/>
  <c r="CC110"/>
  <c r="CC111"/>
  <c r="CC112"/>
  <c r="CC113"/>
  <c r="CC4"/>
  <c r="AF117" i="50" l="1"/>
  <c r="AM7"/>
  <c r="AG117" s="1"/>
  <c r="AN10"/>
  <c r="AN14"/>
  <c r="AN18"/>
  <c r="AN22"/>
  <c r="AN26"/>
  <c r="AN30"/>
  <c r="AN34"/>
  <c r="AN37"/>
  <c r="AN41"/>
  <c r="AN45"/>
  <c r="AN49"/>
  <c r="AN53"/>
  <c r="AN11"/>
  <c r="AN15"/>
  <c r="AN19"/>
  <c r="AN23"/>
  <c r="AN27"/>
  <c r="AN31"/>
  <c r="AN38"/>
  <c r="AN42"/>
  <c r="AN46"/>
  <c r="AN50"/>
  <c r="AN54"/>
  <c r="AN57"/>
  <c r="AN59"/>
  <c r="AN61"/>
  <c r="AN63"/>
  <c r="AN65"/>
  <c r="AN67"/>
  <c r="AN69"/>
  <c r="AN71"/>
  <c r="AN73"/>
  <c r="AN75"/>
  <c r="AN77"/>
  <c r="AN79"/>
  <c r="AN81"/>
  <c r="AN83"/>
  <c r="AN85"/>
  <c r="AN87"/>
  <c r="AN89"/>
  <c r="AN91"/>
  <c r="AN93"/>
  <c r="AN95"/>
  <c r="AN97"/>
  <c r="AN99"/>
  <c r="AN101"/>
  <c r="AN103"/>
  <c r="AN105"/>
  <c r="AN107"/>
  <c r="AN109"/>
  <c r="AN111"/>
  <c r="AN113"/>
  <c r="AN115"/>
  <c r="U8" i="37"/>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U7"/>
  <c r="P7"/>
  <c r="AH117" i="50" l="1"/>
  <c r="AF118" s="1"/>
  <c r="O4" s="1"/>
  <c r="AU56" i="37"/>
  <c r="AU55"/>
  <c r="AU54"/>
  <c r="AU53"/>
  <c r="AU52"/>
  <c r="AU51"/>
  <c r="AU50"/>
  <c r="AU49"/>
  <c r="AU48"/>
  <c r="AU47"/>
  <c r="AU46"/>
  <c r="AU45"/>
  <c r="AU44"/>
  <c r="AU43"/>
  <c r="AU42"/>
  <c r="AU41"/>
  <c r="AU33"/>
  <c r="AU31"/>
  <c r="AU30"/>
  <c r="AU29"/>
  <c r="AU28"/>
  <c r="AU26"/>
  <c r="AU27"/>
  <c r="AU25"/>
  <c r="AU24"/>
  <c r="AU23"/>
  <c r="AU22"/>
  <c r="AU21"/>
  <c r="AU20"/>
  <c r="AU19"/>
  <c r="AU18"/>
  <c r="AU17"/>
  <c r="AU16"/>
  <c r="AU15"/>
  <c r="AU14"/>
  <c r="AU13"/>
  <c r="O3" i="50" l="1"/>
  <c r="AP46" i="7"/>
  <c r="AP47"/>
  <c r="AP45"/>
  <c r="AP40"/>
  <c r="AP41"/>
  <c r="AP42"/>
  <c r="AP43"/>
  <c r="AP44"/>
  <c r="AP39"/>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7"/>
  <c r="Z8"/>
  <c r="Z9"/>
  <c r="Z10"/>
  <c r="Z11"/>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7"/>
  <c r="P8"/>
  <c r="P9"/>
  <c r="P10"/>
  <c r="P11"/>
  <c r="AV11" s="1"/>
  <c r="P12"/>
  <c r="P13"/>
  <c r="P14"/>
  <c r="AV14" s="1"/>
  <c r="P15"/>
  <c r="AV15" s="1"/>
  <c r="P16"/>
  <c r="P17"/>
  <c r="P18"/>
  <c r="AV18" s="1"/>
  <c r="P19"/>
  <c r="AV19" s="1"/>
  <c r="P20"/>
  <c r="P21"/>
  <c r="P22"/>
  <c r="AV22" s="1"/>
  <c r="P23"/>
  <c r="AV23" s="1"/>
  <c r="P24"/>
  <c r="P25"/>
  <c r="P26"/>
  <c r="AV26" s="1"/>
  <c r="P27"/>
  <c r="AV27" s="1"/>
  <c r="P28"/>
  <c r="P29"/>
  <c r="P30"/>
  <c r="AV30" s="1"/>
  <c r="P31"/>
  <c r="AV31" s="1"/>
  <c r="P32"/>
  <c r="P33"/>
  <c r="P34"/>
  <c r="AV34" s="1"/>
  <c r="P35"/>
  <c r="AV35" s="1"/>
  <c r="P36"/>
  <c r="P37"/>
  <c r="P38"/>
  <c r="AV38" s="1"/>
  <c r="P39"/>
  <c r="AV39" s="1"/>
  <c r="P40"/>
  <c r="P41"/>
  <c r="P42"/>
  <c r="AV42" s="1"/>
  <c r="P43"/>
  <c r="AV43" s="1"/>
  <c r="P44"/>
  <c r="P45"/>
  <c r="P46"/>
  <c r="AV46" s="1"/>
  <c r="P47"/>
  <c r="AV47" s="1"/>
  <c r="P48"/>
  <c r="P49"/>
  <c r="P50"/>
  <c r="AV50" s="1"/>
  <c r="P51"/>
  <c r="AV51" s="1"/>
  <c r="P52"/>
  <c r="P53"/>
  <c r="P54"/>
  <c r="AV54" s="1"/>
  <c r="P55"/>
  <c r="AV55" s="1"/>
  <c r="P56"/>
  <c r="P57"/>
  <c r="P58"/>
  <c r="AV58" s="1"/>
  <c r="P59"/>
  <c r="AV59" s="1"/>
  <c r="P60"/>
  <c r="P61"/>
  <c r="P62"/>
  <c r="AV62" s="1"/>
  <c r="P63"/>
  <c r="AV63" s="1"/>
  <c r="P64"/>
  <c r="P65"/>
  <c r="P66"/>
  <c r="AV66" s="1"/>
  <c r="P67"/>
  <c r="AV67" s="1"/>
  <c r="P68"/>
  <c r="P69"/>
  <c r="P70"/>
  <c r="AV70" s="1"/>
  <c r="P71"/>
  <c r="AV71" s="1"/>
  <c r="P72"/>
  <c r="P73"/>
  <c r="P74"/>
  <c r="AV74" s="1"/>
  <c r="P75"/>
  <c r="AV75" s="1"/>
  <c r="P76"/>
  <c r="P77"/>
  <c r="P78"/>
  <c r="AV78" s="1"/>
  <c r="P79"/>
  <c r="AV79" s="1"/>
  <c r="P80"/>
  <c r="P81"/>
  <c r="P82"/>
  <c r="AV82" s="1"/>
  <c r="P83"/>
  <c r="AV83" s="1"/>
  <c r="P84"/>
  <c r="P85"/>
  <c r="P86"/>
  <c r="AV86" s="1"/>
  <c r="P87"/>
  <c r="AV87" s="1"/>
  <c r="P88"/>
  <c r="P89"/>
  <c r="P90"/>
  <c r="AV90" s="1"/>
  <c r="P91"/>
  <c r="AV91" s="1"/>
  <c r="P92"/>
  <c r="P93"/>
  <c r="P94"/>
  <c r="AV94" s="1"/>
  <c r="P95"/>
  <c r="AV95" s="1"/>
  <c r="P96"/>
  <c r="P97"/>
  <c r="P98"/>
  <c r="AV98" s="1"/>
  <c r="P99"/>
  <c r="AV99" s="1"/>
  <c r="P100"/>
  <c r="P101"/>
  <c r="P102"/>
  <c r="AV102" s="1"/>
  <c r="P103"/>
  <c r="AV103" s="1"/>
  <c r="P104"/>
  <c r="P105"/>
  <c r="P106"/>
  <c r="AV106" s="1"/>
  <c r="P107"/>
  <c r="AV107" s="1"/>
  <c r="P108"/>
  <c r="P109"/>
  <c r="P110"/>
  <c r="AV110" s="1"/>
  <c r="P111"/>
  <c r="AV111" s="1"/>
  <c r="P112"/>
  <c r="P113"/>
  <c r="P114"/>
  <c r="AV114" s="1"/>
  <c r="P115"/>
  <c r="AV115" s="1"/>
  <c r="P116"/>
  <c r="AV116" s="1"/>
  <c r="P7"/>
  <c r="BZ5" i="10"/>
  <c r="CA5"/>
  <c r="CB5"/>
  <c r="BZ6"/>
  <c r="CA6"/>
  <c r="CB6"/>
  <c r="BZ7"/>
  <c r="CA7"/>
  <c r="CB7"/>
  <c r="BZ8"/>
  <c r="CA8"/>
  <c r="CB8"/>
  <c r="BZ9"/>
  <c r="CA9"/>
  <c r="CB9"/>
  <c r="BZ10"/>
  <c r="CA10"/>
  <c r="CB10"/>
  <c r="BZ11"/>
  <c r="CA11"/>
  <c r="CB11"/>
  <c r="BZ12"/>
  <c r="CA12"/>
  <c r="CB12"/>
  <c r="BZ13"/>
  <c r="CA13"/>
  <c r="CB13"/>
  <c r="BZ14"/>
  <c r="CA14"/>
  <c r="CB14"/>
  <c r="BZ15"/>
  <c r="CA15"/>
  <c r="CB15"/>
  <c r="BZ16"/>
  <c r="CA16"/>
  <c r="CB16"/>
  <c r="BZ17"/>
  <c r="CA17"/>
  <c r="CB17"/>
  <c r="BZ18"/>
  <c r="CA18"/>
  <c r="CB18"/>
  <c r="BZ19"/>
  <c r="CA19"/>
  <c r="CB19"/>
  <c r="BZ20"/>
  <c r="CA20"/>
  <c r="CB20"/>
  <c r="BZ21"/>
  <c r="CA21"/>
  <c r="CB21"/>
  <c r="BZ22"/>
  <c r="CA22"/>
  <c r="CB22"/>
  <c r="BZ23"/>
  <c r="CA23"/>
  <c r="CB23"/>
  <c r="BZ24"/>
  <c r="CA24"/>
  <c r="CB24"/>
  <c r="BZ25"/>
  <c r="CA25"/>
  <c r="CB25"/>
  <c r="BZ26"/>
  <c r="CA26"/>
  <c r="CB26"/>
  <c r="BZ27"/>
  <c r="CA27"/>
  <c r="CB27"/>
  <c r="BZ28"/>
  <c r="CA28"/>
  <c r="CB28"/>
  <c r="BZ29"/>
  <c r="CA29"/>
  <c r="CB29"/>
  <c r="BZ30"/>
  <c r="CA30"/>
  <c r="CB30"/>
  <c r="BZ31"/>
  <c r="CA31"/>
  <c r="CB31"/>
  <c r="BZ32"/>
  <c r="CA32"/>
  <c r="CB32"/>
  <c r="BZ33"/>
  <c r="CA33"/>
  <c r="CB33"/>
  <c r="BZ34"/>
  <c r="CA34"/>
  <c r="CB34"/>
  <c r="BZ35"/>
  <c r="CA35"/>
  <c r="CB35"/>
  <c r="BZ36"/>
  <c r="CA36"/>
  <c r="CB36"/>
  <c r="BZ37"/>
  <c r="CA37"/>
  <c r="CB37"/>
  <c r="BZ38"/>
  <c r="CA38"/>
  <c r="CB38"/>
  <c r="BZ39"/>
  <c r="CA39"/>
  <c r="CB39"/>
  <c r="BZ40"/>
  <c r="CA40"/>
  <c r="CB40"/>
  <c r="BZ41"/>
  <c r="CA41"/>
  <c r="CB41"/>
  <c r="BZ42"/>
  <c r="CA42"/>
  <c r="CB42"/>
  <c r="BZ43"/>
  <c r="CA43"/>
  <c r="CB43"/>
  <c r="BZ44"/>
  <c r="CA44"/>
  <c r="CB44"/>
  <c r="BZ45"/>
  <c r="CA45"/>
  <c r="CB45"/>
  <c r="BZ46"/>
  <c r="CA46"/>
  <c r="CB46"/>
  <c r="BZ47"/>
  <c r="CA47"/>
  <c r="CB47"/>
  <c r="BZ48"/>
  <c r="CA48"/>
  <c r="CB48"/>
  <c r="BZ49"/>
  <c r="CA49"/>
  <c r="CB49"/>
  <c r="BZ50"/>
  <c r="CA50"/>
  <c r="CB50"/>
  <c r="BZ51"/>
  <c r="CA51"/>
  <c r="CB51"/>
  <c r="BZ52"/>
  <c r="CA52"/>
  <c r="CB52"/>
  <c r="BZ53"/>
  <c r="CA53"/>
  <c r="CB53"/>
  <c r="BZ54"/>
  <c r="CA54"/>
  <c r="CB54"/>
  <c r="BZ55"/>
  <c r="CA55"/>
  <c r="CB55"/>
  <c r="BZ56"/>
  <c r="CA56"/>
  <c r="CB56"/>
  <c r="BZ57"/>
  <c r="CA57"/>
  <c r="CB57"/>
  <c r="BZ58"/>
  <c r="CA58"/>
  <c r="CB58"/>
  <c r="BZ59"/>
  <c r="CA59"/>
  <c r="CB59"/>
  <c r="BZ60"/>
  <c r="CA60"/>
  <c r="CB60"/>
  <c r="BZ61"/>
  <c r="CA61"/>
  <c r="CB61"/>
  <c r="BZ62"/>
  <c r="CA62"/>
  <c r="CB62"/>
  <c r="BZ63"/>
  <c r="CA63"/>
  <c r="CB63"/>
  <c r="BZ64"/>
  <c r="CA64"/>
  <c r="CB64"/>
  <c r="BZ65"/>
  <c r="CA65"/>
  <c r="CB65"/>
  <c r="BZ66"/>
  <c r="CA66"/>
  <c r="CB66"/>
  <c r="BZ67"/>
  <c r="CA67"/>
  <c r="CB67"/>
  <c r="BZ68"/>
  <c r="CA68"/>
  <c r="CB68"/>
  <c r="BZ69"/>
  <c r="CA69"/>
  <c r="CB69"/>
  <c r="BZ70"/>
  <c r="CA70"/>
  <c r="CB70"/>
  <c r="BZ71"/>
  <c r="CA71"/>
  <c r="CB71"/>
  <c r="BZ72"/>
  <c r="CA72"/>
  <c r="CB72"/>
  <c r="BZ73"/>
  <c r="CA73"/>
  <c r="CB73"/>
  <c r="BZ74"/>
  <c r="CA74"/>
  <c r="CB74"/>
  <c r="BZ75"/>
  <c r="CA75"/>
  <c r="CB75"/>
  <c r="BZ76"/>
  <c r="CA76"/>
  <c r="CB76"/>
  <c r="BZ77"/>
  <c r="CA77"/>
  <c r="CB77"/>
  <c r="BZ78"/>
  <c r="CA78"/>
  <c r="CB78"/>
  <c r="BZ79"/>
  <c r="CA79"/>
  <c r="CB79"/>
  <c r="BZ80"/>
  <c r="CA80"/>
  <c r="CB80"/>
  <c r="BZ81"/>
  <c r="CA81"/>
  <c r="CB81"/>
  <c r="BZ82"/>
  <c r="CA82"/>
  <c r="CB82"/>
  <c r="BZ83"/>
  <c r="CA83"/>
  <c r="CB83"/>
  <c r="BZ84"/>
  <c r="CA84"/>
  <c r="CB84"/>
  <c r="BZ85"/>
  <c r="CA85"/>
  <c r="CB85"/>
  <c r="BZ86"/>
  <c r="CA86"/>
  <c r="CB86"/>
  <c r="BZ87"/>
  <c r="CA87"/>
  <c r="CB87"/>
  <c r="BZ88"/>
  <c r="CA88"/>
  <c r="CB88"/>
  <c r="BZ89"/>
  <c r="CA89"/>
  <c r="CB89"/>
  <c r="BZ90"/>
  <c r="CA90"/>
  <c r="CB90"/>
  <c r="BZ91"/>
  <c r="CA91"/>
  <c r="CB91"/>
  <c r="BZ92"/>
  <c r="CA92"/>
  <c r="CB92"/>
  <c r="BZ93"/>
  <c r="CA93"/>
  <c r="CB93"/>
  <c r="BZ94"/>
  <c r="CA94"/>
  <c r="CB94"/>
  <c r="BZ95"/>
  <c r="CA95"/>
  <c r="CB95"/>
  <c r="BZ96"/>
  <c r="CA96"/>
  <c r="CB96"/>
  <c r="BZ97"/>
  <c r="CA97"/>
  <c r="CB97"/>
  <c r="BZ98"/>
  <c r="CA98"/>
  <c r="CB98"/>
  <c r="BZ99"/>
  <c r="CA99"/>
  <c r="CB99"/>
  <c r="BZ100"/>
  <c r="CA100"/>
  <c r="CB100"/>
  <c r="BZ101"/>
  <c r="CA101"/>
  <c r="CB101"/>
  <c r="BZ102"/>
  <c r="CA102"/>
  <c r="CB102"/>
  <c r="BZ103"/>
  <c r="CA103"/>
  <c r="CB103"/>
  <c r="BZ104"/>
  <c r="CA104"/>
  <c r="CB104"/>
  <c r="BZ105"/>
  <c r="CA105"/>
  <c r="CB105"/>
  <c r="BZ106"/>
  <c r="CA106"/>
  <c r="CB106"/>
  <c r="BZ107"/>
  <c r="CA107"/>
  <c r="CB107"/>
  <c r="BZ108"/>
  <c r="CA108"/>
  <c r="CB108"/>
  <c r="BZ109"/>
  <c r="CA109"/>
  <c r="CB109"/>
  <c r="BZ110"/>
  <c r="CA110"/>
  <c r="CB110"/>
  <c r="BZ111"/>
  <c r="CA111"/>
  <c r="CB111"/>
  <c r="BZ112"/>
  <c r="CA112"/>
  <c r="CB112"/>
  <c r="BZ113"/>
  <c r="CA113"/>
  <c r="CB113"/>
  <c r="CB4"/>
  <c r="BZ4"/>
  <c r="U8" i="36"/>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U7"/>
  <c r="P7"/>
  <c r="BD48" i="7"/>
  <c r="BE51"/>
  <c r="BD49"/>
  <c r="BC53"/>
  <c r="BC33"/>
  <c r="BE45"/>
  <c r="BD51"/>
  <c r="BD32"/>
  <c r="BC42"/>
  <c r="BD42"/>
  <c r="BC50"/>
  <c r="BE34"/>
  <c r="BC41"/>
  <c r="BE44"/>
  <c r="BC44"/>
  <c r="BC43"/>
  <c r="BC40"/>
  <c r="BC34"/>
  <c r="BD37"/>
  <c r="BD34"/>
  <c r="BC37"/>
  <c r="BE48"/>
  <c r="BE33"/>
  <c r="BD43"/>
  <c r="BD33"/>
  <c r="BE52"/>
  <c r="BD35"/>
  <c r="BE40"/>
  <c r="BC45"/>
  <c r="BC35"/>
  <c r="BE41"/>
  <c r="BD44"/>
  <c r="BE37"/>
  <c r="BD50"/>
  <c r="BC49"/>
  <c r="BE53"/>
  <c r="BE42"/>
  <c r="BE49"/>
  <c r="BD40"/>
  <c r="BC36"/>
  <c r="BC48"/>
  <c r="BE32"/>
  <c r="BD41"/>
  <c r="BE43"/>
  <c r="BC32"/>
  <c r="BC51"/>
  <c r="BD36"/>
  <c r="BD52"/>
  <c r="BC52"/>
  <c r="BE36"/>
  <c r="BE35"/>
  <c r="BE50"/>
  <c r="BD45"/>
  <c r="BD53"/>
  <c r="AV10" l="1"/>
  <c r="AV112"/>
  <c r="AV108"/>
  <c r="AV104"/>
  <c r="AV100"/>
  <c r="AV96"/>
  <c r="AV92"/>
  <c r="AV88"/>
  <c r="AV84"/>
  <c r="AV80"/>
  <c r="AV76"/>
  <c r="AV72"/>
  <c r="AV68"/>
  <c r="AV64"/>
  <c r="AV60"/>
  <c r="AV56"/>
  <c r="AV52"/>
  <c r="AV48"/>
  <c r="AV44"/>
  <c r="AV40"/>
  <c r="AV36"/>
  <c r="AV32"/>
  <c r="AV28"/>
  <c r="AV24"/>
  <c r="AV20"/>
  <c r="AV16"/>
  <c r="AV12"/>
  <c r="AV113"/>
  <c r="AV109"/>
  <c r="AV105"/>
  <c r="AV101"/>
  <c r="AV97"/>
  <c r="AV93"/>
  <c r="AV89"/>
  <c r="AV85"/>
  <c r="AV81"/>
  <c r="AV77"/>
  <c r="AV73"/>
  <c r="AV69"/>
  <c r="AV65"/>
  <c r="AV61"/>
  <c r="AV57"/>
  <c r="AV53"/>
  <c r="AV49"/>
  <c r="AV45"/>
  <c r="AV41"/>
  <c r="AV37"/>
  <c r="AV33"/>
  <c r="AV29"/>
  <c r="AV25"/>
  <c r="AV21"/>
  <c r="AV17"/>
  <c r="AV13"/>
  <c r="AV7"/>
  <c r="AV9"/>
  <c r="AV8"/>
  <c r="AP48"/>
  <c r="AQ48" s="1"/>
  <c r="AZ49"/>
  <c r="AZ53"/>
  <c r="AZ52"/>
  <c r="AZ51"/>
  <c r="AZ48"/>
  <c r="AZ50"/>
  <c r="AZ43"/>
  <c r="AZ42"/>
  <c r="AZ41"/>
  <c r="AZ45"/>
  <c r="AZ40"/>
  <c r="AZ44"/>
  <c r="AZ33"/>
  <c r="AZ35"/>
  <c r="AZ37"/>
  <c r="AZ34"/>
  <c r="AZ36"/>
  <c r="AN32"/>
  <c r="AN31"/>
  <c r="AN30"/>
  <c r="AN29"/>
  <c r="AN28"/>
  <c r="AN27"/>
  <c r="AN24"/>
  <c r="AN23"/>
  <c r="AN22"/>
  <c r="AN21"/>
  <c r="AN20"/>
  <c r="AN19"/>
  <c r="AQ52" i="36"/>
  <c r="AQ50"/>
  <c r="AQ51"/>
  <c r="AQ48"/>
  <c r="AQ49"/>
  <c r="AQ47"/>
  <c r="AQ46"/>
  <c r="AQ44"/>
  <c r="AQ45"/>
  <c r="AQ41"/>
  <c r="AQ43"/>
  <c r="AQ42"/>
  <c r="AQ40"/>
  <c r="AQ30"/>
  <c r="AQ32"/>
  <c r="AQ31"/>
  <c r="AQ24"/>
  <c r="AQ27"/>
  <c r="AQ26"/>
  <c r="AQ25"/>
  <c r="AQ19"/>
  <c r="AQ23"/>
  <c r="AQ22"/>
  <c r="AQ21"/>
  <c r="AQ20"/>
  <c r="AQ15"/>
  <c r="AQ18"/>
  <c r="AQ17"/>
  <c r="AQ16"/>
  <c r="AQ13"/>
  <c r="AQ14"/>
  <c r="M8" i="25" l="1"/>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7"/>
  <c r="N8" i="21"/>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7"/>
  <c r="N8" i="7"/>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7"/>
  <c r="N8" i="36"/>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7"/>
  <c r="N10" i="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5"/>
  <c r="N6"/>
  <c r="N7"/>
  <c r="N8"/>
  <c r="N9"/>
  <c r="N4"/>
  <c r="DH5" i="49" l="1"/>
  <c r="DJ5" s="1"/>
  <c r="L8" i="7" s="1"/>
  <c r="DI5" i="49"/>
  <c r="DH6"/>
  <c r="DI6"/>
  <c r="DJ6" s="1"/>
  <c r="DH7"/>
  <c r="DJ7" s="1"/>
  <c r="L10" i="7" s="1"/>
  <c r="DI7" i="49"/>
  <c r="DH8"/>
  <c r="DI8"/>
  <c r="DH9"/>
  <c r="DI9"/>
  <c r="DH10"/>
  <c r="DI10"/>
  <c r="DJ10" s="1"/>
  <c r="DH11"/>
  <c r="DJ11" s="1"/>
  <c r="L14" i="7" s="1"/>
  <c r="DI11" i="49"/>
  <c r="DH12"/>
  <c r="DI12"/>
  <c r="DH13"/>
  <c r="DI13"/>
  <c r="DH14"/>
  <c r="DI14"/>
  <c r="DJ14" s="1"/>
  <c r="L17" i="7" s="1"/>
  <c r="DH15" i="49"/>
  <c r="DJ15" s="1"/>
  <c r="L18" i="7" s="1"/>
  <c r="DI15" i="49"/>
  <c r="DH16"/>
  <c r="DI16"/>
  <c r="DH17"/>
  <c r="DJ17" s="1"/>
  <c r="L20" i="7" s="1"/>
  <c r="DI17" i="49"/>
  <c r="DH18"/>
  <c r="DI18"/>
  <c r="DJ18" s="1"/>
  <c r="L21" i="7" s="1"/>
  <c r="DH19" i="49"/>
  <c r="DJ19" s="1"/>
  <c r="L22" i="7" s="1"/>
  <c r="DI19" i="49"/>
  <c r="DH20"/>
  <c r="DI20"/>
  <c r="DH21"/>
  <c r="DJ21" s="1"/>
  <c r="L24" i="7" s="1"/>
  <c r="DI21" i="49"/>
  <c r="DH22"/>
  <c r="DI22"/>
  <c r="DJ22" s="1"/>
  <c r="DH23"/>
  <c r="DJ23" s="1"/>
  <c r="L26" i="7" s="1"/>
  <c r="DI23" i="49"/>
  <c r="DH24"/>
  <c r="DI24"/>
  <c r="DH25"/>
  <c r="DJ25" s="1"/>
  <c r="L28" i="7" s="1"/>
  <c r="DI25" i="49"/>
  <c r="DH26"/>
  <c r="DI26"/>
  <c r="DJ26" s="1"/>
  <c r="DH27"/>
  <c r="DJ27" s="1"/>
  <c r="L30" i="7" s="1"/>
  <c r="DI27" i="49"/>
  <c r="DH28"/>
  <c r="DI28"/>
  <c r="DH29"/>
  <c r="DI29"/>
  <c r="DH30"/>
  <c r="DI30"/>
  <c r="DH31"/>
  <c r="DJ31" s="1"/>
  <c r="L34" i="7" s="1"/>
  <c r="DI31" i="49"/>
  <c r="DH32"/>
  <c r="DI32"/>
  <c r="DH33"/>
  <c r="DI33"/>
  <c r="DH34"/>
  <c r="DI34"/>
  <c r="DH35"/>
  <c r="DI35"/>
  <c r="DJ35" s="1"/>
  <c r="L38" i="7" s="1"/>
  <c r="DH36" i="49"/>
  <c r="DI36"/>
  <c r="DH37"/>
  <c r="DI37"/>
  <c r="DH38"/>
  <c r="DI38"/>
  <c r="DJ38" s="1"/>
  <c r="L41" i="7" s="1"/>
  <c r="DH39" i="49"/>
  <c r="DI39"/>
  <c r="DH40"/>
  <c r="DI40"/>
  <c r="DH41"/>
  <c r="DI41"/>
  <c r="DH42"/>
  <c r="DI42"/>
  <c r="DJ42" s="1"/>
  <c r="L45" i="7" s="1"/>
  <c r="DH43" i="49"/>
  <c r="DI43"/>
  <c r="DH44"/>
  <c r="DI44"/>
  <c r="DH45"/>
  <c r="DI45"/>
  <c r="DH46"/>
  <c r="DI46"/>
  <c r="DH47"/>
  <c r="DI47"/>
  <c r="DJ47"/>
  <c r="L50" i="7" s="1"/>
  <c r="DH48" i="49"/>
  <c r="DJ48" s="1"/>
  <c r="L51" i="7" s="1"/>
  <c r="DI48" i="49"/>
  <c r="DH49"/>
  <c r="DI49"/>
  <c r="DH50"/>
  <c r="DI50"/>
  <c r="DH51"/>
  <c r="DI51"/>
  <c r="DJ51" s="1"/>
  <c r="L54" i="7" s="1"/>
  <c r="DH52" i="49"/>
  <c r="DI52"/>
  <c r="DH53"/>
  <c r="DI53"/>
  <c r="DH54"/>
  <c r="DI54"/>
  <c r="DH55"/>
  <c r="DI55"/>
  <c r="DH56"/>
  <c r="DI56"/>
  <c r="DH57"/>
  <c r="DI57"/>
  <c r="DH58"/>
  <c r="DI58"/>
  <c r="DH59"/>
  <c r="DI59"/>
  <c r="DH60"/>
  <c r="DJ60" s="1"/>
  <c r="L63" i="7" s="1"/>
  <c r="DI60" i="49"/>
  <c r="DH61"/>
  <c r="DI61"/>
  <c r="DH62"/>
  <c r="DI62"/>
  <c r="DH63"/>
  <c r="DI63"/>
  <c r="DJ63"/>
  <c r="L66" i="7" s="1"/>
  <c r="DH64" i="49"/>
  <c r="DI64"/>
  <c r="DH65"/>
  <c r="DI65"/>
  <c r="DH66"/>
  <c r="DI66"/>
  <c r="DH67"/>
  <c r="DI67"/>
  <c r="DJ67" s="1"/>
  <c r="L70" i="7" s="1"/>
  <c r="DH68" i="49"/>
  <c r="DI68"/>
  <c r="DH69"/>
  <c r="DI69"/>
  <c r="DH70"/>
  <c r="DI70"/>
  <c r="DJ70" s="1"/>
  <c r="DH71"/>
  <c r="DI71"/>
  <c r="DJ71" s="1"/>
  <c r="L74" i="7" s="1"/>
  <c r="DH72" i="49"/>
  <c r="DI72"/>
  <c r="DH73"/>
  <c r="DI73"/>
  <c r="DH74"/>
  <c r="DI74"/>
  <c r="DH75"/>
  <c r="DI75"/>
  <c r="DH76"/>
  <c r="DI76"/>
  <c r="DH77"/>
  <c r="DI77"/>
  <c r="DH78"/>
  <c r="DI78"/>
  <c r="DJ78" s="1"/>
  <c r="L81" i="7" s="1"/>
  <c r="DH79" i="49"/>
  <c r="DI79"/>
  <c r="DH80"/>
  <c r="DI80"/>
  <c r="DH81"/>
  <c r="DI81"/>
  <c r="DH82"/>
  <c r="DI82"/>
  <c r="DH83"/>
  <c r="DJ83" s="1"/>
  <c r="L86" i="7" s="1"/>
  <c r="DI83" i="49"/>
  <c r="DH84"/>
  <c r="DI84"/>
  <c r="DH85"/>
  <c r="DI85"/>
  <c r="DH86"/>
  <c r="DI86"/>
  <c r="DJ86" s="1"/>
  <c r="DH87"/>
  <c r="DI87"/>
  <c r="DH88"/>
  <c r="DI88"/>
  <c r="DH89"/>
  <c r="DJ89" s="1"/>
  <c r="L92" i="7" s="1"/>
  <c r="DI89" i="49"/>
  <c r="DH90"/>
  <c r="DI90"/>
  <c r="DH91"/>
  <c r="DJ91" s="1"/>
  <c r="L94" i="7" s="1"/>
  <c r="DI91" i="49"/>
  <c r="DH92"/>
  <c r="DI92"/>
  <c r="DH93"/>
  <c r="DI93"/>
  <c r="DH94"/>
  <c r="DI94"/>
  <c r="DJ94" s="1"/>
  <c r="L97" i="7" s="1"/>
  <c r="DH95" i="49"/>
  <c r="DJ95" s="1"/>
  <c r="L98" i="7" s="1"/>
  <c r="DI95" i="49"/>
  <c r="DH96"/>
  <c r="DI96"/>
  <c r="DH97"/>
  <c r="DJ97" s="1"/>
  <c r="L100" i="7" s="1"/>
  <c r="DI97" i="49"/>
  <c r="DH98"/>
  <c r="DI98"/>
  <c r="DH99"/>
  <c r="DJ99" s="1"/>
  <c r="L102" i="7" s="1"/>
  <c r="DI99" i="49"/>
  <c r="DH100"/>
  <c r="DI100"/>
  <c r="DH101"/>
  <c r="DI101"/>
  <c r="DH102"/>
  <c r="DI102"/>
  <c r="DJ102" s="1"/>
  <c r="L105" i="7" s="1"/>
  <c r="DH103" i="49"/>
  <c r="DI103"/>
  <c r="DJ103" s="1"/>
  <c r="L106" i="7" s="1"/>
  <c r="DH104" i="49"/>
  <c r="DI104"/>
  <c r="DH105"/>
  <c r="DI105"/>
  <c r="DH106"/>
  <c r="DI106"/>
  <c r="DH107"/>
  <c r="DI107"/>
  <c r="DH108"/>
  <c r="DI108"/>
  <c r="DH109"/>
  <c r="DI109"/>
  <c r="DH110"/>
  <c r="DI110"/>
  <c r="DJ110" s="1"/>
  <c r="L113" i="7" s="1"/>
  <c r="DH111" i="49"/>
  <c r="DI111"/>
  <c r="DH112"/>
  <c r="DI112"/>
  <c r="DH113"/>
  <c r="DJ113" s="1"/>
  <c r="L116" i="7" s="1"/>
  <c r="DI113" i="49"/>
  <c r="L9" i="7"/>
  <c r="L13"/>
  <c r="L25"/>
  <c r="L29"/>
  <c r="L73"/>
  <c r="L89"/>
  <c r="DI4" i="49"/>
  <c r="DH4"/>
  <c r="CS5" i="10"/>
  <c r="CT5"/>
  <c r="CS6"/>
  <c r="CT6"/>
  <c r="CS7"/>
  <c r="CT7"/>
  <c r="CS8"/>
  <c r="CT8"/>
  <c r="CS9"/>
  <c r="CT9"/>
  <c r="CS10"/>
  <c r="CT10"/>
  <c r="CS11"/>
  <c r="CT11"/>
  <c r="CS12"/>
  <c r="CT12"/>
  <c r="CS13"/>
  <c r="CT13"/>
  <c r="CS14"/>
  <c r="CT14"/>
  <c r="CS15"/>
  <c r="CT15"/>
  <c r="CS16"/>
  <c r="CT16"/>
  <c r="CS17"/>
  <c r="CT17"/>
  <c r="CS18"/>
  <c r="CT18"/>
  <c r="CS19"/>
  <c r="CT19"/>
  <c r="CU19" s="1"/>
  <c r="L22" i="50" s="1"/>
  <c r="CS20" i="10"/>
  <c r="CT20"/>
  <c r="CS21"/>
  <c r="CT21"/>
  <c r="CS22"/>
  <c r="CT22"/>
  <c r="CU22" s="1"/>
  <c r="L25" i="50" s="1"/>
  <c r="CS23" i="10"/>
  <c r="CU23" s="1"/>
  <c r="L26" i="50" s="1"/>
  <c r="CT23" i="10"/>
  <c r="CS24"/>
  <c r="CT24"/>
  <c r="CS25"/>
  <c r="CT25"/>
  <c r="CS26"/>
  <c r="CT26"/>
  <c r="CU26" s="1"/>
  <c r="L29" i="50" s="1"/>
  <c r="CS27" i="10"/>
  <c r="CT27"/>
  <c r="CU27"/>
  <c r="L30" i="50" s="1"/>
  <c r="CS28" i="10"/>
  <c r="CU28" s="1"/>
  <c r="L31" i="50" s="1"/>
  <c r="CT28" i="10"/>
  <c r="CS29"/>
  <c r="CT29"/>
  <c r="CS30"/>
  <c r="CT30"/>
  <c r="CS31"/>
  <c r="CT31"/>
  <c r="CU31" s="1"/>
  <c r="L34" i="50" s="1"/>
  <c r="CS32" i="10"/>
  <c r="CT32"/>
  <c r="CS33"/>
  <c r="CT33"/>
  <c r="CS34"/>
  <c r="CT34"/>
  <c r="CU34"/>
  <c r="L37" i="50" s="1"/>
  <c r="CS35" i="10"/>
  <c r="CU35" s="1"/>
  <c r="L38" i="50" s="1"/>
  <c r="CT35" i="10"/>
  <c r="CS36"/>
  <c r="CU36" s="1"/>
  <c r="L39" i="50" s="1"/>
  <c r="CT36" i="10"/>
  <c r="CS37"/>
  <c r="CT37"/>
  <c r="CS38"/>
  <c r="CT38"/>
  <c r="CS39"/>
  <c r="CT39"/>
  <c r="CU39"/>
  <c r="L42" i="50" s="1"/>
  <c r="CS40" i="10"/>
  <c r="CU40" s="1"/>
  <c r="L43" i="50" s="1"/>
  <c r="CT40" i="10"/>
  <c r="CS41"/>
  <c r="CT41"/>
  <c r="CS42"/>
  <c r="CU42" s="1"/>
  <c r="L45" i="50" s="1"/>
  <c r="CT42" i="10"/>
  <c r="CS43"/>
  <c r="CU43" s="1"/>
  <c r="L46" i="50" s="1"/>
  <c r="CT43" i="10"/>
  <c r="CS44"/>
  <c r="CT44"/>
  <c r="CS45"/>
  <c r="CT45"/>
  <c r="CS46"/>
  <c r="CT46"/>
  <c r="CU46" s="1"/>
  <c r="L49" i="50" s="1"/>
  <c r="CS47" i="10"/>
  <c r="CU47" s="1"/>
  <c r="L50" i="50" s="1"/>
  <c r="CT47" i="10"/>
  <c r="CS48"/>
  <c r="CU48" s="1"/>
  <c r="L51" i="50" s="1"/>
  <c r="CT48" i="10"/>
  <c r="CS49"/>
  <c r="CT49"/>
  <c r="CS50"/>
  <c r="CU50" s="1"/>
  <c r="L53" i="50" s="1"/>
  <c r="CT50" i="10"/>
  <c r="CS51"/>
  <c r="CT51"/>
  <c r="CU51" s="1"/>
  <c r="L54" i="50" s="1"/>
  <c r="CS52" i="10"/>
  <c r="CT52"/>
  <c r="CS53"/>
  <c r="CT53"/>
  <c r="CS54"/>
  <c r="CT54"/>
  <c r="CU54" s="1"/>
  <c r="L57" i="50" s="1"/>
  <c r="CS55" i="10"/>
  <c r="CU55" s="1"/>
  <c r="L58" i="50" s="1"/>
  <c r="CT55" i="10"/>
  <c r="CS56"/>
  <c r="CT56"/>
  <c r="CS57"/>
  <c r="CT57"/>
  <c r="CS58"/>
  <c r="CT58"/>
  <c r="CU58" s="1"/>
  <c r="L61" i="50" s="1"/>
  <c r="CS59" i="10"/>
  <c r="CT59"/>
  <c r="CU59"/>
  <c r="L62" i="50" s="1"/>
  <c r="CS60" i="10"/>
  <c r="CU60" s="1"/>
  <c r="L63" i="50" s="1"/>
  <c r="CT60" i="10"/>
  <c r="CS61"/>
  <c r="CT61"/>
  <c r="CS62"/>
  <c r="CT62"/>
  <c r="CS63"/>
  <c r="CT63"/>
  <c r="CU63" s="1"/>
  <c r="L66" i="50" s="1"/>
  <c r="CS64" i="10"/>
  <c r="CT64"/>
  <c r="CS65"/>
  <c r="CU65" s="1"/>
  <c r="L68" i="50" s="1"/>
  <c r="CT65" i="10"/>
  <c r="CS66"/>
  <c r="CT66"/>
  <c r="CU66"/>
  <c r="L69" i="50" s="1"/>
  <c r="CS67" i="10"/>
  <c r="CU67" s="1"/>
  <c r="L70" i="50" s="1"/>
  <c r="CT67" i="10"/>
  <c r="CS68"/>
  <c r="CU68" s="1"/>
  <c r="L71" i="50" s="1"/>
  <c r="CT68" i="10"/>
  <c r="CS69"/>
  <c r="CT69"/>
  <c r="CS70"/>
  <c r="CU70" s="1"/>
  <c r="L73" i="50" s="1"/>
  <c r="CT70" i="10"/>
  <c r="CS71"/>
  <c r="CT71"/>
  <c r="CU71" s="1"/>
  <c r="L74" i="50" s="1"/>
  <c r="CS72" i="10"/>
  <c r="CT72"/>
  <c r="CS73"/>
  <c r="CU73" s="1"/>
  <c r="L76" i="50" s="1"/>
  <c r="CT73" i="10"/>
  <c r="CS74"/>
  <c r="CT74"/>
  <c r="CU74"/>
  <c r="L77" i="50" s="1"/>
  <c r="CS75" i="10"/>
  <c r="CU75" s="1"/>
  <c r="L78" i="50" s="1"/>
  <c r="CT75" i="10"/>
  <c r="CS76"/>
  <c r="CU76" s="1"/>
  <c r="L79" i="50" s="1"/>
  <c r="CT76" i="10"/>
  <c r="CS77"/>
  <c r="CT77"/>
  <c r="CS78"/>
  <c r="CU78" s="1"/>
  <c r="L81" i="50" s="1"/>
  <c r="CT78" i="10"/>
  <c r="CS79"/>
  <c r="CT79"/>
  <c r="CU79" s="1"/>
  <c r="L82" i="50" s="1"/>
  <c r="CS80" i="10"/>
  <c r="CT80"/>
  <c r="CS81"/>
  <c r="CU81" s="1"/>
  <c r="L84" i="50" s="1"/>
  <c r="CT81" i="10"/>
  <c r="CS82"/>
  <c r="CT82"/>
  <c r="CU82"/>
  <c r="L85" i="50" s="1"/>
  <c r="CS83" i="10"/>
  <c r="CU83" s="1"/>
  <c r="L86" i="50" s="1"/>
  <c r="CT83" i="10"/>
  <c r="CS84"/>
  <c r="CU84" s="1"/>
  <c r="L87" i="50" s="1"/>
  <c r="CT84" i="10"/>
  <c r="CS85"/>
  <c r="CT85"/>
  <c r="CS86"/>
  <c r="CU86" s="1"/>
  <c r="L89" i="50" s="1"/>
  <c r="CT86" i="10"/>
  <c r="CS87"/>
  <c r="CT87"/>
  <c r="CU87" s="1"/>
  <c r="L90" i="50" s="1"/>
  <c r="CS88" i="10"/>
  <c r="CT88"/>
  <c r="CS89"/>
  <c r="CU89" s="1"/>
  <c r="L92" i="50" s="1"/>
  <c r="CT89" i="10"/>
  <c r="CS90"/>
  <c r="CT90"/>
  <c r="CU90"/>
  <c r="L93" i="50" s="1"/>
  <c r="CS91" i="10"/>
  <c r="CU91" s="1"/>
  <c r="L94" i="50" s="1"/>
  <c r="CT91" i="10"/>
  <c r="CS92"/>
  <c r="CU92" s="1"/>
  <c r="L95" i="50" s="1"/>
  <c r="CT92" i="10"/>
  <c r="CS93"/>
  <c r="CT93"/>
  <c r="CS94"/>
  <c r="CU94" s="1"/>
  <c r="L97" i="50" s="1"/>
  <c r="CT94" i="10"/>
  <c r="CS95"/>
  <c r="CT95"/>
  <c r="CU95" s="1"/>
  <c r="L98" i="50" s="1"/>
  <c r="CS96" i="10"/>
  <c r="CT96"/>
  <c r="CS97"/>
  <c r="CU97" s="1"/>
  <c r="L100" i="50" s="1"/>
  <c r="CT97" i="10"/>
  <c r="CS98"/>
  <c r="CT98"/>
  <c r="CU98"/>
  <c r="L101" i="50" s="1"/>
  <c r="CS99" i="10"/>
  <c r="CU99" s="1"/>
  <c r="L102" i="50" s="1"/>
  <c r="CT99" i="10"/>
  <c r="CS100"/>
  <c r="CU100" s="1"/>
  <c r="L103" i="50" s="1"/>
  <c r="CT100" i="10"/>
  <c r="CS101"/>
  <c r="CU101" s="1"/>
  <c r="L104" i="50" s="1"/>
  <c r="CT101" i="10"/>
  <c r="CS102"/>
  <c r="CU102" s="1"/>
  <c r="L105" i="50" s="1"/>
  <c r="CT102" i="10"/>
  <c r="CS103"/>
  <c r="CT103"/>
  <c r="CU103" s="1"/>
  <c r="L106" i="50" s="1"/>
  <c r="CS104" i="10"/>
  <c r="CU104" s="1"/>
  <c r="L107" i="50" s="1"/>
  <c r="CT104" i="10"/>
  <c r="CS105"/>
  <c r="CU105" s="1"/>
  <c r="L108" i="50" s="1"/>
  <c r="CT105" i="10"/>
  <c r="CS106"/>
  <c r="CT106"/>
  <c r="CU106"/>
  <c r="L109" i="50" s="1"/>
  <c r="CS107" i="10"/>
  <c r="CU107" s="1"/>
  <c r="L110" i="50" s="1"/>
  <c r="CT107" i="10"/>
  <c r="CS108"/>
  <c r="CU108" s="1"/>
  <c r="L111" i="50" s="1"/>
  <c r="CT108" i="10"/>
  <c r="CS109"/>
  <c r="CU109" s="1"/>
  <c r="L112" i="50" s="1"/>
  <c r="CT109" i="10"/>
  <c r="CS110"/>
  <c r="CU110" s="1"/>
  <c r="L113" i="50" s="1"/>
  <c r="CT110" i="10"/>
  <c r="CS111"/>
  <c r="CT111"/>
  <c r="CU111" s="1"/>
  <c r="L114" i="50" s="1"/>
  <c r="CS112" i="10"/>
  <c r="CU112" s="1"/>
  <c r="L115" i="50" s="1"/>
  <c r="CT112" i="10"/>
  <c r="CS113"/>
  <c r="CT113"/>
  <c r="CU113"/>
  <c r="CT4"/>
  <c r="CS4"/>
  <c r="CP5"/>
  <c r="K8" i="50" s="1"/>
  <c r="CP6" i="10"/>
  <c r="CP7"/>
  <c r="CP8"/>
  <c r="CP9"/>
  <c r="K12" i="50" s="1"/>
  <c r="CP10" i="10"/>
  <c r="CP11"/>
  <c r="CP12"/>
  <c r="K15" i="50" s="1"/>
  <c r="CP13" i="10"/>
  <c r="K16" i="50" s="1"/>
  <c r="CP14" i="10"/>
  <c r="CP15"/>
  <c r="CP16"/>
  <c r="K19" i="50" s="1"/>
  <c r="CP17" i="10"/>
  <c r="K20" i="50" s="1"/>
  <c r="CP18" i="10"/>
  <c r="CP19"/>
  <c r="CP20"/>
  <c r="CP21"/>
  <c r="K24" i="50" s="1"/>
  <c r="CP22" i="10"/>
  <c r="CP23"/>
  <c r="CP24"/>
  <c r="CP25"/>
  <c r="K28" i="50" s="1"/>
  <c r="CP26" i="10"/>
  <c r="CP27"/>
  <c r="CP28"/>
  <c r="CP29"/>
  <c r="K32" i="50" s="1"/>
  <c r="CP30" i="10"/>
  <c r="CP31"/>
  <c r="CP32"/>
  <c r="CP33"/>
  <c r="K36" i="50" s="1"/>
  <c r="CP34" i="10"/>
  <c r="CP35"/>
  <c r="CP36"/>
  <c r="CP37"/>
  <c r="K40" i="50" s="1"/>
  <c r="CP38" i="10"/>
  <c r="CP39"/>
  <c r="CP40"/>
  <c r="CP41"/>
  <c r="K44" i="50" s="1"/>
  <c r="CP42" i="10"/>
  <c r="CP43"/>
  <c r="CP44"/>
  <c r="CP45"/>
  <c r="K48" i="50" s="1"/>
  <c r="CP46" i="10"/>
  <c r="CP47"/>
  <c r="CP48"/>
  <c r="CP49"/>
  <c r="K52" i="50" s="1"/>
  <c r="CP50" i="10"/>
  <c r="CP51"/>
  <c r="CP52"/>
  <c r="K55" i="50" s="1"/>
  <c r="CP53" i="10"/>
  <c r="K56" i="50" s="1"/>
  <c r="CP54" i="10"/>
  <c r="CP55"/>
  <c r="CP56"/>
  <c r="CP57"/>
  <c r="K60" i="50" s="1"/>
  <c r="CP58" i="10"/>
  <c r="CP59"/>
  <c r="CP60"/>
  <c r="K63" i="50" s="1"/>
  <c r="CP61" i="10"/>
  <c r="K64" i="50" s="1"/>
  <c r="CP62" i="10"/>
  <c r="CP63"/>
  <c r="CP64"/>
  <c r="K67" i="50" s="1"/>
  <c r="CP65" i="10"/>
  <c r="K68" i="50" s="1"/>
  <c r="CP66" i="10"/>
  <c r="CP67"/>
  <c r="CP68"/>
  <c r="K71" i="50" s="1"/>
  <c r="CP69" i="10"/>
  <c r="K72" i="50" s="1"/>
  <c r="CP70" i="10"/>
  <c r="CP71"/>
  <c r="CP72"/>
  <c r="CP73"/>
  <c r="CP74"/>
  <c r="CP75"/>
  <c r="CP76"/>
  <c r="CP77"/>
  <c r="K80" i="50" s="1"/>
  <c r="CP78" i="10"/>
  <c r="CP79"/>
  <c r="CP80"/>
  <c r="CP81"/>
  <c r="K84" i="50" s="1"/>
  <c r="CP82" i="10"/>
  <c r="CP83"/>
  <c r="CP84"/>
  <c r="CP85"/>
  <c r="K88" i="50" s="1"/>
  <c r="CP86" i="10"/>
  <c r="CP87"/>
  <c r="CP88"/>
  <c r="CP89"/>
  <c r="K92" i="50" s="1"/>
  <c r="CP90" i="10"/>
  <c r="CP91"/>
  <c r="CP92"/>
  <c r="K95" i="50" s="1"/>
  <c r="CP93" i="10"/>
  <c r="K96" i="50" s="1"/>
  <c r="CP94" i="10"/>
  <c r="CP95"/>
  <c r="CP96"/>
  <c r="K99" i="50" s="1"/>
  <c r="CP97" i="10"/>
  <c r="K100" i="50" s="1"/>
  <c r="CP98" i="10"/>
  <c r="CP99"/>
  <c r="CP100"/>
  <c r="CP101"/>
  <c r="K104" i="50" s="1"/>
  <c r="CP102" i="10"/>
  <c r="CP103"/>
  <c r="CP104"/>
  <c r="K107" i="50" s="1"/>
  <c r="CP105" i="10"/>
  <c r="K108" i="50" s="1"/>
  <c r="CP106" i="10"/>
  <c r="CP107"/>
  <c r="CP108"/>
  <c r="CP109"/>
  <c r="K112" i="50" s="1"/>
  <c r="CP110" i="10"/>
  <c r="CP111"/>
  <c r="CP112"/>
  <c r="CP113"/>
  <c r="J116" i="25" s="1"/>
  <c r="CP4" i="10"/>
  <c r="W116" i="21"/>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W7"/>
  <c r="Q7" i="7"/>
  <c r="N46" i="44"/>
  <c r="N46" i="42"/>
  <c r="DE5" i="49"/>
  <c r="K8" i="7" s="1"/>
  <c r="DE6" i="49"/>
  <c r="K9" i="36" s="1"/>
  <c r="DE7" i="49"/>
  <c r="K10" i="36" s="1"/>
  <c r="DE8" i="49"/>
  <c r="K11" i="7" s="1"/>
  <c r="DE9" i="49"/>
  <c r="K12" i="7" s="1"/>
  <c r="DE10" i="49"/>
  <c r="K13" i="7" s="1"/>
  <c r="DE11" i="49"/>
  <c r="K14" i="36" s="1"/>
  <c r="DE12" i="49"/>
  <c r="K15" i="36" s="1"/>
  <c r="DE13" i="49"/>
  <c r="K16" i="7" s="1"/>
  <c r="DE14" i="49"/>
  <c r="K17" i="7" s="1"/>
  <c r="DE15" i="49"/>
  <c r="K18" i="36" s="1"/>
  <c r="DE16" i="49"/>
  <c r="K19" i="36" s="1"/>
  <c r="DE17" i="49"/>
  <c r="K20" i="7" s="1"/>
  <c r="DE18" i="49"/>
  <c r="K21" i="36" s="1"/>
  <c r="DE19" i="49"/>
  <c r="K22" i="36" s="1"/>
  <c r="DE20" i="49"/>
  <c r="K23" i="36" s="1"/>
  <c r="DE21" i="49"/>
  <c r="K24" i="7" s="1"/>
  <c r="DE22" i="49"/>
  <c r="DE23"/>
  <c r="K26" i="7" s="1"/>
  <c r="DE24" i="49"/>
  <c r="K27" i="7" s="1"/>
  <c r="DE25" i="49"/>
  <c r="K28" i="7" s="1"/>
  <c r="DE26" i="49"/>
  <c r="DE27"/>
  <c r="K30" i="36" s="1"/>
  <c r="DE28" i="49"/>
  <c r="K31" i="7" s="1"/>
  <c r="DE29" i="49"/>
  <c r="K32" i="7" s="1"/>
  <c r="DE30" i="49"/>
  <c r="DE31"/>
  <c r="K34" i="7" s="1"/>
  <c r="DE32" i="49"/>
  <c r="K35" i="36" s="1"/>
  <c r="DE33" i="49"/>
  <c r="K36" i="7" s="1"/>
  <c r="DE34" i="49"/>
  <c r="DE35"/>
  <c r="K38" i="7" s="1"/>
  <c r="DE36" i="49"/>
  <c r="K39" i="7" s="1"/>
  <c r="DE37" i="49"/>
  <c r="K40" i="7" s="1"/>
  <c r="DE38" i="49"/>
  <c r="DE39"/>
  <c r="K42" i="36" s="1"/>
  <c r="DE40" i="49"/>
  <c r="K43" i="36" s="1"/>
  <c r="DE41" i="49"/>
  <c r="K44" i="7" s="1"/>
  <c r="DE42" i="49"/>
  <c r="DE43"/>
  <c r="K46" i="36" s="1"/>
  <c r="DE44" i="49"/>
  <c r="K47" i="36" s="1"/>
  <c r="DE45" i="49"/>
  <c r="K48" i="7" s="1"/>
  <c r="DE46" i="49"/>
  <c r="DE47"/>
  <c r="K50" i="36" s="1"/>
  <c r="DE48" i="49"/>
  <c r="K51" i="36" s="1"/>
  <c r="DE49" i="49"/>
  <c r="K52" i="7" s="1"/>
  <c r="DE50" i="49"/>
  <c r="DE51"/>
  <c r="K54" i="36" s="1"/>
  <c r="DE52" i="49"/>
  <c r="K55" i="36" s="1"/>
  <c r="DE53" i="49"/>
  <c r="K56" i="7" s="1"/>
  <c r="DE54" i="49"/>
  <c r="DE55"/>
  <c r="K58" i="36" s="1"/>
  <c r="DE56" i="49"/>
  <c r="K59" i="36" s="1"/>
  <c r="DE57" i="49"/>
  <c r="K60" i="7" s="1"/>
  <c r="DE58" i="49"/>
  <c r="DE59"/>
  <c r="K62" i="36" s="1"/>
  <c r="DE60" i="49"/>
  <c r="K63" i="36" s="1"/>
  <c r="DE61" i="49"/>
  <c r="K64" i="7" s="1"/>
  <c r="DE62" i="49"/>
  <c r="DE63"/>
  <c r="K66" i="36" s="1"/>
  <c r="DE64" i="49"/>
  <c r="K67" i="36" s="1"/>
  <c r="DE65" i="49"/>
  <c r="K68" i="7" s="1"/>
  <c r="DE66" i="49"/>
  <c r="DE67"/>
  <c r="K70" i="36" s="1"/>
  <c r="DE68" i="49"/>
  <c r="K71" i="36" s="1"/>
  <c r="DE69" i="49"/>
  <c r="K72" i="7" s="1"/>
  <c r="DE70" i="49"/>
  <c r="DE71"/>
  <c r="DE72"/>
  <c r="K75" i="36" s="1"/>
  <c r="DE73" i="49"/>
  <c r="K76" i="7" s="1"/>
  <c r="DE74" i="49"/>
  <c r="DE75"/>
  <c r="DE76"/>
  <c r="K79" i="36" s="1"/>
  <c r="DE77" i="49"/>
  <c r="K80" i="7" s="1"/>
  <c r="DE78" i="49"/>
  <c r="DE79"/>
  <c r="DE80"/>
  <c r="K83" i="7" s="1"/>
  <c r="DE81" i="49"/>
  <c r="K84" i="7" s="1"/>
  <c r="DE82" i="49"/>
  <c r="DE83"/>
  <c r="DE84"/>
  <c r="K87" i="36" s="1"/>
  <c r="DE85" i="49"/>
  <c r="K88" i="7" s="1"/>
  <c r="DE86" i="49"/>
  <c r="DE87"/>
  <c r="DE88"/>
  <c r="K91" i="36" s="1"/>
  <c r="DE89" i="49"/>
  <c r="K92" i="7" s="1"/>
  <c r="DE90" i="49"/>
  <c r="DE91"/>
  <c r="DE92"/>
  <c r="K95" i="7" s="1"/>
  <c r="DE93" i="49"/>
  <c r="K96" i="7" s="1"/>
  <c r="DE94" i="49"/>
  <c r="DE95"/>
  <c r="DE96"/>
  <c r="K99" i="36" s="1"/>
  <c r="DE97" i="49"/>
  <c r="K100" i="7" s="1"/>
  <c r="DE98" i="49"/>
  <c r="DE99"/>
  <c r="DE100"/>
  <c r="K103" i="36" s="1"/>
  <c r="DE101" i="49"/>
  <c r="K104" i="7" s="1"/>
  <c r="DE102" i="49"/>
  <c r="DE103"/>
  <c r="DE104"/>
  <c r="K107" i="36" s="1"/>
  <c r="DE105" i="49"/>
  <c r="K108" i="7" s="1"/>
  <c r="DE106" i="49"/>
  <c r="DE107"/>
  <c r="DE108"/>
  <c r="K111" i="36" s="1"/>
  <c r="DE109" i="49"/>
  <c r="K112" i="7" s="1"/>
  <c r="DE110" i="49"/>
  <c r="DE111"/>
  <c r="DE112"/>
  <c r="K115" i="36" s="1"/>
  <c r="DE113" i="49"/>
  <c r="K116" i="36" s="1"/>
  <c r="DE4" i="49"/>
  <c r="K7" i="36" s="1"/>
  <c r="Q8" i="37"/>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AD4" i="49"/>
  <c r="AE4" s="1"/>
  <c r="AE5" s="1"/>
  <c r="B8" i="7" s="1"/>
  <c r="O4" i="10"/>
  <c r="F1" i="50" s="1"/>
  <c r="Q116" i="7"/>
  <c r="E116"/>
  <c r="Q115"/>
  <c r="E115"/>
  <c r="Q114"/>
  <c r="E114"/>
  <c r="Q113"/>
  <c r="E113"/>
  <c r="Q112"/>
  <c r="E112"/>
  <c r="Q111"/>
  <c r="E111"/>
  <c r="Q110"/>
  <c r="E110"/>
  <c r="Q109"/>
  <c r="E109"/>
  <c r="Q108"/>
  <c r="E108"/>
  <c r="Q107"/>
  <c r="E107"/>
  <c r="Q106"/>
  <c r="E106"/>
  <c r="Q105"/>
  <c r="E105"/>
  <c r="Q104"/>
  <c r="E104"/>
  <c r="Q103"/>
  <c r="E103"/>
  <c r="Q102"/>
  <c r="E102"/>
  <c r="Q101"/>
  <c r="E101"/>
  <c r="Q100"/>
  <c r="E100"/>
  <c r="Q99"/>
  <c r="E99"/>
  <c r="Q98"/>
  <c r="E98"/>
  <c r="Q97"/>
  <c r="E97"/>
  <c r="Q96"/>
  <c r="E96"/>
  <c r="Q95"/>
  <c r="E95"/>
  <c r="Q94"/>
  <c r="E94"/>
  <c r="Q93"/>
  <c r="E93"/>
  <c r="Q92"/>
  <c r="E92"/>
  <c r="Q91"/>
  <c r="E91"/>
  <c r="Q90"/>
  <c r="E90"/>
  <c r="Q89"/>
  <c r="E89"/>
  <c r="Q88"/>
  <c r="E88"/>
  <c r="Q87"/>
  <c r="E87"/>
  <c r="Q86"/>
  <c r="E86"/>
  <c r="Q85"/>
  <c r="E85"/>
  <c r="Q84"/>
  <c r="E84"/>
  <c r="Q83"/>
  <c r="E83"/>
  <c r="Q82"/>
  <c r="E82"/>
  <c r="Q81"/>
  <c r="E81"/>
  <c r="Q80"/>
  <c r="E80"/>
  <c r="Q79"/>
  <c r="E79"/>
  <c r="Q78"/>
  <c r="E78"/>
  <c r="Q77"/>
  <c r="E77"/>
  <c r="Q76"/>
  <c r="E76"/>
  <c r="Q75"/>
  <c r="E75"/>
  <c r="Q74"/>
  <c r="E74"/>
  <c r="Q73"/>
  <c r="E73"/>
  <c r="Q72"/>
  <c r="E72"/>
  <c r="Q71"/>
  <c r="E71"/>
  <c r="Q70"/>
  <c r="E70"/>
  <c r="Q69"/>
  <c r="E69"/>
  <c r="Q68"/>
  <c r="E68"/>
  <c r="Q67"/>
  <c r="E67"/>
  <c r="Q66"/>
  <c r="E66"/>
  <c r="Q65"/>
  <c r="E65"/>
  <c r="Q64"/>
  <c r="E64"/>
  <c r="Q63"/>
  <c r="E63"/>
  <c r="Q62"/>
  <c r="E62"/>
  <c r="Q61"/>
  <c r="E61"/>
  <c r="Q60"/>
  <c r="E60"/>
  <c r="Q59"/>
  <c r="E59"/>
  <c r="Q58"/>
  <c r="E58"/>
  <c r="Q57"/>
  <c r="E57"/>
  <c r="Q56"/>
  <c r="E56"/>
  <c r="Q55"/>
  <c r="E55"/>
  <c r="Q54"/>
  <c r="E54"/>
  <c r="Q53"/>
  <c r="E53"/>
  <c r="Q52"/>
  <c r="E52"/>
  <c r="Q51"/>
  <c r="E51"/>
  <c r="Q50"/>
  <c r="E50"/>
  <c r="Q49"/>
  <c r="E49"/>
  <c r="Q48"/>
  <c r="E48"/>
  <c r="Q47"/>
  <c r="E47"/>
  <c r="Q46"/>
  <c r="E46"/>
  <c r="Q45"/>
  <c r="E45"/>
  <c r="Q44"/>
  <c r="E44"/>
  <c r="Q43"/>
  <c r="E43"/>
  <c r="Q42"/>
  <c r="E42"/>
  <c r="Q41"/>
  <c r="E41"/>
  <c r="Q40"/>
  <c r="E40"/>
  <c r="Q39"/>
  <c r="E39"/>
  <c r="Q38"/>
  <c r="E38"/>
  <c r="Q37"/>
  <c r="E37"/>
  <c r="Q36"/>
  <c r="E36"/>
  <c r="Q35"/>
  <c r="E35"/>
  <c r="Q34"/>
  <c r="E34"/>
  <c r="Q33"/>
  <c r="E33"/>
  <c r="Q32"/>
  <c r="E32"/>
  <c r="Q31"/>
  <c r="E31"/>
  <c r="Q30"/>
  <c r="E30"/>
  <c r="Q29"/>
  <c r="E29"/>
  <c r="Q28"/>
  <c r="E28"/>
  <c r="Q27"/>
  <c r="E27"/>
  <c r="Q26"/>
  <c r="E26"/>
  <c r="Q25"/>
  <c r="E25"/>
  <c r="Q24"/>
  <c r="E24"/>
  <c r="Q23"/>
  <c r="E23"/>
  <c r="Q22"/>
  <c r="E22"/>
  <c r="Q21"/>
  <c r="E21"/>
  <c r="Q20"/>
  <c r="E20"/>
  <c r="Q19"/>
  <c r="E19"/>
  <c r="Q18"/>
  <c r="E18"/>
  <c r="Q17"/>
  <c r="E17"/>
  <c r="Q16"/>
  <c r="E16"/>
  <c r="Q15"/>
  <c r="E15"/>
  <c r="Q14"/>
  <c r="E14"/>
  <c r="Q13"/>
  <c r="E13"/>
  <c r="Q12"/>
  <c r="E12"/>
  <c r="Q11"/>
  <c r="E11"/>
  <c r="Q10"/>
  <c r="E10"/>
  <c r="Q9"/>
  <c r="E9"/>
  <c r="Q8"/>
  <c r="E8"/>
  <c r="E7"/>
  <c r="F4"/>
  <c r="F3"/>
  <c r="V116" i="36"/>
  <c r="Q116"/>
  <c r="E116"/>
  <c r="V115"/>
  <c r="Q115"/>
  <c r="E115"/>
  <c r="V114"/>
  <c r="Q114"/>
  <c r="E114"/>
  <c r="V113"/>
  <c r="Q113"/>
  <c r="E113"/>
  <c r="V112"/>
  <c r="Q112"/>
  <c r="E112"/>
  <c r="V111"/>
  <c r="Q111"/>
  <c r="E111"/>
  <c r="V110"/>
  <c r="Q110"/>
  <c r="E110"/>
  <c r="V109"/>
  <c r="Q109"/>
  <c r="E109"/>
  <c r="V108"/>
  <c r="Q108"/>
  <c r="E108"/>
  <c r="V107"/>
  <c r="Q107"/>
  <c r="E107"/>
  <c r="V106"/>
  <c r="Q106"/>
  <c r="E106"/>
  <c r="V105"/>
  <c r="Q105"/>
  <c r="E105"/>
  <c r="V104"/>
  <c r="Q104"/>
  <c r="E104"/>
  <c r="V103"/>
  <c r="Q103"/>
  <c r="E103"/>
  <c r="V102"/>
  <c r="Q102"/>
  <c r="E102"/>
  <c r="V101"/>
  <c r="Q101"/>
  <c r="E101"/>
  <c r="V100"/>
  <c r="Q100"/>
  <c r="E100"/>
  <c r="V99"/>
  <c r="Q99"/>
  <c r="E99"/>
  <c r="V98"/>
  <c r="Q98"/>
  <c r="E98"/>
  <c r="V97"/>
  <c r="Q97"/>
  <c r="E97"/>
  <c r="V96"/>
  <c r="Q96"/>
  <c r="E96"/>
  <c r="V95"/>
  <c r="Q95"/>
  <c r="E95"/>
  <c r="V94"/>
  <c r="Q94"/>
  <c r="E94"/>
  <c r="V93"/>
  <c r="Q93"/>
  <c r="E93"/>
  <c r="V92"/>
  <c r="Q92"/>
  <c r="E92"/>
  <c r="V91"/>
  <c r="Q91"/>
  <c r="E91"/>
  <c r="V90"/>
  <c r="Q90"/>
  <c r="E90"/>
  <c r="V89"/>
  <c r="Q89"/>
  <c r="E89"/>
  <c r="V88"/>
  <c r="Q88"/>
  <c r="E88"/>
  <c r="V87"/>
  <c r="Q87"/>
  <c r="E87"/>
  <c r="V86"/>
  <c r="Q86"/>
  <c r="E86"/>
  <c r="V85"/>
  <c r="Q85"/>
  <c r="E85"/>
  <c r="V84"/>
  <c r="Q84"/>
  <c r="E84"/>
  <c r="V83"/>
  <c r="Q83"/>
  <c r="E83"/>
  <c r="V82"/>
  <c r="Q82"/>
  <c r="E82"/>
  <c r="V81"/>
  <c r="Q81"/>
  <c r="E81"/>
  <c r="V80"/>
  <c r="Q80"/>
  <c r="E80"/>
  <c r="V79"/>
  <c r="Q79"/>
  <c r="E79"/>
  <c r="V78"/>
  <c r="Q78"/>
  <c r="E78"/>
  <c r="V77"/>
  <c r="Q77"/>
  <c r="E77"/>
  <c r="V76"/>
  <c r="Q76"/>
  <c r="E76"/>
  <c r="V75"/>
  <c r="Q75"/>
  <c r="E75"/>
  <c r="V74"/>
  <c r="Q74"/>
  <c r="E74"/>
  <c r="V73"/>
  <c r="Q73"/>
  <c r="E73"/>
  <c r="V72"/>
  <c r="Q72"/>
  <c r="E72"/>
  <c r="V71"/>
  <c r="Q71"/>
  <c r="E71"/>
  <c r="V70"/>
  <c r="Q70"/>
  <c r="E70"/>
  <c r="V69"/>
  <c r="Q69"/>
  <c r="E69"/>
  <c r="V68"/>
  <c r="Q68"/>
  <c r="E68"/>
  <c r="V67"/>
  <c r="Q67"/>
  <c r="E67"/>
  <c r="V66"/>
  <c r="Q66"/>
  <c r="E66"/>
  <c r="V65"/>
  <c r="Q65"/>
  <c r="E65"/>
  <c r="V64"/>
  <c r="Q64"/>
  <c r="E64"/>
  <c r="V63"/>
  <c r="Q63"/>
  <c r="E63"/>
  <c r="V62"/>
  <c r="Q62"/>
  <c r="E62"/>
  <c r="V61"/>
  <c r="Q61"/>
  <c r="E61"/>
  <c r="V60"/>
  <c r="Q60"/>
  <c r="E60"/>
  <c r="V59"/>
  <c r="Q59"/>
  <c r="E59"/>
  <c r="V58"/>
  <c r="Q58"/>
  <c r="E58"/>
  <c r="V57"/>
  <c r="Q57"/>
  <c r="E57"/>
  <c r="V56"/>
  <c r="Q56"/>
  <c r="E56"/>
  <c r="V55"/>
  <c r="Q55"/>
  <c r="E55"/>
  <c r="V54"/>
  <c r="Q54"/>
  <c r="E54"/>
  <c r="V53"/>
  <c r="Q53"/>
  <c r="E53"/>
  <c r="V52"/>
  <c r="Q52"/>
  <c r="E52"/>
  <c r="V51"/>
  <c r="Q51"/>
  <c r="E51"/>
  <c r="V50"/>
  <c r="Q50"/>
  <c r="E50"/>
  <c r="V49"/>
  <c r="Q49"/>
  <c r="E49"/>
  <c r="V48"/>
  <c r="Q48"/>
  <c r="E48"/>
  <c r="V47"/>
  <c r="Q47"/>
  <c r="E47"/>
  <c r="V46"/>
  <c r="Q46"/>
  <c r="E46"/>
  <c r="V45"/>
  <c r="Q45"/>
  <c r="E45"/>
  <c r="V44"/>
  <c r="Q44"/>
  <c r="E44"/>
  <c r="V43"/>
  <c r="Q43"/>
  <c r="E43"/>
  <c r="V42"/>
  <c r="Q42"/>
  <c r="E42"/>
  <c r="V41"/>
  <c r="Q41"/>
  <c r="E41"/>
  <c r="V40"/>
  <c r="Q40"/>
  <c r="E40"/>
  <c r="V39"/>
  <c r="Q39"/>
  <c r="E39"/>
  <c r="V38"/>
  <c r="Q38"/>
  <c r="E38"/>
  <c r="V37"/>
  <c r="Q37"/>
  <c r="E37"/>
  <c r="V36"/>
  <c r="Q36"/>
  <c r="E36"/>
  <c r="V35"/>
  <c r="Q35"/>
  <c r="E35"/>
  <c r="V34"/>
  <c r="Q34"/>
  <c r="E34"/>
  <c r="V33"/>
  <c r="Q33"/>
  <c r="E33"/>
  <c r="V32"/>
  <c r="Q32"/>
  <c r="E32"/>
  <c r="V31"/>
  <c r="Q31"/>
  <c r="E31"/>
  <c r="V30"/>
  <c r="Q30"/>
  <c r="E30"/>
  <c r="V29"/>
  <c r="Q29"/>
  <c r="E29"/>
  <c r="V28"/>
  <c r="Q28"/>
  <c r="E28"/>
  <c r="V27"/>
  <c r="Q27"/>
  <c r="E27"/>
  <c r="V26"/>
  <c r="Q26"/>
  <c r="E26"/>
  <c r="V25"/>
  <c r="Q25"/>
  <c r="E25"/>
  <c r="V24"/>
  <c r="Q24"/>
  <c r="E24"/>
  <c r="V23"/>
  <c r="Q23"/>
  <c r="E23"/>
  <c r="V22"/>
  <c r="Q22"/>
  <c r="E22"/>
  <c r="V21"/>
  <c r="Q21"/>
  <c r="E21"/>
  <c r="V20"/>
  <c r="Q20"/>
  <c r="E20"/>
  <c r="V19"/>
  <c r="Q19"/>
  <c r="E19"/>
  <c r="V18"/>
  <c r="Q18"/>
  <c r="E18"/>
  <c r="V17"/>
  <c r="Q17"/>
  <c r="E17"/>
  <c r="V16"/>
  <c r="Q16"/>
  <c r="E16"/>
  <c r="V15"/>
  <c r="Q15"/>
  <c r="E15"/>
  <c r="V14"/>
  <c r="Q14"/>
  <c r="E14"/>
  <c r="V13"/>
  <c r="Q13"/>
  <c r="E13"/>
  <c r="V12"/>
  <c r="Q12"/>
  <c r="E12"/>
  <c r="V11"/>
  <c r="Q11"/>
  <c r="E11"/>
  <c r="V10"/>
  <c r="Q10"/>
  <c r="E10"/>
  <c r="V9"/>
  <c r="Q9"/>
  <c r="E9"/>
  <c r="V8"/>
  <c r="Q8"/>
  <c r="E8"/>
  <c r="V7"/>
  <c r="Q7"/>
  <c r="E7"/>
  <c r="F4"/>
  <c r="F3"/>
  <c r="DB118" i="49"/>
  <c r="DA118"/>
  <c r="CZ118"/>
  <c r="CY118"/>
  <c r="CX118"/>
  <c r="CW118"/>
  <c r="DB117"/>
  <c r="DA117"/>
  <c r="CZ117"/>
  <c r="CY117"/>
  <c r="CX117"/>
  <c r="CW117"/>
  <c r="DB116"/>
  <c r="DA116"/>
  <c r="CZ116"/>
  <c r="CY116"/>
  <c r="CX116"/>
  <c r="CW116"/>
  <c r="DB115"/>
  <c r="DA115"/>
  <c r="CZ115"/>
  <c r="CY115"/>
  <c r="CX115"/>
  <c r="CW115"/>
  <c r="DB114"/>
  <c r="DA114"/>
  <c r="CZ114"/>
  <c r="CY114"/>
  <c r="CX114"/>
  <c r="CW114"/>
  <c r="DD113"/>
  <c r="DC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AO113"/>
  <c r="G116" i="36" s="1"/>
  <c r="AN113" i="49"/>
  <c r="DD112"/>
  <c r="DC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AO112"/>
  <c r="G115" i="36" s="1"/>
  <c r="AN112" i="49"/>
  <c r="I115" i="36" s="1"/>
  <c r="DD111" i="49"/>
  <c r="DC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AO111"/>
  <c r="G114" i="7" s="1"/>
  <c r="AN111" i="49"/>
  <c r="I114" i="36" s="1"/>
  <c r="DD110" i="49"/>
  <c r="DC110"/>
  <c r="CV110"/>
  <c r="CW110" s="1"/>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AO110"/>
  <c r="G113" i="36" s="1"/>
  <c r="AN110" i="49"/>
  <c r="I113" i="36" s="1"/>
  <c r="DD109" i="49"/>
  <c r="DC109"/>
  <c r="CV109"/>
  <c r="CX109" s="1"/>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AO109"/>
  <c r="G112" i="7" s="1"/>
  <c r="AN109" i="49"/>
  <c r="I112" i="36" s="1"/>
  <c r="DD108" i="49"/>
  <c r="DC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AO108"/>
  <c r="G111" i="36" s="1"/>
  <c r="AN108" i="49"/>
  <c r="I111" i="36" s="1"/>
  <c r="DD107" i="49"/>
  <c r="DC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AO107"/>
  <c r="G110" i="7" s="1"/>
  <c r="AN107" i="49"/>
  <c r="I110" i="36" s="1"/>
  <c r="DD106" i="49"/>
  <c r="DC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AO106"/>
  <c r="G109" i="36" s="1"/>
  <c r="AN106" i="49"/>
  <c r="I109" i="36" s="1"/>
  <c r="DD105" i="49"/>
  <c r="DC105"/>
  <c r="CV105"/>
  <c r="CW105" s="1"/>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AO105"/>
  <c r="G108" i="7" s="1"/>
  <c r="AN105" i="49"/>
  <c r="I108" i="36" s="1"/>
  <c r="DD104" i="49"/>
  <c r="DC104"/>
  <c r="CV104"/>
  <c r="CX104" s="1"/>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AO104"/>
  <c r="G107" i="36" s="1"/>
  <c r="AN104" i="49"/>
  <c r="I107" i="36" s="1"/>
  <c r="DD103" i="49"/>
  <c r="DC103"/>
  <c r="CV103"/>
  <c r="CW103" s="1"/>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AO103"/>
  <c r="G106" i="7" s="1"/>
  <c r="AN103" i="49"/>
  <c r="I106" i="36" s="1"/>
  <c r="DD102" i="49"/>
  <c r="DC102"/>
  <c r="CV102"/>
  <c r="CX102" s="1"/>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AO102"/>
  <c r="G105" i="36" s="1"/>
  <c r="AN102" i="49"/>
  <c r="I105" i="36" s="1"/>
  <c r="DD101" i="49"/>
  <c r="DC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AO101"/>
  <c r="G104" i="7" s="1"/>
  <c r="AN101" i="49"/>
  <c r="I104" i="36" s="1"/>
  <c r="DD100" i="49"/>
  <c r="DC100"/>
  <c r="CV100"/>
  <c r="CW100" s="1"/>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AO100"/>
  <c r="G103" i="36" s="1"/>
  <c r="AN100" i="49"/>
  <c r="I103" i="36" s="1"/>
  <c r="DD99" i="49"/>
  <c r="DC99"/>
  <c r="CV99"/>
  <c r="CX99" s="1"/>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AO99"/>
  <c r="G102" i="7" s="1"/>
  <c r="AN99" i="49"/>
  <c r="I102" i="36" s="1"/>
  <c r="DD98" i="49"/>
  <c r="DC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AO98"/>
  <c r="G101" i="36" s="1"/>
  <c r="AN98" i="49"/>
  <c r="I101" i="7" s="1"/>
  <c r="AX101" s="1"/>
  <c r="DD97" i="49"/>
  <c r="DC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AO97"/>
  <c r="G100" i="7" s="1"/>
  <c r="AN97" i="49"/>
  <c r="I100" i="36" s="1"/>
  <c r="DD96" i="49"/>
  <c r="DC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AO96"/>
  <c r="G99" i="36" s="1"/>
  <c r="AN96" i="49"/>
  <c r="I99" i="7" s="1"/>
  <c r="AX99" s="1"/>
  <c r="DD95" i="49"/>
  <c r="DC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AO95"/>
  <c r="G98" i="7" s="1"/>
  <c r="AN95" i="49"/>
  <c r="I98" i="36" s="1"/>
  <c r="DD94" i="49"/>
  <c r="DC94"/>
  <c r="CV94"/>
  <c r="CW94" s="1"/>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AO94"/>
  <c r="G97" i="36" s="1"/>
  <c r="AN94" i="49"/>
  <c r="I97" i="36" s="1"/>
  <c r="DD93" i="49"/>
  <c r="DC93"/>
  <c r="CV93"/>
  <c r="CX93" s="1"/>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AO93"/>
  <c r="G96" i="7" s="1"/>
  <c r="AN93" i="49"/>
  <c r="I96" i="36" s="1"/>
  <c r="DD92" i="49"/>
  <c r="DC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AO92"/>
  <c r="G95" i="36" s="1"/>
  <c r="AN92" i="49"/>
  <c r="I95" i="7" s="1"/>
  <c r="DD91" i="49"/>
  <c r="DC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AO91"/>
  <c r="G94" i="7" s="1"/>
  <c r="AN91" i="49"/>
  <c r="I94" i="36" s="1"/>
  <c r="DD90" i="49"/>
  <c r="DC90"/>
  <c r="CV90"/>
  <c r="CX90" s="1"/>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AO90"/>
  <c r="G93" i="36" s="1"/>
  <c r="AN90" i="49"/>
  <c r="I93" i="7" s="1"/>
  <c r="DD89" i="49"/>
  <c r="DC89"/>
  <c r="CV89"/>
  <c r="CW89" s="1"/>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AO89"/>
  <c r="G92" i="7" s="1"/>
  <c r="AN89" i="49"/>
  <c r="I92" i="7" s="1"/>
  <c r="AX92" s="1"/>
  <c r="DD88" i="49"/>
  <c r="DC88"/>
  <c r="CV88"/>
  <c r="CX88" s="1"/>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AO88"/>
  <c r="G91" i="36" s="1"/>
  <c r="AN88" i="49"/>
  <c r="I91" i="36" s="1"/>
  <c r="DD87" i="49"/>
  <c r="DC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AO87"/>
  <c r="G90" i="7" s="1"/>
  <c r="AN87" i="49"/>
  <c r="I90" i="7" s="1"/>
  <c r="DD86" i="49"/>
  <c r="DC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AO86"/>
  <c r="G89" i="36" s="1"/>
  <c r="AN86" i="49"/>
  <c r="I89" i="36" s="1"/>
  <c r="DD85" i="49"/>
  <c r="DC85"/>
  <c r="CV85"/>
  <c r="CX85" s="1"/>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AO85"/>
  <c r="G88" i="7" s="1"/>
  <c r="AN85" i="49"/>
  <c r="I88" i="7" s="1"/>
  <c r="AX88" s="1"/>
  <c r="DD84" i="49"/>
  <c r="DC84"/>
  <c r="CV84"/>
  <c r="CX84" s="1"/>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AO84"/>
  <c r="G87" i="36" s="1"/>
  <c r="AN84" i="49"/>
  <c r="I87" i="36" s="1"/>
  <c r="DD83" i="49"/>
  <c r="DC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AO83"/>
  <c r="G86" i="7" s="1"/>
  <c r="AN83" i="49"/>
  <c r="I86" i="36" s="1"/>
  <c r="DD82" i="49"/>
  <c r="DC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AO82"/>
  <c r="G85" i="36" s="1"/>
  <c r="AN82" i="49"/>
  <c r="I85" i="36" s="1"/>
  <c r="DD81" i="49"/>
  <c r="DC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AO81"/>
  <c r="G84" i="7" s="1"/>
  <c r="AN81" i="49"/>
  <c r="I84" i="36" s="1"/>
  <c r="DD80" i="49"/>
  <c r="DC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AO80"/>
  <c r="G83" i="36" s="1"/>
  <c r="AN80" i="49"/>
  <c r="I83" i="36" s="1"/>
  <c r="DD79" i="49"/>
  <c r="DC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AO79"/>
  <c r="G82" i="7" s="1"/>
  <c r="AN79" i="49"/>
  <c r="I82" i="7" s="1"/>
  <c r="AX82" s="1"/>
  <c r="DD78" i="49"/>
  <c r="DC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AO78"/>
  <c r="G81" i="36" s="1"/>
  <c r="AN78" i="49"/>
  <c r="I81" i="36" s="1"/>
  <c r="DD77" i="49"/>
  <c r="DC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AO77"/>
  <c r="G80" i="7" s="1"/>
  <c r="AN77" i="49"/>
  <c r="I80" i="36" s="1"/>
  <c r="DD76" i="49"/>
  <c r="DC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AO76"/>
  <c r="G79" i="36" s="1"/>
  <c r="AN76" i="49"/>
  <c r="I79" i="36" s="1"/>
  <c r="DD75" i="49"/>
  <c r="DC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AO75"/>
  <c r="G78" i="7" s="1"/>
  <c r="AN75" i="49"/>
  <c r="I78" i="36" s="1"/>
  <c r="DD74" i="49"/>
  <c r="DC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AO74"/>
  <c r="G77" i="36" s="1"/>
  <c r="AN74" i="49"/>
  <c r="I77" i="36" s="1"/>
  <c r="DD73" i="49"/>
  <c r="DC73"/>
  <c r="CV73"/>
  <c r="CW73" s="1"/>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AO73"/>
  <c r="G76" i="7" s="1"/>
  <c r="AN73" i="49"/>
  <c r="I76" i="36" s="1"/>
  <c r="DD72" i="49"/>
  <c r="DC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AO72"/>
  <c r="G75" i="36" s="1"/>
  <c r="AN72" i="49"/>
  <c r="I75" i="36" s="1"/>
  <c r="DD71" i="49"/>
  <c r="DC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AO71"/>
  <c r="G74" i="7" s="1"/>
  <c r="AN71" i="49"/>
  <c r="I74" i="36" s="1"/>
  <c r="DD70" i="49"/>
  <c r="DC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AO70"/>
  <c r="G73" i="36" s="1"/>
  <c r="AN70" i="49"/>
  <c r="I73" i="36" s="1"/>
  <c r="DD69" i="49"/>
  <c r="DC69"/>
  <c r="CV69"/>
  <c r="CX69" s="1"/>
  <c r="CZ69" s="1"/>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AO69"/>
  <c r="G72" i="7" s="1"/>
  <c r="AN69" i="49"/>
  <c r="I72" i="7" s="1"/>
  <c r="AX72" s="1"/>
  <c r="DD68" i="49"/>
  <c r="DC68"/>
  <c r="CV68"/>
  <c r="CW68" s="1"/>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AO68"/>
  <c r="G71" i="36" s="1"/>
  <c r="AN68" i="49"/>
  <c r="I71" i="7" s="1"/>
  <c r="AX71" s="1"/>
  <c r="DD67" i="49"/>
  <c r="DC67"/>
  <c r="CV67"/>
  <c r="CX67" s="1"/>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AO67"/>
  <c r="G70" i="7" s="1"/>
  <c r="AN67" i="49"/>
  <c r="I70" i="7" s="1"/>
  <c r="DD66" i="49"/>
  <c r="DC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AO66"/>
  <c r="G69" i="36" s="1"/>
  <c r="AN66" i="49"/>
  <c r="I69" i="7" s="1"/>
  <c r="AW69" s="1"/>
  <c r="DD65" i="49"/>
  <c r="DC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AO65"/>
  <c r="G68" i="7" s="1"/>
  <c r="AN65" i="49"/>
  <c r="I68" i="7" s="1"/>
  <c r="DD64" i="49"/>
  <c r="DC64"/>
  <c r="CV64"/>
  <c r="CW64" s="1"/>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AO64"/>
  <c r="G67" i="36" s="1"/>
  <c r="AN64" i="49"/>
  <c r="I67" i="7" s="1"/>
  <c r="DD63" i="49"/>
  <c r="DC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AO63"/>
  <c r="G66" i="7" s="1"/>
  <c r="AN63" i="49"/>
  <c r="I66" i="7" s="1"/>
  <c r="AW66" s="1"/>
  <c r="DD62" i="49"/>
  <c r="DC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AO62"/>
  <c r="G65" i="36" s="1"/>
  <c r="AN62" i="49"/>
  <c r="I65" i="7" s="1"/>
  <c r="DD61" i="49"/>
  <c r="DC61"/>
  <c r="CV61"/>
  <c r="CX61" s="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AO61"/>
  <c r="G64" i="7" s="1"/>
  <c r="AN61" i="49"/>
  <c r="I64" i="36" s="1"/>
  <c r="DD60" i="49"/>
  <c r="DC60"/>
  <c r="CV60"/>
  <c r="CX60" s="1"/>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AO60"/>
  <c r="G63" i="36" s="1"/>
  <c r="AN60" i="49"/>
  <c r="I63" i="36" s="1"/>
  <c r="DD59" i="49"/>
  <c r="DC59"/>
  <c r="CV59"/>
  <c r="CW59" s="1"/>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AO59"/>
  <c r="G62" i="7" s="1"/>
  <c r="AN59" i="49"/>
  <c r="I62" i="36" s="1"/>
  <c r="DD58" i="49"/>
  <c r="DC58"/>
  <c r="CV58"/>
  <c r="CX58" s="1"/>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AO58"/>
  <c r="G61" i="36" s="1"/>
  <c r="AN58" i="49"/>
  <c r="I61" i="36" s="1"/>
  <c r="DD57" i="49"/>
  <c r="DC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AO57"/>
  <c r="G60" i="7" s="1"/>
  <c r="AN57" i="49"/>
  <c r="I60" i="7" s="1"/>
  <c r="AW60" s="1"/>
  <c r="DD56" i="49"/>
  <c r="DC56"/>
  <c r="CV56"/>
  <c r="CX56" s="1"/>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AO56"/>
  <c r="G59" i="36" s="1"/>
  <c r="AN56" i="49"/>
  <c r="I59" i="7" s="1"/>
  <c r="DD55" i="49"/>
  <c r="DC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AO55"/>
  <c r="G58" i="7" s="1"/>
  <c r="AN55" i="49"/>
  <c r="I58" i="36" s="1"/>
  <c r="DD54" i="49"/>
  <c r="DC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AO54"/>
  <c r="G57" i="36" s="1"/>
  <c r="AN54" i="49"/>
  <c r="I57" i="36" s="1"/>
  <c r="DD53" i="49"/>
  <c r="DC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AO53"/>
  <c r="G56" i="7" s="1"/>
  <c r="AN53" i="49"/>
  <c r="I56" i="7" s="1"/>
  <c r="DD52" i="49"/>
  <c r="DC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AO52"/>
  <c r="G55" i="36" s="1"/>
  <c r="AN52" i="49"/>
  <c r="I55" i="36" s="1"/>
  <c r="DD51" i="49"/>
  <c r="DC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AO51"/>
  <c r="G54" i="7" s="1"/>
  <c r="AN51" i="49"/>
  <c r="I54" i="36" s="1"/>
  <c r="DD50" i="49"/>
  <c r="DC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AO50"/>
  <c r="G53" i="36" s="1"/>
  <c r="AN50" i="49"/>
  <c r="I53" i="7" s="1"/>
  <c r="AX53" s="1"/>
  <c r="DD49" i="49"/>
  <c r="DC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AO49"/>
  <c r="G52" i="7" s="1"/>
  <c r="AN49" i="49"/>
  <c r="I52" i="7" s="1"/>
  <c r="DD48" i="49"/>
  <c r="DC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AO48"/>
  <c r="G51" i="36" s="1"/>
  <c r="AN48" i="49"/>
  <c r="I51" i="7" s="1"/>
  <c r="DD47" i="49"/>
  <c r="DC47"/>
  <c r="CV47"/>
  <c r="CX47" s="1"/>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AO47"/>
  <c r="G50" i="7" s="1"/>
  <c r="AN47" i="49"/>
  <c r="I50" i="7" s="1"/>
  <c r="AX50" s="1"/>
  <c r="DD46" i="49"/>
  <c r="DC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AO46"/>
  <c r="G49" i="36" s="1"/>
  <c r="AN46" i="49"/>
  <c r="I49" i="7" s="1"/>
  <c r="DD45" i="49"/>
  <c r="DC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AO45"/>
  <c r="G48" i="7" s="1"/>
  <c r="AN45" i="49"/>
  <c r="I48" i="36" s="1"/>
  <c r="DD44" i="49"/>
  <c r="DC44"/>
  <c r="CV44"/>
  <c r="CW44" s="1"/>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AO44"/>
  <c r="G47" i="36" s="1"/>
  <c r="AN44" i="49"/>
  <c r="I47" i="36" s="1"/>
  <c r="DD43" i="49"/>
  <c r="DC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AO43"/>
  <c r="G46" i="7" s="1"/>
  <c r="AN43" i="49"/>
  <c r="I46" i="36" s="1"/>
  <c r="DD42" i="49"/>
  <c r="DC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AO42"/>
  <c r="G45" i="36" s="1"/>
  <c r="AN42" i="49"/>
  <c r="I45" i="36" s="1"/>
  <c r="DD41" i="49"/>
  <c r="DC41"/>
  <c r="CV41"/>
  <c r="CW41" s="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AO41"/>
  <c r="G44" i="7" s="1"/>
  <c r="AN41" i="49"/>
  <c r="I44" i="7" s="1"/>
  <c r="DD40" i="49"/>
  <c r="DC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AO40"/>
  <c r="G43" i="36" s="1"/>
  <c r="AN40" i="49"/>
  <c r="I43" i="7" s="1"/>
  <c r="AX43" s="1"/>
  <c r="DD39" i="49"/>
  <c r="DC39"/>
  <c r="CV39"/>
  <c r="CX39" s="1"/>
  <c r="CZ39" s="1"/>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AO39"/>
  <c r="G42" i="7" s="1"/>
  <c r="AN39" i="49"/>
  <c r="I42" i="36" s="1"/>
  <c r="DD38" i="49"/>
  <c r="DC38"/>
  <c r="CV38"/>
  <c r="CX38" s="1"/>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AO38"/>
  <c r="G41" i="7" s="1"/>
  <c r="AN38" i="49"/>
  <c r="I41" i="7" s="1"/>
  <c r="AW41" s="1"/>
  <c r="DD37" i="49"/>
  <c r="DC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AO37"/>
  <c r="G40" i="7" s="1"/>
  <c r="AN37" i="49"/>
  <c r="I40" i="36" s="1"/>
  <c r="DD36" i="49"/>
  <c r="DC36"/>
  <c r="CV36"/>
  <c r="CW36" s="1"/>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AO36"/>
  <c r="G39" i="7" s="1"/>
  <c r="AN36" i="49"/>
  <c r="I39" i="7" s="1"/>
  <c r="DD35" i="49"/>
  <c r="DC35"/>
  <c r="CV35"/>
  <c r="CX35" s="1"/>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AO35"/>
  <c r="G38" i="7" s="1"/>
  <c r="AN35" i="49"/>
  <c r="I38" i="36" s="1"/>
  <c r="DD34" i="49"/>
  <c r="DC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AO34"/>
  <c r="G37" i="7" s="1"/>
  <c r="AN34" i="49"/>
  <c r="I37" i="36" s="1"/>
  <c r="DD33" i="49"/>
  <c r="DC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AO33"/>
  <c r="G36" i="7" s="1"/>
  <c r="AN33" i="49"/>
  <c r="I36" i="36" s="1"/>
  <c r="DD32" i="49"/>
  <c r="DC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AO32"/>
  <c r="G35" i="36" s="1"/>
  <c r="AN32" i="49"/>
  <c r="I35" i="36" s="1"/>
  <c r="DD31" i="49"/>
  <c r="DC31"/>
  <c r="CV31"/>
  <c r="CW31" s="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AO31"/>
  <c r="G34" i="7" s="1"/>
  <c r="AN31" i="49"/>
  <c r="I34" i="7" s="1"/>
  <c r="DD30" i="49"/>
  <c r="DC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AO30"/>
  <c r="G33" i="36" s="1"/>
  <c r="AN30" i="49"/>
  <c r="I33" i="7" s="1"/>
  <c r="DD29" i="49"/>
  <c r="DC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AO29"/>
  <c r="G32" i="7" s="1"/>
  <c r="AN29" i="49"/>
  <c r="I32" i="36" s="1"/>
  <c r="DD28" i="49"/>
  <c r="DC28"/>
  <c r="CV28"/>
  <c r="CX28" s="1"/>
  <c r="CZ28" s="1"/>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AO28"/>
  <c r="G31" i="36" s="1"/>
  <c r="AN28" i="49"/>
  <c r="I31" i="7" s="1"/>
  <c r="DD27" i="49"/>
  <c r="DC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AO27"/>
  <c r="G30" i="7" s="1"/>
  <c r="AN27" i="49"/>
  <c r="I30" i="7" s="1"/>
  <c r="AW30" s="1"/>
  <c r="DD26" i="49"/>
  <c r="DC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AO26"/>
  <c r="G29" i="36" s="1"/>
  <c r="AN26" i="49"/>
  <c r="I29" i="36" s="1"/>
  <c r="DD25" i="49"/>
  <c r="DC25"/>
  <c r="CV25"/>
  <c r="CW25" s="1"/>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AO25"/>
  <c r="G28" i="7" s="1"/>
  <c r="AN25" i="49"/>
  <c r="I28" i="36" s="1"/>
  <c r="DD24" i="49"/>
  <c r="DC24"/>
  <c r="CV24"/>
  <c r="CW24" s="1"/>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AO24"/>
  <c r="G27" i="36" s="1"/>
  <c r="AN24" i="49"/>
  <c r="I27" i="36" s="1"/>
  <c r="DD23" i="49"/>
  <c r="DC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AO23"/>
  <c r="G26" i="7" s="1"/>
  <c r="AN23" i="49"/>
  <c r="I26" i="36" s="1"/>
  <c r="DD22" i="49"/>
  <c r="DC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AO22"/>
  <c r="G25" i="36" s="1"/>
  <c r="AN22" i="49"/>
  <c r="I25" i="36" s="1"/>
  <c r="DD21" i="49"/>
  <c r="DC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AO21"/>
  <c r="G24" i="7" s="1"/>
  <c r="AN21" i="49"/>
  <c r="I24" i="7" s="1"/>
  <c r="AX24" s="1"/>
  <c r="DD20" i="49"/>
  <c r="DC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AO20"/>
  <c r="G23" i="36" s="1"/>
  <c r="AN20" i="49"/>
  <c r="I23" i="7" s="1"/>
  <c r="DD19" i="49"/>
  <c r="DC19"/>
  <c r="CV19"/>
  <c r="CX19" s="1"/>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AO19"/>
  <c r="G22" i="7" s="1"/>
  <c r="AN19" i="49"/>
  <c r="I22" i="7" s="1"/>
  <c r="AX22" s="1"/>
  <c r="DD18" i="49"/>
  <c r="DC18"/>
  <c r="CV18"/>
  <c r="CX18" s="1"/>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AO18"/>
  <c r="G21" i="36" s="1"/>
  <c r="AN18" i="49"/>
  <c r="I21" i="36" s="1"/>
  <c r="DD17" i="49"/>
  <c r="DC17"/>
  <c r="J20" i="36" s="1"/>
  <c r="CV17" i="49"/>
  <c r="CW17" s="1"/>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AO17"/>
  <c r="G20" i="7" s="1"/>
  <c r="AN17" i="49"/>
  <c r="I20" i="36" s="1"/>
  <c r="DD16" i="49"/>
  <c r="DC16"/>
  <c r="J19" i="36" s="1"/>
  <c r="CV16" i="49"/>
  <c r="CX16" s="1"/>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AO16"/>
  <c r="G19" i="36" s="1"/>
  <c r="AN16" i="49"/>
  <c r="I19" i="7" s="1"/>
  <c r="AW19" s="1"/>
  <c r="DD15" i="49"/>
  <c r="DC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AO15"/>
  <c r="G18" i="7" s="1"/>
  <c r="AN15" i="49"/>
  <c r="I18" i="36" s="1"/>
  <c r="DD14" i="49"/>
  <c r="DC14"/>
  <c r="J17" i="36" s="1"/>
  <c r="CV14" i="49"/>
  <c r="CW14" s="1"/>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AO14"/>
  <c r="G17" i="36" s="1"/>
  <c r="AN14" i="49"/>
  <c r="I17" i="36" s="1"/>
  <c r="DD13" i="49"/>
  <c r="DC13"/>
  <c r="J16" i="7" s="1"/>
  <c r="CV13" i="49"/>
  <c r="CW13" s="1"/>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AO13"/>
  <c r="G16" i="7" s="1"/>
  <c r="AN13" i="49"/>
  <c r="I16" i="36" s="1"/>
  <c r="DD12" i="49"/>
  <c r="DC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AO12"/>
  <c r="G15" i="36" s="1"/>
  <c r="AN12" i="49"/>
  <c r="I15" i="36" s="1"/>
  <c r="DD11" i="49"/>
  <c r="DC11"/>
  <c r="J14" i="7" s="1"/>
  <c r="CV11" i="49"/>
  <c r="CX11" s="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AO11"/>
  <c r="G14" i="7" s="1"/>
  <c r="AN11" i="49"/>
  <c r="I14" i="36" s="1"/>
  <c r="DD10" i="49"/>
  <c r="DC10"/>
  <c r="J13" i="36" s="1"/>
  <c r="CV10" i="49"/>
  <c r="CW10" s="1"/>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AO10"/>
  <c r="G13" i="7" s="1"/>
  <c r="AN10" i="49"/>
  <c r="I13" i="36" s="1"/>
  <c r="DD9" i="49"/>
  <c r="DC9"/>
  <c r="J12" i="7" s="1"/>
  <c r="CV9" i="49"/>
  <c r="CU9"/>
  <c r="CT9"/>
  <c r="CS9"/>
  <c r="CR9"/>
  <c r="CQ9"/>
  <c r="CP9"/>
  <c r="CO9"/>
  <c r="CN9"/>
  <c r="CM9"/>
  <c r="CL9"/>
  <c r="CK9"/>
  <c r="CJ9"/>
  <c r="CI9"/>
  <c r="CH9"/>
  <c r="CG9"/>
  <c r="CF9"/>
  <c r="CE9"/>
  <c r="CD9"/>
  <c r="CC9"/>
  <c r="CB9"/>
  <c r="CA9"/>
  <c r="BZ9"/>
  <c r="BY9"/>
  <c r="BX9"/>
  <c r="BW9"/>
  <c r="BV9"/>
  <c r="BU9"/>
  <c r="BT9"/>
  <c r="BS9"/>
  <c r="BR9"/>
  <c r="BQ9"/>
  <c r="BP9"/>
  <c r="BO9"/>
  <c r="BN9"/>
  <c r="BM9"/>
  <c r="AO9"/>
  <c r="G12" i="7" s="1"/>
  <c r="AN9" i="49"/>
  <c r="I12" i="36" s="1"/>
  <c r="DD8" i="49"/>
  <c r="DC8"/>
  <c r="J11" i="36" s="1"/>
  <c r="CV8" i="49"/>
  <c r="CW8" s="1"/>
  <c r="CU8"/>
  <c r="CT8"/>
  <c r="CS8"/>
  <c r="CR8"/>
  <c r="CQ8"/>
  <c r="CP8"/>
  <c r="CO8"/>
  <c r="CN8"/>
  <c r="CM8"/>
  <c r="CL8"/>
  <c r="CK8"/>
  <c r="CJ8"/>
  <c r="CI8"/>
  <c r="CH8"/>
  <c r="CG8"/>
  <c r="CF8"/>
  <c r="CE8"/>
  <c r="CD8"/>
  <c r="CC8"/>
  <c r="CB8"/>
  <c r="CA8"/>
  <c r="BZ8"/>
  <c r="BY8"/>
  <c r="BX8"/>
  <c r="BW8"/>
  <c r="BV8"/>
  <c r="BU8"/>
  <c r="BT8"/>
  <c r="BS8"/>
  <c r="BR8"/>
  <c r="BQ8"/>
  <c r="BP8"/>
  <c r="BO8"/>
  <c r="BN8"/>
  <c r="BM8"/>
  <c r="AO8"/>
  <c r="G11" i="7" s="1"/>
  <c r="AN8" i="49"/>
  <c r="I11" i="36" s="1"/>
  <c r="DD7" i="49"/>
  <c r="DC7"/>
  <c r="J10" i="36" s="1"/>
  <c r="CV7" i="49"/>
  <c r="CU7"/>
  <c r="CT7"/>
  <c r="CS7"/>
  <c r="CR7"/>
  <c r="CQ7"/>
  <c r="CP7"/>
  <c r="CO7"/>
  <c r="CN7"/>
  <c r="CM7"/>
  <c r="CL7"/>
  <c r="CK7"/>
  <c r="CJ7"/>
  <c r="CI7"/>
  <c r="CH7"/>
  <c r="CG7"/>
  <c r="CF7"/>
  <c r="CE7"/>
  <c r="CD7"/>
  <c r="CC7"/>
  <c r="CB7"/>
  <c r="CA7"/>
  <c r="BZ7"/>
  <c r="BY7"/>
  <c r="BX7"/>
  <c r="BW7"/>
  <c r="BV7"/>
  <c r="BU7"/>
  <c r="BT7"/>
  <c r="BS7"/>
  <c r="BR7"/>
  <c r="BQ7"/>
  <c r="BP7"/>
  <c r="BO7"/>
  <c r="BN7"/>
  <c r="BM7"/>
  <c r="AO7"/>
  <c r="G10" i="7" s="1"/>
  <c r="AN7" i="49"/>
  <c r="I10" i="36" s="1"/>
  <c r="DD6" i="49"/>
  <c r="DC6"/>
  <c r="J9" i="7" s="1"/>
  <c r="CV6" i="49"/>
  <c r="CX6" s="1"/>
  <c r="CU6"/>
  <c r="CT6"/>
  <c r="CS6"/>
  <c r="CR6"/>
  <c r="CQ6"/>
  <c r="CP6"/>
  <c r="CO6"/>
  <c r="CN6"/>
  <c r="CM6"/>
  <c r="CL6"/>
  <c r="CK6"/>
  <c r="CJ6"/>
  <c r="CI6"/>
  <c r="CH6"/>
  <c r="CG6"/>
  <c r="CF6"/>
  <c r="CE6"/>
  <c r="CD6"/>
  <c r="CC6"/>
  <c r="CB6"/>
  <c r="CA6"/>
  <c r="BZ6"/>
  <c r="BY6"/>
  <c r="BX6"/>
  <c r="BW6"/>
  <c r="BV6"/>
  <c r="BU6"/>
  <c r="BT6"/>
  <c r="BS6"/>
  <c r="BR6"/>
  <c r="BQ6"/>
  <c r="BP6"/>
  <c r="BO6"/>
  <c r="BN6"/>
  <c r="BM6"/>
  <c r="AO6"/>
  <c r="G9" i="7" s="1"/>
  <c r="AN6" i="49"/>
  <c r="I9" i="36" s="1"/>
  <c r="DD5" i="49"/>
  <c r="DC5"/>
  <c r="J8" i="36" s="1"/>
  <c r="CV5" i="49"/>
  <c r="CU5"/>
  <c r="CT5"/>
  <c r="CS5"/>
  <c r="CR5"/>
  <c r="CQ5"/>
  <c r="CP5"/>
  <c r="CO5"/>
  <c r="CN5"/>
  <c r="CM5"/>
  <c r="CL5"/>
  <c r="CK5"/>
  <c r="CJ5"/>
  <c r="CI5"/>
  <c r="CH5"/>
  <c r="CG5"/>
  <c r="CF5"/>
  <c r="CE5"/>
  <c r="CD5"/>
  <c r="CC5"/>
  <c r="CB5"/>
  <c r="CA5"/>
  <c r="BZ5"/>
  <c r="BY5"/>
  <c r="BX5"/>
  <c r="BW5"/>
  <c r="BV5"/>
  <c r="BU5"/>
  <c r="BT5"/>
  <c r="BS5"/>
  <c r="BR5"/>
  <c r="BQ5"/>
  <c r="BP5"/>
  <c r="BO5"/>
  <c r="BN5"/>
  <c r="BM5"/>
  <c r="AO5"/>
  <c r="G8" i="7" s="1"/>
  <c r="AN5" i="49"/>
  <c r="I8" i="7" s="1"/>
  <c r="DD4" i="49"/>
  <c r="DC4"/>
  <c r="J7" i="7" s="1"/>
  <c r="CV4" i="49"/>
  <c r="CU4"/>
  <c r="CT4"/>
  <c r="CS4"/>
  <c r="CR4"/>
  <c r="CQ4"/>
  <c r="CP4"/>
  <c r="CO4"/>
  <c r="CN4"/>
  <c r="CM4"/>
  <c r="CL4"/>
  <c r="CK4"/>
  <c r="CJ4"/>
  <c r="CI4"/>
  <c r="CH4"/>
  <c r="CG4"/>
  <c r="CF4"/>
  <c r="CE4"/>
  <c r="CD4"/>
  <c r="CC4"/>
  <c r="CB4"/>
  <c r="CA4"/>
  <c r="BZ4"/>
  <c r="BY4"/>
  <c r="BX4"/>
  <c r="BW4"/>
  <c r="BV4"/>
  <c r="BU4"/>
  <c r="BT4"/>
  <c r="BS4"/>
  <c r="BR4"/>
  <c r="BQ4"/>
  <c r="BP4"/>
  <c r="BO4"/>
  <c r="BN4"/>
  <c r="BM4"/>
  <c r="AO4"/>
  <c r="G7" i="36" s="1"/>
  <c r="AN4" i="49"/>
  <c r="I7" i="7" s="1"/>
  <c r="L58" i="40"/>
  <c r="L55" i="41" s="1"/>
  <c r="K58" i="40"/>
  <c r="K55" i="41" s="1"/>
  <c r="J58" i="40"/>
  <c r="J55" i="41" s="1"/>
  <c r="L57" i="40"/>
  <c r="L54" i="41" s="1"/>
  <c r="K57" i="40"/>
  <c r="K54" i="41" s="1"/>
  <c r="J57" i="40"/>
  <c r="J54" i="41" s="1"/>
  <c r="L56" i="40"/>
  <c r="L53" i="41" s="1"/>
  <c r="K56" i="40"/>
  <c r="K53" i="41" s="1"/>
  <c r="J56" i="40"/>
  <c r="J53" i="41" s="1"/>
  <c r="L55" i="40"/>
  <c r="L52" i="41" s="1"/>
  <c r="K55" i="40"/>
  <c r="K52" i="41" s="1"/>
  <c r="J55" i="40"/>
  <c r="J52" i="41" s="1"/>
  <c r="L54" i="40"/>
  <c r="L51" i="41" s="1"/>
  <c r="K54" i="40"/>
  <c r="K51" i="41" s="1"/>
  <c r="J54" i="40"/>
  <c r="J51" i="41" s="1"/>
  <c r="L53" i="40"/>
  <c r="L50" i="41" s="1"/>
  <c r="K53" i="40"/>
  <c r="K50" i="41" s="1"/>
  <c r="J53" i="40"/>
  <c r="J50" i="41" s="1"/>
  <c r="L52" i="40"/>
  <c r="L49" i="41" s="1"/>
  <c r="K52" i="40"/>
  <c r="K49" i="41" s="1"/>
  <c r="J52" i="40"/>
  <c r="J49" i="41" s="1"/>
  <c r="L51" i="40"/>
  <c r="K51"/>
  <c r="K48" i="41" s="1"/>
  <c r="J51" i="40"/>
  <c r="O51" s="1"/>
  <c r="E58"/>
  <c r="E55" i="41" s="1"/>
  <c r="D58" i="40"/>
  <c r="D55" i="41" s="1"/>
  <c r="C58" i="40"/>
  <c r="E57"/>
  <c r="E54" i="41" s="1"/>
  <c r="D57" i="40"/>
  <c r="D54" i="41" s="1"/>
  <c r="C57" i="40"/>
  <c r="C54" i="41" s="1"/>
  <c r="E56" i="40"/>
  <c r="E53" i="41" s="1"/>
  <c r="D56" i="40"/>
  <c r="D53" i="41" s="1"/>
  <c r="C56" i="40"/>
  <c r="C53" i="41" s="1"/>
  <c r="E55" i="40"/>
  <c r="E52" i="41" s="1"/>
  <c r="D55" i="40"/>
  <c r="D52" i="41" s="1"/>
  <c r="C55" i="40"/>
  <c r="C52" i="41" s="1"/>
  <c r="E54" i="40"/>
  <c r="E51" i="41" s="1"/>
  <c r="D54" i="40"/>
  <c r="D51" i="41" s="1"/>
  <c r="C54" i="40"/>
  <c r="E53"/>
  <c r="E50" i="41" s="1"/>
  <c r="D53" i="40"/>
  <c r="D50" i="41" s="1"/>
  <c r="C53" i="40"/>
  <c r="C50" i="41" s="1"/>
  <c r="E52" i="40"/>
  <c r="D52"/>
  <c r="D49" i="41" s="1"/>
  <c r="C52" i="40"/>
  <c r="C49" i="41" s="1"/>
  <c r="E51" i="40"/>
  <c r="E48" i="41" s="1"/>
  <c r="D51" i="40"/>
  <c r="D48" i="41" s="1"/>
  <c r="C51" i="40"/>
  <c r="C48" i="41" s="1"/>
  <c r="L46" i="40"/>
  <c r="L44" i="41" s="1"/>
  <c r="K46" i="40"/>
  <c r="K44" i="41" s="1"/>
  <c r="J46" i="40"/>
  <c r="J44" i="41" s="1"/>
  <c r="L45" i="40"/>
  <c r="L43" i="41" s="1"/>
  <c r="K45" i="40"/>
  <c r="K43" i="41" s="1"/>
  <c r="J45" i="40"/>
  <c r="J43" i="41" s="1"/>
  <c r="L44" i="40"/>
  <c r="K44"/>
  <c r="K42" i="41" s="1"/>
  <c r="J44" i="40"/>
  <c r="J42" i="41" s="1"/>
  <c r="L43" i="40"/>
  <c r="L41" i="41" s="1"/>
  <c r="K43" i="40"/>
  <c r="K41" i="41" s="1"/>
  <c r="J43" i="40"/>
  <c r="J41" i="41" s="1"/>
  <c r="L42" i="40"/>
  <c r="L40" i="41" s="1"/>
  <c r="K42" i="40"/>
  <c r="K40" i="41" s="1"/>
  <c r="J42" i="40"/>
  <c r="L41"/>
  <c r="L39" i="41" s="1"/>
  <c r="K41" i="40"/>
  <c r="K39" i="41" s="1"/>
  <c r="J41" i="40"/>
  <c r="J39" i="41" s="1"/>
  <c r="L40" i="40"/>
  <c r="L38" i="41" s="1"/>
  <c r="K40" i="40"/>
  <c r="K38" i="41" s="1"/>
  <c r="J40" i="40"/>
  <c r="J38" i="41" s="1"/>
  <c r="L39" i="40"/>
  <c r="L37" i="41" s="1"/>
  <c r="K39" i="40"/>
  <c r="K37" i="41" s="1"/>
  <c r="J39" i="40"/>
  <c r="O39" s="1"/>
  <c r="E46"/>
  <c r="E44" i="41" s="1"/>
  <c r="D46" i="40"/>
  <c r="D44" i="41" s="1"/>
  <c r="C46" i="40"/>
  <c r="C44" i="41" s="1"/>
  <c r="E45" i="40"/>
  <c r="E43" i="41" s="1"/>
  <c r="D45" i="40"/>
  <c r="D43" i="41" s="1"/>
  <c r="C45" i="40"/>
  <c r="C43" i="41" s="1"/>
  <c r="E44" i="40"/>
  <c r="D44"/>
  <c r="D42" i="41" s="1"/>
  <c r="C44" i="40"/>
  <c r="C42" i="41" s="1"/>
  <c r="E43" i="40"/>
  <c r="D43"/>
  <c r="D41" i="41" s="1"/>
  <c r="C43" i="40"/>
  <c r="C41" i="41" s="1"/>
  <c r="E42" i="40"/>
  <c r="E40" i="41" s="1"/>
  <c r="D42" i="40"/>
  <c r="D40" i="41" s="1"/>
  <c r="C42" i="40"/>
  <c r="E41"/>
  <c r="E39" i="41" s="1"/>
  <c r="D41" i="40"/>
  <c r="D39" i="41" s="1"/>
  <c r="C41" i="40"/>
  <c r="C39" i="41" s="1"/>
  <c r="E40" i="40"/>
  <c r="E38" i="41" s="1"/>
  <c r="D40" i="40"/>
  <c r="D38" i="41" s="1"/>
  <c r="C40" i="40"/>
  <c r="C38" i="41" s="1"/>
  <c r="E39" i="40"/>
  <c r="E37" i="41" s="1"/>
  <c r="D39" i="40"/>
  <c r="D37" i="41" s="1"/>
  <c r="C39" i="40"/>
  <c r="N39" s="1"/>
  <c r="L34"/>
  <c r="L33" i="41" s="1"/>
  <c r="K34" i="40"/>
  <c r="K33" i="41" s="1"/>
  <c r="J34" i="40"/>
  <c r="J33" i="41" s="1"/>
  <c r="L33" i="40"/>
  <c r="L32" i="41" s="1"/>
  <c r="K33" i="40"/>
  <c r="K32" i="41" s="1"/>
  <c r="J33" i="40"/>
  <c r="J32" i="41" s="1"/>
  <c r="L32" i="40"/>
  <c r="L31" i="41" s="1"/>
  <c r="K32" i="40"/>
  <c r="K31" i="41" s="1"/>
  <c r="J32" i="40"/>
  <c r="J31" i="41" s="1"/>
  <c r="L31" i="40"/>
  <c r="K31"/>
  <c r="K30" i="41" s="1"/>
  <c r="J31" i="40"/>
  <c r="J30" i="41" s="1"/>
  <c r="L30" i="40"/>
  <c r="L29" i="41" s="1"/>
  <c r="K30" i="40"/>
  <c r="K29" i="41" s="1"/>
  <c r="J30" i="40"/>
  <c r="J29" i="41" s="1"/>
  <c r="L29" i="40"/>
  <c r="L28" i="41" s="1"/>
  <c r="K29" i="40"/>
  <c r="K28" i="41" s="1"/>
  <c r="J29" i="40"/>
  <c r="J28" i="41" s="1"/>
  <c r="L28" i="40"/>
  <c r="K28"/>
  <c r="K27" i="41" s="1"/>
  <c r="J28" i="40"/>
  <c r="J27" i="41" s="1"/>
  <c r="L27" i="40"/>
  <c r="K27"/>
  <c r="K26" i="41" s="1"/>
  <c r="J27" i="40"/>
  <c r="O27" s="1"/>
  <c r="E34"/>
  <c r="E33" i="41" s="1"/>
  <c r="D34" i="40"/>
  <c r="D33" i="41" s="1"/>
  <c r="C34" i="40"/>
  <c r="C33" i="41" s="1"/>
  <c r="E33" i="40"/>
  <c r="E32" i="41" s="1"/>
  <c r="D33" i="40"/>
  <c r="D32" i="41" s="1"/>
  <c r="C33" i="40"/>
  <c r="C32" i="41" s="1"/>
  <c r="E32" i="40"/>
  <c r="D32"/>
  <c r="D31" i="41" s="1"/>
  <c r="C32" i="40"/>
  <c r="C31" i="41" s="1"/>
  <c r="E31" i="40"/>
  <c r="E30" i="41" s="1"/>
  <c r="D31" i="40"/>
  <c r="D30" i="41" s="1"/>
  <c r="C31" i="40"/>
  <c r="C30" i="41" s="1"/>
  <c r="E30" i="40"/>
  <c r="E29" i="41" s="1"/>
  <c r="D30" i="40"/>
  <c r="D29" i="41" s="1"/>
  <c r="C30" i="40"/>
  <c r="C29" i="41" s="1"/>
  <c r="E29" i="40"/>
  <c r="E28" i="41" s="1"/>
  <c r="D29" i="40"/>
  <c r="D28" i="41" s="1"/>
  <c r="C29" i="40"/>
  <c r="C28" i="41" s="1"/>
  <c r="E28" i="40"/>
  <c r="D28"/>
  <c r="D27" i="41" s="1"/>
  <c r="C28" i="40"/>
  <c r="C27" i="41" s="1"/>
  <c r="E27" i="40"/>
  <c r="D27"/>
  <c r="D26" i="41" s="1"/>
  <c r="C27" i="40"/>
  <c r="C26" i="41" s="1"/>
  <c r="L22" i="40"/>
  <c r="L22" i="41" s="1"/>
  <c r="K22" i="40"/>
  <c r="K22" i="41" s="1"/>
  <c r="J22" i="40"/>
  <c r="L21"/>
  <c r="L21" i="41" s="1"/>
  <c r="K21" i="40"/>
  <c r="K21" i="41" s="1"/>
  <c r="J21" i="40"/>
  <c r="L20"/>
  <c r="K20"/>
  <c r="K20" i="41" s="1"/>
  <c r="J20" i="40"/>
  <c r="J20" i="41" s="1"/>
  <c r="L19" i="40"/>
  <c r="L19" i="41" s="1"/>
  <c r="K19" i="40"/>
  <c r="K19" i="41" s="1"/>
  <c r="J19" i="40"/>
  <c r="J19" i="41" s="1"/>
  <c r="L18" i="40"/>
  <c r="L18" i="41" s="1"/>
  <c r="K18" i="40"/>
  <c r="K18" i="41" s="1"/>
  <c r="J18" i="40"/>
  <c r="J18" i="41" s="1"/>
  <c r="L17" i="40"/>
  <c r="L17" i="41" s="1"/>
  <c r="K17" i="40"/>
  <c r="K17" i="41" s="1"/>
  <c r="J17" i="40"/>
  <c r="J17" i="41" s="1"/>
  <c r="L16" i="40"/>
  <c r="K16"/>
  <c r="K16" i="41" s="1"/>
  <c r="J16" i="40"/>
  <c r="J16" i="41" s="1"/>
  <c r="L15" i="40"/>
  <c r="L15" i="41" s="1"/>
  <c r="K15" i="40"/>
  <c r="K15" i="41" s="1"/>
  <c r="J15" i="40"/>
  <c r="J15" i="41" s="1"/>
  <c r="D16" i="40"/>
  <c r="D16" i="41" s="1"/>
  <c r="D17" i="40"/>
  <c r="D17" i="41" s="1"/>
  <c r="D18" i="40"/>
  <c r="D18" i="41" s="1"/>
  <c r="D19" i="40"/>
  <c r="D19" i="41" s="1"/>
  <c r="D20" i="40"/>
  <c r="D20" i="41" s="1"/>
  <c r="D21" i="40"/>
  <c r="D21" i="41" s="1"/>
  <c r="D22" i="40"/>
  <c r="D22" i="41" s="1"/>
  <c r="D15" i="40"/>
  <c r="D15" i="41" s="1"/>
  <c r="C7" i="27"/>
  <c r="V9" i="37"/>
  <c r="V8"/>
  <c r="Y35" i="10"/>
  <c r="Y113"/>
  <c r="Y112"/>
  <c r="Y111"/>
  <c r="H114" i="25" s="1"/>
  <c r="Y110" i="10"/>
  <c r="Y109"/>
  <c r="Y108"/>
  <c r="Y107"/>
  <c r="I110" i="50" s="1"/>
  <c r="Y106" i="10"/>
  <c r="H109" i="25" s="1"/>
  <c r="Y105" i="10"/>
  <c r="I108" i="50" s="1"/>
  <c r="Y104" i="10"/>
  <c r="Y103"/>
  <c r="I106" i="50" s="1"/>
  <c r="Y102" i="10"/>
  <c r="Y101"/>
  <c r="I104" i="50" s="1"/>
  <c r="Y100" i="10"/>
  <c r="Y99"/>
  <c r="Y98"/>
  <c r="I101" i="50" s="1"/>
  <c r="Y97" i="10"/>
  <c r="Y96"/>
  <c r="I99" i="50" s="1"/>
  <c r="Y95" i="10"/>
  <c r="Y94"/>
  <c r="Y93"/>
  <c r="I96" i="50" s="1"/>
  <c r="Y92" i="10"/>
  <c r="I95" i="50" s="1"/>
  <c r="Y91" i="10"/>
  <c r="I94" i="50" s="1"/>
  <c r="Y90" i="10"/>
  <c r="I93" i="50" s="1"/>
  <c r="Y89" i="10"/>
  <c r="Y88"/>
  <c r="I91" i="50" s="1"/>
  <c r="Y87" i="10"/>
  <c r="Y86"/>
  <c r="I89" i="50" s="1"/>
  <c r="Y85" i="10"/>
  <c r="I88" i="50" s="1"/>
  <c r="Y84" i="10"/>
  <c r="Y83"/>
  <c r="Y82"/>
  <c r="I85" i="50" s="1"/>
  <c r="Y81" i="10"/>
  <c r="Y80"/>
  <c r="Y79"/>
  <c r="Y78"/>
  <c r="I81" i="50" s="1"/>
  <c r="Y77" i="10"/>
  <c r="Y76"/>
  <c r="Y75"/>
  <c r="I78" i="50" s="1"/>
  <c r="Y74" i="10"/>
  <c r="Y73"/>
  <c r="Y72"/>
  <c r="I75" i="50" s="1"/>
  <c r="Y71" i="10"/>
  <c r="I74" i="50" s="1"/>
  <c r="I74" i="21"/>
  <c r="Y70" i="10"/>
  <c r="Y69"/>
  <c r="Y68"/>
  <c r="Y67"/>
  <c r="Y66"/>
  <c r="Y65"/>
  <c r="I68" i="50" s="1"/>
  <c r="Y64" i="10"/>
  <c r="Y63"/>
  <c r="I66" i="50" s="1"/>
  <c r="Y62" i="10"/>
  <c r="I65" i="50" s="1"/>
  <c r="Y61" i="10"/>
  <c r="Y60"/>
  <c r="I63" i="50" s="1"/>
  <c r="Y59" i="10"/>
  <c r="I62" i="21" s="1"/>
  <c r="BD62" s="1"/>
  <c r="Y58" i="10"/>
  <c r="I61" i="50" s="1"/>
  <c r="Y57" i="10"/>
  <c r="Y56"/>
  <c r="I59" i="50" s="1"/>
  <c r="Y55" i="10"/>
  <c r="I58" i="37" s="1"/>
  <c r="Y54" i="10"/>
  <c r="I57" i="50" s="1"/>
  <c r="Y53" i="10"/>
  <c r="I56" i="50" s="1"/>
  <c r="Y52" i="10"/>
  <c r="I55" i="50" s="1"/>
  <c r="Y51" i="10"/>
  <c r="Y50"/>
  <c r="I53" i="50" s="1"/>
  <c r="Y49" i="10"/>
  <c r="Y48"/>
  <c r="Y47"/>
  <c r="Y46"/>
  <c r="I49" i="50" s="1"/>
  <c r="Y45" i="10"/>
  <c r="I48" i="50" s="1"/>
  <c r="Y44" i="10"/>
  <c r="I47" i="50" s="1"/>
  <c r="Y43" i="10"/>
  <c r="Y42"/>
  <c r="Y41"/>
  <c r="Y40"/>
  <c r="Y39"/>
  <c r="I42" i="50" s="1"/>
  <c r="Y38" i="10"/>
  <c r="Y37"/>
  <c r="Y36"/>
  <c r="I39" i="50" s="1"/>
  <c r="Y34" i="10"/>
  <c r="I37" i="50" s="1"/>
  <c r="Y33" i="10"/>
  <c r="I36" i="50" s="1"/>
  <c r="Y32" i="10"/>
  <c r="Y31"/>
  <c r="Y30"/>
  <c r="Y29"/>
  <c r="Y28"/>
  <c r="Y27"/>
  <c r="Y26"/>
  <c r="Y25"/>
  <c r="Y24"/>
  <c r="I27" i="37" s="1"/>
  <c r="Y23" i="10"/>
  <c r="Y22"/>
  <c r="Y21"/>
  <c r="I24" i="50" s="1"/>
  <c r="Y20" i="10"/>
  <c r="Y19"/>
  <c r="I22" i="50" s="1"/>
  <c r="Y18" i="10"/>
  <c r="I21" i="50" s="1"/>
  <c r="Y17" i="10"/>
  <c r="Y16"/>
  <c r="I19" i="50" s="1"/>
  <c r="Y15" i="10"/>
  <c r="Y14"/>
  <c r="I17" i="50" s="1"/>
  <c r="Y13" i="10"/>
  <c r="Y12"/>
  <c r="I15" i="50" s="1"/>
  <c r="Y11" i="10"/>
  <c r="I14" i="50" s="1"/>
  <c r="Y10" i="10"/>
  <c r="Y9"/>
  <c r="Y8"/>
  <c r="Y7"/>
  <c r="Y6"/>
  <c r="I9" i="50" s="1"/>
  <c r="Y5" i="10"/>
  <c r="I8" i="50" s="1"/>
  <c r="Y4" i="10"/>
  <c r="CG4"/>
  <c r="CH4" s="1"/>
  <c r="Z4"/>
  <c r="CN4"/>
  <c r="CO4"/>
  <c r="CG5"/>
  <c r="CI5" s="1"/>
  <c r="Z5"/>
  <c r="CN5"/>
  <c r="J8" i="50" s="1"/>
  <c r="CO5" i="10"/>
  <c r="CG6"/>
  <c r="Z6"/>
  <c r="CN6"/>
  <c r="J9" i="50" s="1"/>
  <c r="CO6" i="10"/>
  <c r="CG7"/>
  <c r="CH7" s="1"/>
  <c r="Z7"/>
  <c r="CN7"/>
  <c r="J10" i="50" s="1"/>
  <c r="CO7" i="10"/>
  <c r="CG8"/>
  <c r="CH8" s="1"/>
  <c r="CM8" s="1"/>
  <c r="BI8"/>
  <c r="Z8"/>
  <c r="CN8"/>
  <c r="J11" i="50" s="1"/>
  <c r="CO8" i="10"/>
  <c r="CG9"/>
  <c r="CH9" s="1"/>
  <c r="Z9"/>
  <c r="CN9"/>
  <c r="CO9"/>
  <c r="CG10"/>
  <c r="CI10" s="1"/>
  <c r="CK10" s="1"/>
  <c r="BI10"/>
  <c r="Z10"/>
  <c r="G13" i="50" s="1"/>
  <c r="CN10" i="10"/>
  <c r="CO10"/>
  <c r="CG11"/>
  <c r="Z11"/>
  <c r="G14" i="50" s="1"/>
  <c r="CN11" i="10"/>
  <c r="CO11"/>
  <c r="CG12"/>
  <c r="Z12"/>
  <c r="CN12"/>
  <c r="CO12"/>
  <c r="CG13"/>
  <c r="CH13" s="1"/>
  <c r="Z13"/>
  <c r="G16" i="50" s="1"/>
  <c r="CN13" i="10"/>
  <c r="CO13"/>
  <c r="CG14"/>
  <c r="CH14" s="1"/>
  <c r="CM14" s="1"/>
  <c r="Z14"/>
  <c r="G17" i="50" s="1"/>
  <c r="CN14" i="10"/>
  <c r="CO14"/>
  <c r="CG15"/>
  <c r="CI15" s="1"/>
  <c r="CK15" s="1"/>
  <c r="BI15"/>
  <c r="Z15"/>
  <c r="CN15"/>
  <c r="CO15"/>
  <c r="CG16"/>
  <c r="CI16" s="1"/>
  <c r="Z16"/>
  <c r="CN16"/>
  <c r="CO16"/>
  <c r="CG17"/>
  <c r="CH17" s="1"/>
  <c r="Z17"/>
  <c r="G20" i="50" s="1"/>
  <c r="CN17" i="10"/>
  <c r="CO17"/>
  <c r="CG18"/>
  <c r="CH18"/>
  <c r="Z18"/>
  <c r="CN18"/>
  <c r="J21" i="50" s="1"/>
  <c r="CO18" i="10"/>
  <c r="CG19"/>
  <c r="BI19"/>
  <c r="Z19"/>
  <c r="G22" i="50" s="1"/>
  <c r="CN19" i="10"/>
  <c r="CO19"/>
  <c r="CG20"/>
  <c r="BI20"/>
  <c r="Z20"/>
  <c r="CN20"/>
  <c r="CO20"/>
  <c r="CG21"/>
  <c r="Z21"/>
  <c r="CN21"/>
  <c r="J24" i="50" s="1"/>
  <c r="CO21" i="10"/>
  <c r="CG22"/>
  <c r="BI22"/>
  <c r="Z22"/>
  <c r="G25" i="50" s="1"/>
  <c r="CN22" i="10"/>
  <c r="J25" i="50" s="1"/>
  <c r="CO22" i="10"/>
  <c r="CG23"/>
  <c r="CH23" s="1"/>
  <c r="CJ23" s="1"/>
  <c r="CL23" s="1"/>
  <c r="Z23"/>
  <c r="CN23"/>
  <c r="J26" i="50" s="1"/>
  <c r="CO23" i="10"/>
  <c r="CG24"/>
  <c r="Z24"/>
  <c r="G27" i="21" s="1"/>
  <c r="CN24" i="10"/>
  <c r="J27" i="50" s="1"/>
  <c r="CO24" i="10"/>
  <c r="CG25"/>
  <c r="BI25"/>
  <c r="Z25"/>
  <c r="CN25"/>
  <c r="J28" i="50" s="1"/>
  <c r="CO25" i="10"/>
  <c r="CG26"/>
  <c r="Z26"/>
  <c r="G29" i="50" s="1"/>
  <c r="CN26" i="10"/>
  <c r="I29" i="25" s="1"/>
  <c r="CO26" i="10"/>
  <c r="CG27"/>
  <c r="BI27"/>
  <c r="Z27"/>
  <c r="G30" i="50" s="1"/>
  <c r="CN27" i="10"/>
  <c r="CO27"/>
  <c r="CG28"/>
  <c r="Z28"/>
  <c r="CN28"/>
  <c r="J31" i="50" s="1"/>
  <c r="CO28" i="10"/>
  <c r="CG29"/>
  <c r="Z29"/>
  <c r="CN29"/>
  <c r="J32" i="50" s="1"/>
  <c r="CO29" i="10"/>
  <c r="CG30"/>
  <c r="CH30" s="1"/>
  <c r="Z30"/>
  <c r="G33" i="50" s="1"/>
  <c r="CN30" i="10"/>
  <c r="J33" i="50" s="1"/>
  <c r="CO30" i="10"/>
  <c r="CG31"/>
  <c r="CH31"/>
  <c r="Z31"/>
  <c r="G34" i="50" s="1"/>
  <c r="CN31" i="10"/>
  <c r="J34" i="50" s="1"/>
  <c r="CO31" i="10"/>
  <c r="CG32"/>
  <c r="BI32"/>
  <c r="Z32"/>
  <c r="G35" i="50" s="1"/>
  <c r="CN32" i="10"/>
  <c r="CO32"/>
  <c r="CG33"/>
  <c r="BI33"/>
  <c r="Z33"/>
  <c r="E36" i="25" s="1"/>
  <c r="CN33" i="10"/>
  <c r="J36" i="50" s="1"/>
  <c r="CO33" i="10"/>
  <c r="CG34"/>
  <c r="CH34" s="1"/>
  <c r="BI34"/>
  <c r="Z34"/>
  <c r="G37" i="50" s="1"/>
  <c r="CN34" i="10"/>
  <c r="CO34"/>
  <c r="CG35"/>
  <c r="CI35" s="1"/>
  <c r="Z35"/>
  <c r="G38" i="50" s="1"/>
  <c r="CN35" i="10"/>
  <c r="CO35"/>
  <c r="AX35"/>
  <c r="CG36"/>
  <c r="Z36"/>
  <c r="CN36"/>
  <c r="J39" i="50" s="1"/>
  <c r="CO36" i="10"/>
  <c r="CG37"/>
  <c r="Z37"/>
  <c r="E40" i="25" s="1"/>
  <c r="CN37" i="10"/>
  <c r="CO37"/>
  <c r="CG38"/>
  <c r="CI38"/>
  <c r="CJ38" s="1"/>
  <c r="BI38"/>
  <c r="Z38"/>
  <c r="G41" i="50" s="1"/>
  <c r="CN38" i="10"/>
  <c r="J41" i="50" s="1"/>
  <c r="CO38" i="10"/>
  <c r="CG39"/>
  <c r="Z39"/>
  <c r="CN39"/>
  <c r="J42" i="50" s="1"/>
  <c r="CO39" i="10"/>
  <c r="CG40"/>
  <c r="CI40" s="1"/>
  <c r="Z40"/>
  <c r="G43" i="50" s="1"/>
  <c r="CN40" i="10"/>
  <c r="J43" i="50" s="1"/>
  <c r="CO40" i="10"/>
  <c r="CG41"/>
  <c r="CH41"/>
  <c r="Z41"/>
  <c r="G44" i="50" s="1"/>
  <c r="CN41" i="10"/>
  <c r="J44" i="50" s="1"/>
  <c r="CO41" i="10"/>
  <c r="CG42"/>
  <c r="CH42"/>
  <c r="CM42" s="1"/>
  <c r="Z42"/>
  <c r="G45" i="50" s="1"/>
  <c r="CN42" i="10"/>
  <c r="J45" i="50" s="1"/>
  <c r="CO42" i="10"/>
  <c r="CG43"/>
  <c r="CI43" s="1"/>
  <c r="BI43"/>
  <c r="Z43"/>
  <c r="CN43"/>
  <c r="J46" i="50" s="1"/>
  <c r="CO43" i="10"/>
  <c r="CG44"/>
  <c r="BI44"/>
  <c r="Z44"/>
  <c r="CN44"/>
  <c r="CO44"/>
  <c r="CG45"/>
  <c r="Z45"/>
  <c r="CN45"/>
  <c r="J48" i="50" s="1"/>
  <c r="CO45" i="10"/>
  <c r="CG46"/>
  <c r="Z46"/>
  <c r="CN46"/>
  <c r="CO46"/>
  <c r="CG47"/>
  <c r="CI47" s="1"/>
  <c r="Z47"/>
  <c r="G50" i="50" s="1"/>
  <c r="CN47" i="10"/>
  <c r="CO47"/>
  <c r="CG48"/>
  <c r="Z48"/>
  <c r="CN48"/>
  <c r="J51" i="50" s="1"/>
  <c r="CO48" i="10"/>
  <c r="CG49"/>
  <c r="Z49"/>
  <c r="CN49"/>
  <c r="J52" i="50" s="1"/>
  <c r="CO49" i="10"/>
  <c r="CG50"/>
  <c r="CK50" s="1"/>
  <c r="Z50"/>
  <c r="CN50"/>
  <c r="J53" i="50" s="1"/>
  <c r="CO50" i="10"/>
  <c r="CG51"/>
  <c r="CL51" s="1"/>
  <c r="CM51" s="1"/>
  <c r="Z51"/>
  <c r="G54" i="50" s="1"/>
  <c r="CN51" i="10"/>
  <c r="CO51"/>
  <c r="CG52"/>
  <c r="Z52"/>
  <c r="CN52"/>
  <c r="CO52"/>
  <c r="CG53"/>
  <c r="Z53"/>
  <c r="G56" i="21" s="1"/>
  <c r="CN53" i="10"/>
  <c r="J56" i="50" s="1"/>
  <c r="CO53" i="10"/>
  <c r="CG54"/>
  <c r="CK54" s="1"/>
  <c r="Z54"/>
  <c r="G57" i="50" s="1"/>
  <c r="CN54" i="10"/>
  <c r="J57" i="50" s="1"/>
  <c r="CO54" i="10"/>
  <c r="CG55"/>
  <c r="Z55"/>
  <c r="G58" i="50" s="1"/>
  <c r="CN55" i="10"/>
  <c r="J58" i="50" s="1"/>
  <c r="CO55" i="10"/>
  <c r="CG56"/>
  <c r="Z56"/>
  <c r="G59" i="50" s="1"/>
  <c r="CN56" i="10"/>
  <c r="J59" i="50" s="1"/>
  <c r="CO56" i="10"/>
  <c r="CG57"/>
  <c r="Z57"/>
  <c r="G60" i="50" s="1"/>
  <c r="CN57" i="10"/>
  <c r="J60" i="50" s="1"/>
  <c r="CO57" i="10"/>
  <c r="CG58"/>
  <c r="Z58"/>
  <c r="G61" i="50" s="1"/>
  <c r="CN58" i="10"/>
  <c r="CO58"/>
  <c r="CG59"/>
  <c r="Z59"/>
  <c r="E62" i="25" s="1"/>
  <c r="CN59" i="10"/>
  <c r="J62" i="50" s="1"/>
  <c r="CO59" i="10"/>
  <c r="CG60"/>
  <c r="Z60"/>
  <c r="G63" i="50" s="1"/>
  <c r="CN60" i="10"/>
  <c r="CO60"/>
  <c r="CG61"/>
  <c r="Z61"/>
  <c r="CN61"/>
  <c r="CO61"/>
  <c r="CG62"/>
  <c r="Z62"/>
  <c r="G65" i="50" s="1"/>
  <c r="CN62" i="10"/>
  <c r="CO62"/>
  <c r="CG63"/>
  <c r="Z63"/>
  <c r="CN63"/>
  <c r="J66" i="50" s="1"/>
  <c r="CO63" i="10"/>
  <c r="CG64"/>
  <c r="CJ64" s="1"/>
  <c r="Z64"/>
  <c r="G67" i="50" s="1"/>
  <c r="CN64" i="10"/>
  <c r="CO64"/>
  <c r="CG65"/>
  <c r="Z65"/>
  <c r="G68" i="50" s="1"/>
  <c r="CN65" i="10"/>
  <c r="CO65"/>
  <c r="CG66"/>
  <c r="Z66"/>
  <c r="CN66"/>
  <c r="J69" i="50" s="1"/>
  <c r="CO66" i="10"/>
  <c r="CG67"/>
  <c r="Z67"/>
  <c r="CN67"/>
  <c r="CO67"/>
  <c r="CG68"/>
  <c r="Z68"/>
  <c r="G71" i="50" s="1"/>
  <c r="CN68" i="10"/>
  <c r="CO68"/>
  <c r="CG69"/>
  <c r="CI69" s="1"/>
  <c r="CK69" s="1"/>
  <c r="CM69" s="1"/>
  <c r="Z69"/>
  <c r="G72" i="50" s="1"/>
  <c r="CN69" i="10"/>
  <c r="J72" i="21" s="1"/>
  <c r="CO69" i="10"/>
  <c r="CG70"/>
  <c r="Z70"/>
  <c r="G73" i="50" s="1"/>
  <c r="CN70" i="10"/>
  <c r="CO70"/>
  <c r="CG71"/>
  <c r="Z71"/>
  <c r="G74" i="37" s="1"/>
  <c r="CN71" i="10"/>
  <c r="J74" i="50" s="1"/>
  <c r="CO71" i="10"/>
  <c r="CG72"/>
  <c r="CH72" s="1"/>
  <c r="Z72"/>
  <c r="CN72"/>
  <c r="I75" i="25"/>
  <c r="CO72" i="10"/>
  <c r="CG73"/>
  <c r="Z73"/>
  <c r="G76" i="50" s="1"/>
  <c r="CN73" i="10"/>
  <c r="CO73"/>
  <c r="CG74"/>
  <c r="Z74"/>
  <c r="CN74"/>
  <c r="J77" i="50" s="1"/>
  <c r="CO74" i="10"/>
  <c r="CG75"/>
  <c r="Z75"/>
  <c r="CN75"/>
  <c r="J78" i="50" s="1"/>
  <c r="CO75" i="10"/>
  <c r="CG76"/>
  <c r="Z76"/>
  <c r="CN76"/>
  <c r="J79" i="37" s="1"/>
  <c r="CO76" i="10"/>
  <c r="CG77"/>
  <c r="Z77"/>
  <c r="G80" i="50" s="1"/>
  <c r="CN77" i="10"/>
  <c r="CO77"/>
  <c r="CG78"/>
  <c r="Z78"/>
  <c r="CN78"/>
  <c r="CO78"/>
  <c r="CG79"/>
  <c r="CI79" s="1"/>
  <c r="Z79"/>
  <c r="CN79"/>
  <c r="J82" i="50" s="1"/>
  <c r="CO79" i="10"/>
  <c r="CG80"/>
  <c r="Z80"/>
  <c r="G83" i="50" s="1"/>
  <c r="CN80" i="10"/>
  <c r="CO80"/>
  <c r="CG81"/>
  <c r="Z81"/>
  <c r="CN81"/>
  <c r="CO81"/>
  <c r="CG82"/>
  <c r="Z82"/>
  <c r="CN82"/>
  <c r="J85" i="50" s="1"/>
  <c r="CO82" i="10"/>
  <c r="CG83"/>
  <c r="CH83" s="1"/>
  <c r="Z83"/>
  <c r="CN83"/>
  <c r="J86" i="50" s="1"/>
  <c r="CO83" i="10"/>
  <c r="CG84"/>
  <c r="Z84"/>
  <c r="G87" i="50" s="1"/>
  <c r="CN84" i="10"/>
  <c r="CO84"/>
  <c r="CG85"/>
  <c r="Z85"/>
  <c r="CN85"/>
  <c r="CO85"/>
  <c r="CG86"/>
  <c r="Z86"/>
  <c r="CN86"/>
  <c r="CO86"/>
  <c r="CG87"/>
  <c r="Z87"/>
  <c r="CN87"/>
  <c r="J90" i="50" s="1"/>
  <c r="CO87" i="10"/>
  <c r="CG88"/>
  <c r="CI88" s="1"/>
  <c r="Z88"/>
  <c r="G91" i="50" s="1"/>
  <c r="CN88" i="10"/>
  <c r="CO88"/>
  <c r="O89"/>
  <c r="P89" s="1"/>
  <c r="B92" i="50" s="1"/>
  <c r="CG89" i="10"/>
  <c r="Z89"/>
  <c r="CN89"/>
  <c r="CO89"/>
  <c r="O90"/>
  <c r="Q90" s="1"/>
  <c r="M93" i="50" s="1"/>
  <c r="CG90" i="10"/>
  <c r="CI90" s="1"/>
  <c r="Z90"/>
  <c r="CN90"/>
  <c r="J93" i="50" s="1"/>
  <c r="CO90" i="10"/>
  <c r="O91"/>
  <c r="Q91" s="1"/>
  <c r="M94" i="50" s="1"/>
  <c r="CG91" i="10"/>
  <c r="CH91" s="1"/>
  <c r="Z91"/>
  <c r="G94" i="50" s="1"/>
  <c r="CN91" i="10"/>
  <c r="J94" i="50" s="1"/>
  <c r="CO91" i="10"/>
  <c r="O92"/>
  <c r="P92" s="1"/>
  <c r="CG92"/>
  <c r="Z92"/>
  <c r="G95" i="50" s="1"/>
  <c r="CN92" i="10"/>
  <c r="CO92"/>
  <c r="O93"/>
  <c r="Q93" s="1"/>
  <c r="CG93"/>
  <c r="Z93"/>
  <c r="CN93"/>
  <c r="J96" i="50" s="1"/>
  <c r="CO93" i="10"/>
  <c r="O94"/>
  <c r="Q94" s="1"/>
  <c r="M97" i="50" s="1"/>
  <c r="CG94" i="10"/>
  <c r="Z94"/>
  <c r="G97" i="50" s="1"/>
  <c r="CN94" i="10"/>
  <c r="J97" i="50" s="1"/>
  <c r="CO94" i="10"/>
  <c r="O95"/>
  <c r="P95" s="1"/>
  <c r="B98" i="50" s="1"/>
  <c r="CG95" i="10"/>
  <c r="Z95"/>
  <c r="CN95"/>
  <c r="CO95"/>
  <c r="O96"/>
  <c r="CG96"/>
  <c r="Z96"/>
  <c r="G99" i="50" s="1"/>
  <c r="CN96" i="10"/>
  <c r="CO96"/>
  <c r="O97"/>
  <c r="CG97"/>
  <c r="Z97"/>
  <c r="CN97"/>
  <c r="CO97"/>
  <c r="O98"/>
  <c r="Q98" s="1"/>
  <c r="M101" i="50" s="1"/>
  <c r="CG98" i="10"/>
  <c r="Z98"/>
  <c r="CN98"/>
  <c r="CO98"/>
  <c r="O99"/>
  <c r="Q99" s="1"/>
  <c r="CG99"/>
  <c r="Z99"/>
  <c r="G102" i="50" s="1"/>
  <c r="CN99" i="10"/>
  <c r="J102" i="21" s="1"/>
  <c r="CO99" i="10"/>
  <c r="O100"/>
  <c r="CG100"/>
  <c r="Z100"/>
  <c r="CN100"/>
  <c r="J103" i="50" s="1"/>
  <c r="CO100" i="10"/>
  <c r="O101"/>
  <c r="Q101" s="1"/>
  <c r="CG101"/>
  <c r="Z101"/>
  <c r="G104" i="50" s="1"/>
  <c r="CN101" i="10"/>
  <c r="J104" i="50" s="1"/>
  <c r="CO101" i="10"/>
  <c r="O102"/>
  <c r="P102" s="1"/>
  <c r="B105" i="50" s="1"/>
  <c r="CG102" i="10"/>
  <c r="Z102"/>
  <c r="CN102"/>
  <c r="CO102"/>
  <c r="O103"/>
  <c r="CG103"/>
  <c r="Z103"/>
  <c r="CN103"/>
  <c r="CO103"/>
  <c r="O104"/>
  <c r="Q104" s="1"/>
  <c r="M107" i="50" s="1"/>
  <c r="CG104" i="10"/>
  <c r="Z104"/>
  <c r="G107" i="50" s="1"/>
  <c r="CN104" i="10"/>
  <c r="CO104"/>
  <c r="O105"/>
  <c r="P105" s="1"/>
  <c r="B108" i="50" s="1"/>
  <c r="CG105" i="10"/>
  <c r="CH105" s="1"/>
  <c r="Z105"/>
  <c r="G108" i="50" s="1"/>
  <c r="CN105" i="10"/>
  <c r="J108" i="50" s="1"/>
  <c r="CO105" i="10"/>
  <c r="O106"/>
  <c r="Q106" s="1"/>
  <c r="M109" i="50" s="1"/>
  <c r="CG106" i="10"/>
  <c r="Z106"/>
  <c r="CN106"/>
  <c r="J109" i="50" s="1"/>
  <c r="CO106" i="10"/>
  <c r="O107"/>
  <c r="P107" s="1"/>
  <c r="B110" i="50" s="1"/>
  <c r="CG107" i="10"/>
  <c r="Z107"/>
  <c r="CN107"/>
  <c r="J110" i="50" s="1"/>
  <c r="J110" i="37"/>
  <c r="CO107" i="10"/>
  <c r="O108"/>
  <c r="Q108" s="1"/>
  <c r="CG108"/>
  <c r="Z108"/>
  <c r="CN108"/>
  <c r="J111" i="50" s="1"/>
  <c r="CO108" i="10"/>
  <c r="O109"/>
  <c r="P109" s="1"/>
  <c r="F112" i="25" s="1"/>
  <c r="CG109" i="10"/>
  <c r="Z109"/>
  <c r="CN109"/>
  <c r="J112" i="50" s="1"/>
  <c r="CO109" i="10"/>
  <c r="O110"/>
  <c r="P110" s="1"/>
  <c r="B113" i="50" s="1"/>
  <c r="CG110" i="10"/>
  <c r="Z110"/>
  <c r="G113" i="50" s="1"/>
  <c r="CN110" i="10"/>
  <c r="CO110"/>
  <c r="O111"/>
  <c r="Q111" s="1"/>
  <c r="M114" i="50" s="1"/>
  <c r="CG111" i="10"/>
  <c r="Z111"/>
  <c r="G114" i="50" s="1"/>
  <c r="CN111" i="10"/>
  <c r="CO111"/>
  <c r="O112"/>
  <c r="Q112" s="1"/>
  <c r="M115" i="50" s="1"/>
  <c r="CG112" i="10"/>
  <c r="Z112"/>
  <c r="G115" i="50" s="1"/>
  <c r="CN112" i="10"/>
  <c r="J115" i="50" s="1"/>
  <c r="CO112" i="10"/>
  <c r="O113"/>
  <c r="Q113" s="1"/>
  <c r="M116" i="50" s="1"/>
  <c r="CG113" i="10"/>
  <c r="Z113"/>
  <c r="CN113"/>
  <c r="CO113"/>
  <c r="G78" i="44"/>
  <c r="F78"/>
  <c r="D78"/>
  <c r="C78"/>
  <c r="G77"/>
  <c r="F77"/>
  <c r="D77"/>
  <c r="C77"/>
  <c r="G76"/>
  <c r="F76"/>
  <c r="D76"/>
  <c r="C76"/>
  <c r="G75"/>
  <c r="F75"/>
  <c r="D75"/>
  <c r="C75"/>
  <c r="G74"/>
  <c r="F74"/>
  <c r="D74"/>
  <c r="C74"/>
  <c r="G73"/>
  <c r="F73"/>
  <c r="D73"/>
  <c r="C73"/>
  <c r="G72"/>
  <c r="F72"/>
  <c r="D72"/>
  <c r="C72"/>
  <c r="G71"/>
  <c r="F71"/>
  <c r="D71"/>
  <c r="C71"/>
  <c r="G70"/>
  <c r="F70"/>
  <c r="D70"/>
  <c r="C70"/>
  <c r="G69"/>
  <c r="F69"/>
  <c r="D69"/>
  <c r="C69"/>
  <c r="G68"/>
  <c r="F68"/>
  <c r="D68"/>
  <c r="C68"/>
  <c r="G67"/>
  <c r="F67"/>
  <c r="D67"/>
  <c r="C67"/>
  <c r="G66"/>
  <c r="F66"/>
  <c r="D66"/>
  <c r="C66"/>
  <c r="G65"/>
  <c r="F65"/>
  <c r="D65"/>
  <c r="C65"/>
  <c r="G64"/>
  <c r="F64"/>
  <c r="D64"/>
  <c r="C64"/>
  <c r="G63"/>
  <c r="F63"/>
  <c r="D63"/>
  <c r="C63"/>
  <c r="G62"/>
  <c r="F62"/>
  <c r="D62"/>
  <c r="C62"/>
  <c r="G61"/>
  <c r="F61"/>
  <c r="D61"/>
  <c r="C61"/>
  <c r="G60"/>
  <c r="F60"/>
  <c r="D60"/>
  <c r="C60"/>
  <c r="G59"/>
  <c r="F59"/>
  <c r="D59"/>
  <c r="C59"/>
  <c r="G58"/>
  <c r="F58"/>
  <c r="D58"/>
  <c r="C58"/>
  <c r="G57"/>
  <c r="F57"/>
  <c r="D57"/>
  <c r="C57"/>
  <c r="G56"/>
  <c r="F56"/>
  <c r="D56"/>
  <c r="C56"/>
  <c r="G55"/>
  <c r="F55"/>
  <c r="D55"/>
  <c r="C55"/>
  <c r="G54"/>
  <c r="F54"/>
  <c r="D54"/>
  <c r="C54"/>
  <c r="G14"/>
  <c r="G15"/>
  <c r="G16"/>
  <c r="G17"/>
  <c r="G18"/>
  <c r="G19"/>
  <c r="G20"/>
  <c r="G21"/>
  <c r="G22"/>
  <c r="G23"/>
  <c r="G24"/>
  <c r="G25"/>
  <c r="G26"/>
  <c r="G27"/>
  <c r="G28"/>
  <c r="G29"/>
  <c r="G30"/>
  <c r="G31"/>
  <c r="G32"/>
  <c r="G33"/>
  <c r="G34"/>
  <c r="G35"/>
  <c r="G36"/>
  <c r="G37"/>
  <c r="D14"/>
  <c r="D15"/>
  <c r="D16"/>
  <c r="D17"/>
  <c r="D18"/>
  <c r="D19"/>
  <c r="D20"/>
  <c r="D21"/>
  <c r="D22"/>
  <c r="D23"/>
  <c r="D24"/>
  <c r="D25"/>
  <c r="D26"/>
  <c r="D27"/>
  <c r="D28"/>
  <c r="D29"/>
  <c r="D30"/>
  <c r="D31"/>
  <c r="D32"/>
  <c r="D33"/>
  <c r="D34"/>
  <c r="D35"/>
  <c r="D36"/>
  <c r="D37"/>
  <c r="G13"/>
  <c r="D13"/>
  <c r="G78" i="42"/>
  <c r="F78"/>
  <c r="D78"/>
  <c r="C78"/>
  <c r="G77"/>
  <c r="F77"/>
  <c r="D77"/>
  <c r="C77"/>
  <c r="G76"/>
  <c r="F76"/>
  <c r="D76"/>
  <c r="C76"/>
  <c r="G75"/>
  <c r="F75"/>
  <c r="D75"/>
  <c r="C75"/>
  <c r="G74"/>
  <c r="F74"/>
  <c r="D74"/>
  <c r="C74"/>
  <c r="G73"/>
  <c r="F73"/>
  <c r="D73"/>
  <c r="C73"/>
  <c r="G72"/>
  <c r="F72"/>
  <c r="D72"/>
  <c r="C72"/>
  <c r="G71"/>
  <c r="F71"/>
  <c r="D71"/>
  <c r="C71"/>
  <c r="G70"/>
  <c r="F70"/>
  <c r="D70"/>
  <c r="C70"/>
  <c r="G69"/>
  <c r="F69"/>
  <c r="D69"/>
  <c r="C69"/>
  <c r="G68"/>
  <c r="F68"/>
  <c r="D68"/>
  <c r="C68"/>
  <c r="G67"/>
  <c r="F67"/>
  <c r="D67"/>
  <c r="C67"/>
  <c r="G66"/>
  <c r="F66"/>
  <c r="D66"/>
  <c r="C66"/>
  <c r="G65"/>
  <c r="F65"/>
  <c r="D65"/>
  <c r="C65"/>
  <c r="G64"/>
  <c r="F64"/>
  <c r="D64"/>
  <c r="C64"/>
  <c r="G63"/>
  <c r="F63"/>
  <c r="D63"/>
  <c r="C63"/>
  <c r="G62"/>
  <c r="F62"/>
  <c r="D62"/>
  <c r="C62"/>
  <c r="G61"/>
  <c r="F61"/>
  <c r="D61"/>
  <c r="C61"/>
  <c r="G60"/>
  <c r="F60"/>
  <c r="D60"/>
  <c r="C60"/>
  <c r="G59"/>
  <c r="F59"/>
  <c r="D59"/>
  <c r="C59"/>
  <c r="G58"/>
  <c r="F58"/>
  <c r="D58"/>
  <c r="C58"/>
  <c r="G57"/>
  <c r="F57"/>
  <c r="D57"/>
  <c r="C57"/>
  <c r="G56"/>
  <c r="F56"/>
  <c r="D56"/>
  <c r="C56"/>
  <c r="G55"/>
  <c r="F55"/>
  <c r="D55"/>
  <c r="C55"/>
  <c r="G54"/>
  <c r="F54"/>
  <c r="D54"/>
  <c r="C54"/>
  <c r="G14"/>
  <c r="G15"/>
  <c r="G16"/>
  <c r="G17"/>
  <c r="G18"/>
  <c r="G19"/>
  <c r="G20"/>
  <c r="G21"/>
  <c r="G22"/>
  <c r="G23"/>
  <c r="G24"/>
  <c r="G25"/>
  <c r="G26"/>
  <c r="G27"/>
  <c r="G28"/>
  <c r="G29"/>
  <c r="G30"/>
  <c r="G31"/>
  <c r="G32"/>
  <c r="G33"/>
  <c r="G34"/>
  <c r="G35"/>
  <c r="G36"/>
  <c r="G37"/>
  <c r="D14"/>
  <c r="D15"/>
  <c r="D16"/>
  <c r="D17"/>
  <c r="D18"/>
  <c r="D19"/>
  <c r="D20"/>
  <c r="D21"/>
  <c r="D22"/>
  <c r="D23"/>
  <c r="D24"/>
  <c r="D25"/>
  <c r="D26"/>
  <c r="D27"/>
  <c r="D28"/>
  <c r="D29"/>
  <c r="D30"/>
  <c r="D31"/>
  <c r="D32"/>
  <c r="D33"/>
  <c r="D34"/>
  <c r="D35"/>
  <c r="D36"/>
  <c r="D37"/>
  <c r="G13"/>
  <c r="D13"/>
  <c r="I14" i="25"/>
  <c r="I15"/>
  <c r="I27"/>
  <c r="I28"/>
  <c r="I33"/>
  <c r="I45"/>
  <c r="I56"/>
  <c r="I57"/>
  <c r="I62"/>
  <c r="I67"/>
  <c r="I74"/>
  <c r="I80"/>
  <c r="I81"/>
  <c r="I83"/>
  <c r="I92"/>
  <c r="I94"/>
  <c r="I101"/>
  <c r="I105"/>
  <c r="C16" i="40"/>
  <c r="E16"/>
  <c r="E16" i="41" s="1"/>
  <c r="C17" i="40"/>
  <c r="C17" i="41" s="1"/>
  <c r="E17" i="40"/>
  <c r="E17" i="41" s="1"/>
  <c r="C18" i="40"/>
  <c r="C18" i="41" s="1"/>
  <c r="E18" i="40"/>
  <c r="E18" i="41" s="1"/>
  <c r="C19" i="40"/>
  <c r="C19" i="41" s="1"/>
  <c r="E19" i="40"/>
  <c r="E19" i="41" s="1"/>
  <c r="C20" i="40"/>
  <c r="C20" i="41" s="1"/>
  <c r="E20" i="40"/>
  <c r="E20" i="41" s="1"/>
  <c r="C21" i="40"/>
  <c r="C21" i="41" s="1"/>
  <c r="E21" i="40"/>
  <c r="E21" i="41" s="1"/>
  <c r="C22" i="40"/>
  <c r="C22" i="41" s="1"/>
  <c r="E22" i="40"/>
  <c r="E22" i="41" s="1"/>
  <c r="E15" i="40"/>
  <c r="E15" i="41" s="1"/>
  <c r="C15" i="40"/>
  <c r="C15" i="41" s="1"/>
  <c r="J10" i="37"/>
  <c r="J27"/>
  <c r="J34"/>
  <c r="J43"/>
  <c r="J45"/>
  <c r="J50"/>
  <c r="J55"/>
  <c r="J56"/>
  <c r="J67"/>
  <c r="J68"/>
  <c r="J75"/>
  <c r="J80"/>
  <c r="J86"/>
  <c r="J90"/>
  <c r="J92"/>
  <c r="J102"/>
  <c r="J103"/>
  <c r="I57" i="21"/>
  <c r="CF5" i="10"/>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85"/>
  <c r="CF86"/>
  <c r="CF87"/>
  <c r="CF88"/>
  <c r="CF89"/>
  <c r="CF90"/>
  <c r="CF91"/>
  <c r="CF92"/>
  <c r="CF93"/>
  <c r="CF94"/>
  <c r="CF95"/>
  <c r="CF96"/>
  <c r="CF97"/>
  <c r="CF98"/>
  <c r="CF99"/>
  <c r="CF100"/>
  <c r="CF101"/>
  <c r="CF102"/>
  <c r="CF103"/>
  <c r="CF104"/>
  <c r="CF105"/>
  <c r="CF106"/>
  <c r="CF107"/>
  <c r="CF108"/>
  <c r="CF109"/>
  <c r="CF110"/>
  <c r="CF111"/>
  <c r="CF112"/>
  <c r="CF113"/>
  <c r="CF4"/>
  <c r="J5" i="44"/>
  <c r="J5" i="42"/>
  <c r="C4" i="25"/>
  <c r="C3"/>
  <c r="B7" i="41"/>
  <c r="B7" i="40"/>
  <c r="B36" s="1"/>
  <c r="R38" s="1"/>
  <c r="F4" i="21"/>
  <c r="F3"/>
  <c r="F4" i="37"/>
  <c r="F3"/>
  <c r="Z116" i="21"/>
  <c r="Y116"/>
  <c r="Z115"/>
  <c r="Y115"/>
  <c r="Z114"/>
  <c r="Y114"/>
  <c r="Z113"/>
  <c r="Y113"/>
  <c r="Z112"/>
  <c r="Y112"/>
  <c r="Z111"/>
  <c r="Y111"/>
  <c r="Z110"/>
  <c r="Y110"/>
  <c r="Z109"/>
  <c r="Y109"/>
  <c r="Z108"/>
  <c r="Y108"/>
  <c r="Z107"/>
  <c r="Y107"/>
  <c r="Z106"/>
  <c r="Y106"/>
  <c r="Z105"/>
  <c r="Y105"/>
  <c r="Z104"/>
  <c r="Y104"/>
  <c r="Z103"/>
  <c r="Y103"/>
  <c r="Z102"/>
  <c r="Y102"/>
  <c r="Z101"/>
  <c r="Y101"/>
  <c r="Z100"/>
  <c r="Y100"/>
  <c r="Z99"/>
  <c r="Y99"/>
  <c r="Z98"/>
  <c r="Y98"/>
  <c r="Z97"/>
  <c r="Y97"/>
  <c r="Z96"/>
  <c r="Y96"/>
  <c r="Z95"/>
  <c r="Y95"/>
  <c r="Z94"/>
  <c r="Y94"/>
  <c r="Z93"/>
  <c r="Y93"/>
  <c r="Z92"/>
  <c r="Y92"/>
  <c r="Z91"/>
  <c r="Y91"/>
  <c r="Z90"/>
  <c r="Y90"/>
  <c r="Z89"/>
  <c r="Y89"/>
  <c r="Z88"/>
  <c r="Y88"/>
  <c r="Z87"/>
  <c r="Y87"/>
  <c r="Z86"/>
  <c r="Y86"/>
  <c r="Z85"/>
  <c r="Y85"/>
  <c r="Z84"/>
  <c r="Y84"/>
  <c r="Z83"/>
  <c r="Y83"/>
  <c r="Z82"/>
  <c r="Y82"/>
  <c r="Z81"/>
  <c r="Y81"/>
  <c r="Z80"/>
  <c r="Y80"/>
  <c r="Z79"/>
  <c r="Y79"/>
  <c r="Z78"/>
  <c r="Y78"/>
  <c r="Z77"/>
  <c r="Y77"/>
  <c r="Z76"/>
  <c r="Y76"/>
  <c r="Z75"/>
  <c r="Y75"/>
  <c r="Z74"/>
  <c r="Y74"/>
  <c r="Z73"/>
  <c r="Y73"/>
  <c r="Z72"/>
  <c r="Y72"/>
  <c r="Z71"/>
  <c r="Y71"/>
  <c r="Z70"/>
  <c r="Y70"/>
  <c r="Z69"/>
  <c r="Y69"/>
  <c r="Z68"/>
  <c r="Y68"/>
  <c r="Z67"/>
  <c r="Y67"/>
  <c r="Z66"/>
  <c r="Y66"/>
  <c r="Z65"/>
  <c r="Y65"/>
  <c r="Z64"/>
  <c r="Y64"/>
  <c r="Z63"/>
  <c r="Y63"/>
  <c r="Z62"/>
  <c r="Y62"/>
  <c r="Z61"/>
  <c r="Y61"/>
  <c r="Z60"/>
  <c r="Y60"/>
  <c r="Z59"/>
  <c r="Y59"/>
  <c r="Z58"/>
  <c r="Y58"/>
  <c r="Z57"/>
  <c r="Y57"/>
  <c r="Z56"/>
  <c r="Y56"/>
  <c r="Z55"/>
  <c r="Y55"/>
  <c r="Z54"/>
  <c r="Y54"/>
  <c r="Z53"/>
  <c r="Y53"/>
  <c r="Z52"/>
  <c r="Y52"/>
  <c r="Z51"/>
  <c r="Y51"/>
  <c r="Z50"/>
  <c r="Y50"/>
  <c r="Z49"/>
  <c r="Y49"/>
  <c r="Z48"/>
  <c r="Y48"/>
  <c r="Z47"/>
  <c r="Y47"/>
  <c r="Z46"/>
  <c r="Y46"/>
  <c r="Z45"/>
  <c r="Y45"/>
  <c r="Z44"/>
  <c r="Y44"/>
  <c r="Z43"/>
  <c r="Y43"/>
  <c r="Z42"/>
  <c r="Y42"/>
  <c r="Z41"/>
  <c r="Y41"/>
  <c r="Z40"/>
  <c r="Y40"/>
  <c r="Z39"/>
  <c r="Y39"/>
  <c r="Z38"/>
  <c r="Y38"/>
  <c r="Z37"/>
  <c r="Y37"/>
  <c r="Z36"/>
  <c r="Y36"/>
  <c r="Z35"/>
  <c r="Y35"/>
  <c r="Z34"/>
  <c r="Y34"/>
  <c r="Z33"/>
  <c r="Y33"/>
  <c r="Z32"/>
  <c r="Y32"/>
  <c r="Z31"/>
  <c r="Y31"/>
  <c r="Z30"/>
  <c r="Y30"/>
  <c r="Z29"/>
  <c r="Y29"/>
  <c r="Z28"/>
  <c r="Y28"/>
  <c r="Z27"/>
  <c r="Y27"/>
  <c r="Z26"/>
  <c r="Y26"/>
  <c r="Z25"/>
  <c r="Y25"/>
  <c r="Z24"/>
  <c r="Y24"/>
  <c r="Z23"/>
  <c r="Y23"/>
  <c r="Z22"/>
  <c r="Y22"/>
  <c r="Z21"/>
  <c r="Y21"/>
  <c r="Z20"/>
  <c r="Y20"/>
  <c r="Z19"/>
  <c r="Y19"/>
  <c r="Z18"/>
  <c r="Y18"/>
  <c r="Z17"/>
  <c r="Y17"/>
  <c r="Z16"/>
  <c r="Y16"/>
  <c r="Z15"/>
  <c r="Y15"/>
  <c r="Z14"/>
  <c r="Y14"/>
  <c r="Z13"/>
  <c r="Y13"/>
  <c r="Z12"/>
  <c r="Y12"/>
  <c r="Z11"/>
  <c r="Y11"/>
  <c r="Z10"/>
  <c r="Y10"/>
  <c r="Z9"/>
  <c r="Y9"/>
  <c r="Z8"/>
  <c r="Y8"/>
  <c r="Z7"/>
  <c r="Y7"/>
  <c r="S8"/>
  <c r="T8"/>
  <c r="S9"/>
  <c r="T9"/>
  <c r="S10"/>
  <c r="T10"/>
  <c r="S11"/>
  <c r="T11"/>
  <c r="S12"/>
  <c r="T12"/>
  <c r="S13"/>
  <c r="T13"/>
  <c r="S14"/>
  <c r="T14"/>
  <c r="S15"/>
  <c r="T15"/>
  <c r="S16"/>
  <c r="T16"/>
  <c r="S17"/>
  <c r="T17"/>
  <c r="S18"/>
  <c r="T18"/>
  <c r="S19"/>
  <c r="T19"/>
  <c r="S20"/>
  <c r="T20"/>
  <c r="S21"/>
  <c r="T21"/>
  <c r="S22"/>
  <c r="T22"/>
  <c r="S23"/>
  <c r="T23"/>
  <c r="S24"/>
  <c r="T24"/>
  <c r="S25"/>
  <c r="T25"/>
  <c r="S26"/>
  <c r="T26"/>
  <c r="S27"/>
  <c r="T27"/>
  <c r="S28"/>
  <c r="T28"/>
  <c r="S29"/>
  <c r="T29"/>
  <c r="S30"/>
  <c r="T30"/>
  <c r="S31"/>
  <c r="T31"/>
  <c r="S32"/>
  <c r="T32"/>
  <c r="S33"/>
  <c r="T33"/>
  <c r="S34"/>
  <c r="T34"/>
  <c r="S35"/>
  <c r="T35"/>
  <c r="S36"/>
  <c r="T36"/>
  <c r="S37"/>
  <c r="T37"/>
  <c r="S38"/>
  <c r="T38"/>
  <c r="S39"/>
  <c r="T39"/>
  <c r="S40"/>
  <c r="T40"/>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61"/>
  <c r="T61"/>
  <c r="S62"/>
  <c r="T62"/>
  <c r="S63"/>
  <c r="T63"/>
  <c r="S64"/>
  <c r="T64"/>
  <c r="S65"/>
  <c r="T65"/>
  <c r="S66"/>
  <c r="T66"/>
  <c r="S67"/>
  <c r="T67"/>
  <c r="S68"/>
  <c r="T68"/>
  <c r="S69"/>
  <c r="T69"/>
  <c r="S70"/>
  <c r="T70"/>
  <c r="S71"/>
  <c r="T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T7"/>
  <c r="S7"/>
  <c r="AF116" i="37"/>
  <c r="AE116"/>
  <c r="AF115"/>
  <c r="AE115"/>
  <c r="AF114"/>
  <c r="AE114"/>
  <c r="AF113"/>
  <c r="AE113"/>
  <c r="AF112"/>
  <c r="AE112"/>
  <c r="AF111"/>
  <c r="AE111"/>
  <c r="AF110"/>
  <c r="AE110"/>
  <c r="AF109"/>
  <c r="AE109"/>
  <c r="AF108"/>
  <c r="AE108"/>
  <c r="AF107"/>
  <c r="AE107"/>
  <c r="AF106"/>
  <c r="AE106"/>
  <c r="AF105"/>
  <c r="AE105"/>
  <c r="AF104"/>
  <c r="AE104"/>
  <c r="AF103"/>
  <c r="AE103"/>
  <c r="AF102"/>
  <c r="AE102"/>
  <c r="AF101"/>
  <c r="AE101"/>
  <c r="AF100"/>
  <c r="AE100"/>
  <c r="AF99"/>
  <c r="AE99"/>
  <c r="AF98"/>
  <c r="AE98"/>
  <c r="AF97"/>
  <c r="AE97"/>
  <c r="AF96"/>
  <c r="AE96"/>
  <c r="AF95"/>
  <c r="AE95"/>
  <c r="AF94"/>
  <c r="AE94"/>
  <c r="AF93"/>
  <c r="AE93"/>
  <c r="AF92"/>
  <c r="AE92"/>
  <c r="AF91"/>
  <c r="AE91"/>
  <c r="AF90"/>
  <c r="AE90"/>
  <c r="AF89"/>
  <c r="AE89"/>
  <c r="AF88"/>
  <c r="AE88"/>
  <c r="AF87"/>
  <c r="AE87"/>
  <c r="AF86"/>
  <c r="AE86"/>
  <c r="AF85"/>
  <c r="AE85"/>
  <c r="AF84"/>
  <c r="AE84"/>
  <c r="AF83"/>
  <c r="AE83"/>
  <c r="AF82"/>
  <c r="AE82"/>
  <c r="AF81"/>
  <c r="AE81"/>
  <c r="AF80"/>
  <c r="AE80"/>
  <c r="AF79"/>
  <c r="AE79"/>
  <c r="AF78"/>
  <c r="AE78"/>
  <c r="AF77"/>
  <c r="AE77"/>
  <c r="AF76"/>
  <c r="AE76"/>
  <c r="AF75"/>
  <c r="AE75"/>
  <c r="AF74"/>
  <c r="AE74"/>
  <c r="AF73"/>
  <c r="AE73"/>
  <c r="AF72"/>
  <c r="AE72"/>
  <c r="AF71"/>
  <c r="AE71"/>
  <c r="AF70"/>
  <c r="AE70"/>
  <c r="AF69"/>
  <c r="AE69"/>
  <c r="AF68"/>
  <c r="AE68"/>
  <c r="AF67"/>
  <c r="AE67"/>
  <c r="AF66"/>
  <c r="AE66"/>
  <c r="AF65"/>
  <c r="AE65"/>
  <c r="AF64"/>
  <c r="AE64"/>
  <c r="AF63"/>
  <c r="AE63"/>
  <c r="AF62"/>
  <c r="AE62"/>
  <c r="AF61"/>
  <c r="AE61"/>
  <c r="AF60"/>
  <c r="AE60"/>
  <c r="AF59"/>
  <c r="AE59"/>
  <c r="AF58"/>
  <c r="AE58"/>
  <c r="AF57"/>
  <c r="AE57"/>
  <c r="AF56"/>
  <c r="AE56"/>
  <c r="AF55"/>
  <c r="AE55"/>
  <c r="AF54"/>
  <c r="AE54"/>
  <c r="AF53"/>
  <c r="AE53"/>
  <c r="AF52"/>
  <c r="AE52"/>
  <c r="AF51"/>
  <c r="AE51"/>
  <c r="AF50"/>
  <c r="AE50"/>
  <c r="AF49"/>
  <c r="AE49"/>
  <c r="AF48"/>
  <c r="AE48"/>
  <c r="AF47"/>
  <c r="AE47"/>
  <c r="AF46"/>
  <c r="AE46"/>
  <c r="AF45"/>
  <c r="AE45"/>
  <c r="AF44"/>
  <c r="AE44"/>
  <c r="AF43"/>
  <c r="AE43"/>
  <c r="AF42"/>
  <c r="AE42"/>
  <c r="AF41"/>
  <c r="AE41"/>
  <c r="AF40"/>
  <c r="AE40"/>
  <c r="AF39"/>
  <c r="AE39"/>
  <c r="AF38"/>
  <c r="AE38"/>
  <c r="AF37"/>
  <c r="AE37"/>
  <c r="AF36"/>
  <c r="AE36"/>
  <c r="AF35"/>
  <c r="AE35"/>
  <c r="AF34"/>
  <c r="AE34"/>
  <c r="AF33"/>
  <c r="AE33"/>
  <c r="AF32"/>
  <c r="AE32"/>
  <c r="AF31"/>
  <c r="AE31"/>
  <c r="AF30"/>
  <c r="AE30"/>
  <c r="AF29"/>
  <c r="AE29"/>
  <c r="AF28"/>
  <c r="AE28"/>
  <c r="AF27"/>
  <c r="AE27"/>
  <c r="AF26"/>
  <c r="AE26"/>
  <c r="AF25"/>
  <c r="AE25"/>
  <c r="AF24"/>
  <c r="AE24"/>
  <c r="AF23"/>
  <c r="AE23"/>
  <c r="AF22"/>
  <c r="AE22"/>
  <c r="AF21"/>
  <c r="AE21"/>
  <c r="AF20"/>
  <c r="AE20"/>
  <c r="AF19"/>
  <c r="AE19"/>
  <c r="AF18"/>
  <c r="AE18"/>
  <c r="AF17"/>
  <c r="AE17"/>
  <c r="AF16"/>
  <c r="AE16"/>
  <c r="AF15"/>
  <c r="AE15"/>
  <c r="AF14"/>
  <c r="AE14"/>
  <c r="AF13"/>
  <c r="AE13"/>
  <c r="AF12"/>
  <c r="AE12"/>
  <c r="AF11"/>
  <c r="AE11"/>
  <c r="AF10"/>
  <c r="AE10"/>
  <c r="AF9"/>
  <c r="AE9"/>
  <c r="AF8"/>
  <c r="AE8"/>
  <c r="AF7"/>
  <c r="AE7"/>
  <c r="X116"/>
  <c r="W116"/>
  <c r="X115"/>
  <c r="W115"/>
  <c r="X114"/>
  <c r="W114"/>
  <c r="X113"/>
  <c r="W113"/>
  <c r="X112"/>
  <c r="W112"/>
  <c r="X111"/>
  <c r="W111"/>
  <c r="X110"/>
  <c r="W110"/>
  <c r="X109"/>
  <c r="W109"/>
  <c r="X108"/>
  <c r="W108"/>
  <c r="X107"/>
  <c r="W107"/>
  <c r="X106"/>
  <c r="W106"/>
  <c r="X105"/>
  <c r="W105"/>
  <c r="X104"/>
  <c r="W104"/>
  <c r="X103"/>
  <c r="W103"/>
  <c r="X102"/>
  <c r="W102"/>
  <c r="X101"/>
  <c r="W101"/>
  <c r="X100"/>
  <c r="W100"/>
  <c r="X99"/>
  <c r="W99"/>
  <c r="X98"/>
  <c r="W98"/>
  <c r="X97"/>
  <c r="W97"/>
  <c r="X96"/>
  <c r="W96"/>
  <c r="X95"/>
  <c r="W95"/>
  <c r="X94"/>
  <c r="W94"/>
  <c r="X93"/>
  <c r="W93"/>
  <c r="X92"/>
  <c r="W92"/>
  <c r="X91"/>
  <c r="W91"/>
  <c r="X90"/>
  <c r="W90"/>
  <c r="X89"/>
  <c r="W89"/>
  <c r="X88"/>
  <c r="W88"/>
  <c r="X87"/>
  <c r="W87"/>
  <c r="X86"/>
  <c r="W86"/>
  <c r="X85"/>
  <c r="W85"/>
  <c r="X84"/>
  <c r="W84"/>
  <c r="X83"/>
  <c r="W83"/>
  <c r="X82"/>
  <c r="W82"/>
  <c r="X81"/>
  <c r="W81"/>
  <c r="X80"/>
  <c r="W80"/>
  <c r="X79"/>
  <c r="W79"/>
  <c r="X78"/>
  <c r="W78"/>
  <c r="X77"/>
  <c r="W77"/>
  <c r="X76"/>
  <c r="W76"/>
  <c r="X75"/>
  <c r="W75"/>
  <c r="X74"/>
  <c r="W74"/>
  <c r="X73"/>
  <c r="W73"/>
  <c r="X72"/>
  <c r="W72"/>
  <c r="X71"/>
  <c r="W71"/>
  <c r="X70"/>
  <c r="W70"/>
  <c r="X69"/>
  <c r="W69"/>
  <c r="X68"/>
  <c r="W68"/>
  <c r="X67"/>
  <c r="W67"/>
  <c r="X66"/>
  <c r="W66"/>
  <c r="X65"/>
  <c r="W65"/>
  <c r="X64"/>
  <c r="W64"/>
  <c r="X63"/>
  <c r="W63"/>
  <c r="X62"/>
  <c r="W62"/>
  <c r="X61"/>
  <c r="W61"/>
  <c r="X60"/>
  <c r="W60"/>
  <c r="X59"/>
  <c r="W59"/>
  <c r="X58"/>
  <c r="W58"/>
  <c r="X57"/>
  <c r="W57"/>
  <c r="X56"/>
  <c r="W56"/>
  <c r="X55"/>
  <c r="W55"/>
  <c r="X54"/>
  <c r="W54"/>
  <c r="X53"/>
  <c r="W53"/>
  <c r="X52"/>
  <c r="W52"/>
  <c r="X51"/>
  <c r="W51"/>
  <c r="X50"/>
  <c r="W50"/>
  <c r="X49"/>
  <c r="W49"/>
  <c r="X48"/>
  <c r="W48"/>
  <c r="X47"/>
  <c r="W47"/>
  <c r="X46"/>
  <c r="W46"/>
  <c r="X45"/>
  <c r="W45"/>
  <c r="X44"/>
  <c r="W44"/>
  <c r="X43"/>
  <c r="W43"/>
  <c r="X42"/>
  <c r="W42"/>
  <c r="X41"/>
  <c r="W41"/>
  <c r="X40"/>
  <c r="W40"/>
  <c r="X39"/>
  <c r="W39"/>
  <c r="X38"/>
  <c r="W38"/>
  <c r="X37"/>
  <c r="W37"/>
  <c r="X36"/>
  <c r="W36"/>
  <c r="X35"/>
  <c r="W35"/>
  <c r="X34"/>
  <c r="W34"/>
  <c r="X33"/>
  <c r="W33"/>
  <c r="X32"/>
  <c r="W32"/>
  <c r="X31"/>
  <c r="W31"/>
  <c r="X30"/>
  <c r="W30"/>
  <c r="X29"/>
  <c r="W29"/>
  <c r="X28"/>
  <c r="W28"/>
  <c r="X27"/>
  <c r="W27"/>
  <c r="X26"/>
  <c r="W26"/>
  <c r="X25"/>
  <c r="W25"/>
  <c r="X24"/>
  <c r="W24"/>
  <c r="X23"/>
  <c r="W23"/>
  <c r="X22"/>
  <c r="W22"/>
  <c r="X21"/>
  <c r="W21"/>
  <c r="X20"/>
  <c r="W20"/>
  <c r="X19"/>
  <c r="W19"/>
  <c r="X18"/>
  <c r="W18"/>
  <c r="X17"/>
  <c r="W17"/>
  <c r="X16"/>
  <c r="W16"/>
  <c r="X15"/>
  <c r="W15"/>
  <c r="X14"/>
  <c r="W14"/>
  <c r="X13"/>
  <c r="W13"/>
  <c r="X12"/>
  <c r="W12"/>
  <c r="X11"/>
  <c r="W11"/>
  <c r="X10"/>
  <c r="W10"/>
  <c r="X9"/>
  <c r="W9"/>
  <c r="X8"/>
  <c r="W8"/>
  <c r="X7"/>
  <c r="W7"/>
  <c r="R8"/>
  <c r="S8"/>
  <c r="R9"/>
  <c r="S9"/>
  <c r="R10"/>
  <c r="S10"/>
  <c r="R11"/>
  <c r="S11"/>
  <c r="R12"/>
  <c r="S12"/>
  <c r="R13"/>
  <c r="S13"/>
  <c r="R14"/>
  <c r="S14"/>
  <c r="R15"/>
  <c r="S15"/>
  <c r="R16"/>
  <c r="S16"/>
  <c r="R17"/>
  <c r="S17"/>
  <c r="R18"/>
  <c r="S18"/>
  <c r="R19"/>
  <c r="S19"/>
  <c r="R20"/>
  <c r="S20"/>
  <c r="R21"/>
  <c r="S21"/>
  <c r="R22"/>
  <c r="S22"/>
  <c r="R23"/>
  <c r="S23"/>
  <c r="R24"/>
  <c r="S24"/>
  <c r="R25"/>
  <c r="S25"/>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S7"/>
  <c r="R7"/>
  <c r="X116" i="7"/>
  <c r="W116"/>
  <c r="X115"/>
  <c r="W115"/>
  <c r="X114"/>
  <c r="W114"/>
  <c r="X113"/>
  <c r="W113"/>
  <c r="X112"/>
  <c r="W112"/>
  <c r="X111"/>
  <c r="W111"/>
  <c r="X110"/>
  <c r="W110"/>
  <c r="X109"/>
  <c r="W109"/>
  <c r="X108"/>
  <c r="W108"/>
  <c r="X107"/>
  <c r="W107"/>
  <c r="X106"/>
  <c r="W106"/>
  <c r="X105"/>
  <c r="W105"/>
  <c r="X104"/>
  <c r="W104"/>
  <c r="X103"/>
  <c r="W103"/>
  <c r="X102"/>
  <c r="W102"/>
  <c r="X101"/>
  <c r="W101"/>
  <c r="X100"/>
  <c r="W100"/>
  <c r="X99"/>
  <c r="W99"/>
  <c r="X98"/>
  <c r="W98"/>
  <c r="X97"/>
  <c r="W97"/>
  <c r="X96"/>
  <c r="W96"/>
  <c r="X95"/>
  <c r="W95"/>
  <c r="X94"/>
  <c r="W94"/>
  <c r="X93"/>
  <c r="W93"/>
  <c r="X92"/>
  <c r="W92"/>
  <c r="X91"/>
  <c r="W91"/>
  <c r="X90"/>
  <c r="W90"/>
  <c r="X89"/>
  <c r="W89"/>
  <c r="X88"/>
  <c r="W88"/>
  <c r="X87"/>
  <c r="W87"/>
  <c r="X86"/>
  <c r="W86"/>
  <c r="X85"/>
  <c r="W85"/>
  <c r="X84"/>
  <c r="W84"/>
  <c r="X83"/>
  <c r="W83"/>
  <c r="X82"/>
  <c r="W82"/>
  <c r="X81"/>
  <c r="W81"/>
  <c r="X80"/>
  <c r="W80"/>
  <c r="X79"/>
  <c r="W79"/>
  <c r="X78"/>
  <c r="W78"/>
  <c r="X77"/>
  <c r="W77"/>
  <c r="X76"/>
  <c r="W76"/>
  <c r="X75"/>
  <c r="W75"/>
  <c r="X74"/>
  <c r="W74"/>
  <c r="X73"/>
  <c r="W73"/>
  <c r="X72"/>
  <c r="W72"/>
  <c r="X71"/>
  <c r="W71"/>
  <c r="X70"/>
  <c r="W70"/>
  <c r="X69"/>
  <c r="W69"/>
  <c r="X68"/>
  <c r="W68"/>
  <c r="X67"/>
  <c r="W67"/>
  <c r="X66"/>
  <c r="W66"/>
  <c r="X65"/>
  <c r="W65"/>
  <c r="X64"/>
  <c r="W64"/>
  <c r="X63"/>
  <c r="W63"/>
  <c r="X62"/>
  <c r="W62"/>
  <c r="X61"/>
  <c r="W61"/>
  <c r="X60"/>
  <c r="W60"/>
  <c r="X59"/>
  <c r="W59"/>
  <c r="X58"/>
  <c r="W58"/>
  <c r="X57"/>
  <c r="W57"/>
  <c r="X56"/>
  <c r="W56"/>
  <c r="X55"/>
  <c r="W55"/>
  <c r="X54"/>
  <c r="W54"/>
  <c r="X53"/>
  <c r="W53"/>
  <c r="X52"/>
  <c r="W52"/>
  <c r="X51"/>
  <c r="W51"/>
  <c r="X50"/>
  <c r="W50"/>
  <c r="X49"/>
  <c r="W49"/>
  <c r="X48"/>
  <c r="W48"/>
  <c r="X47"/>
  <c r="W47"/>
  <c r="X46"/>
  <c r="W46"/>
  <c r="X45"/>
  <c r="W45"/>
  <c r="X44"/>
  <c r="W44"/>
  <c r="X43"/>
  <c r="W43"/>
  <c r="X42"/>
  <c r="W42"/>
  <c r="X41"/>
  <c r="W41"/>
  <c r="X40"/>
  <c r="W40"/>
  <c r="X39"/>
  <c r="W39"/>
  <c r="X38"/>
  <c r="W38"/>
  <c r="X37"/>
  <c r="W37"/>
  <c r="X36"/>
  <c r="W36"/>
  <c r="X35"/>
  <c r="W35"/>
  <c r="X34"/>
  <c r="W34"/>
  <c r="X33"/>
  <c r="W33"/>
  <c r="X32"/>
  <c r="W32"/>
  <c r="X31"/>
  <c r="W31"/>
  <c r="X30"/>
  <c r="W30"/>
  <c r="X29"/>
  <c r="W29"/>
  <c r="X28"/>
  <c r="W28"/>
  <c r="X27"/>
  <c r="W27"/>
  <c r="X26"/>
  <c r="W26"/>
  <c r="X25"/>
  <c r="W25"/>
  <c r="X24"/>
  <c r="W24"/>
  <c r="X23"/>
  <c r="W23"/>
  <c r="X22"/>
  <c r="W22"/>
  <c r="X21"/>
  <c r="W21"/>
  <c r="X20"/>
  <c r="W20"/>
  <c r="X19"/>
  <c r="W19"/>
  <c r="X18"/>
  <c r="W18"/>
  <c r="X17"/>
  <c r="W17"/>
  <c r="X16"/>
  <c r="W16"/>
  <c r="X15"/>
  <c r="W15"/>
  <c r="X14"/>
  <c r="W14"/>
  <c r="X13"/>
  <c r="W13"/>
  <c r="X12"/>
  <c r="W12"/>
  <c r="X11"/>
  <c r="W11"/>
  <c r="X10"/>
  <c r="W10"/>
  <c r="X9"/>
  <c r="W9"/>
  <c r="X8"/>
  <c r="W8"/>
  <c r="X7"/>
  <c r="W7"/>
  <c r="R8"/>
  <c r="S8"/>
  <c r="R9"/>
  <c r="S9"/>
  <c r="R10"/>
  <c r="S10"/>
  <c r="R11"/>
  <c r="S11"/>
  <c r="R12"/>
  <c r="S12"/>
  <c r="R13"/>
  <c r="S13"/>
  <c r="R14"/>
  <c r="S14"/>
  <c r="R15"/>
  <c r="S15"/>
  <c r="R16"/>
  <c r="S16"/>
  <c r="R17"/>
  <c r="S17"/>
  <c r="R18"/>
  <c r="S18"/>
  <c r="R19"/>
  <c r="S19"/>
  <c r="R20"/>
  <c r="S20"/>
  <c r="R21"/>
  <c r="S21"/>
  <c r="R22"/>
  <c r="S22"/>
  <c r="R23"/>
  <c r="S23"/>
  <c r="R24"/>
  <c r="S24"/>
  <c r="R25"/>
  <c r="S25"/>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S7"/>
  <c r="R7"/>
  <c r="X116" i="36"/>
  <c r="W116"/>
  <c r="X115"/>
  <c r="W115"/>
  <c r="X114"/>
  <c r="W114"/>
  <c r="X113"/>
  <c r="W113"/>
  <c r="X112"/>
  <c r="W112"/>
  <c r="X111"/>
  <c r="W111"/>
  <c r="X110"/>
  <c r="W110"/>
  <c r="X109"/>
  <c r="W109"/>
  <c r="X108"/>
  <c r="W108"/>
  <c r="X107"/>
  <c r="W107"/>
  <c r="X106"/>
  <c r="W106"/>
  <c r="X105"/>
  <c r="W105"/>
  <c r="X104"/>
  <c r="W104"/>
  <c r="X103"/>
  <c r="W103"/>
  <c r="X102"/>
  <c r="W102"/>
  <c r="X101"/>
  <c r="W101"/>
  <c r="X100"/>
  <c r="W100"/>
  <c r="X99"/>
  <c r="W99"/>
  <c r="X98"/>
  <c r="W98"/>
  <c r="X97"/>
  <c r="W97"/>
  <c r="X96"/>
  <c r="W96"/>
  <c r="X95"/>
  <c r="W95"/>
  <c r="X94"/>
  <c r="W94"/>
  <c r="X93"/>
  <c r="W93"/>
  <c r="X92"/>
  <c r="W92"/>
  <c r="X91"/>
  <c r="W91"/>
  <c r="X90"/>
  <c r="W90"/>
  <c r="X89"/>
  <c r="W89"/>
  <c r="X88"/>
  <c r="W88"/>
  <c r="X87"/>
  <c r="W87"/>
  <c r="X86"/>
  <c r="W86"/>
  <c r="X85"/>
  <c r="W85"/>
  <c r="X84"/>
  <c r="W84"/>
  <c r="X83"/>
  <c r="W83"/>
  <c r="X82"/>
  <c r="W82"/>
  <c r="X81"/>
  <c r="W81"/>
  <c r="X80"/>
  <c r="W80"/>
  <c r="X79"/>
  <c r="W79"/>
  <c r="X78"/>
  <c r="W78"/>
  <c r="X77"/>
  <c r="W77"/>
  <c r="X76"/>
  <c r="W76"/>
  <c r="X75"/>
  <c r="W75"/>
  <c r="X74"/>
  <c r="W74"/>
  <c r="X73"/>
  <c r="W73"/>
  <c r="X72"/>
  <c r="W72"/>
  <c r="X71"/>
  <c r="W71"/>
  <c r="X70"/>
  <c r="W70"/>
  <c r="X69"/>
  <c r="W69"/>
  <c r="X68"/>
  <c r="W68"/>
  <c r="X67"/>
  <c r="W67"/>
  <c r="X66"/>
  <c r="W66"/>
  <c r="X65"/>
  <c r="W65"/>
  <c r="X64"/>
  <c r="W64"/>
  <c r="X63"/>
  <c r="W63"/>
  <c r="X62"/>
  <c r="W62"/>
  <c r="X61"/>
  <c r="W61"/>
  <c r="X60"/>
  <c r="W60"/>
  <c r="X59"/>
  <c r="W59"/>
  <c r="X58"/>
  <c r="W58"/>
  <c r="X57"/>
  <c r="W57"/>
  <c r="X56"/>
  <c r="W56"/>
  <c r="X55"/>
  <c r="W55"/>
  <c r="X54"/>
  <c r="W54"/>
  <c r="X53"/>
  <c r="W53"/>
  <c r="X52"/>
  <c r="W52"/>
  <c r="X51"/>
  <c r="W51"/>
  <c r="X50"/>
  <c r="W50"/>
  <c r="X49"/>
  <c r="W49"/>
  <c r="X48"/>
  <c r="W48"/>
  <c r="X47"/>
  <c r="W47"/>
  <c r="X46"/>
  <c r="W46"/>
  <c r="X45"/>
  <c r="W45"/>
  <c r="X44"/>
  <c r="W44"/>
  <c r="X43"/>
  <c r="W43"/>
  <c r="X42"/>
  <c r="W42"/>
  <c r="X41"/>
  <c r="W41"/>
  <c r="X40"/>
  <c r="W40"/>
  <c r="X39"/>
  <c r="W39"/>
  <c r="X38"/>
  <c r="W38"/>
  <c r="X37"/>
  <c r="W37"/>
  <c r="X36"/>
  <c r="W36"/>
  <c r="X35"/>
  <c r="W35"/>
  <c r="X34"/>
  <c r="W34"/>
  <c r="X33"/>
  <c r="W33"/>
  <c r="X32"/>
  <c r="W32"/>
  <c r="X31"/>
  <c r="W31"/>
  <c r="X30"/>
  <c r="W30"/>
  <c r="X29"/>
  <c r="W29"/>
  <c r="X28"/>
  <c r="W28"/>
  <c r="X27"/>
  <c r="W27"/>
  <c r="X26"/>
  <c r="W26"/>
  <c r="X25"/>
  <c r="W25"/>
  <c r="X24"/>
  <c r="W24"/>
  <c r="X23"/>
  <c r="W23"/>
  <c r="X22"/>
  <c r="W22"/>
  <c r="X21"/>
  <c r="W21"/>
  <c r="X20"/>
  <c r="W20"/>
  <c r="X19"/>
  <c r="W19"/>
  <c r="X18"/>
  <c r="W18"/>
  <c r="X17"/>
  <c r="W17"/>
  <c r="X16"/>
  <c r="W16"/>
  <c r="X15"/>
  <c r="W15"/>
  <c r="X14"/>
  <c r="W14"/>
  <c r="X13"/>
  <c r="W13"/>
  <c r="X12"/>
  <c r="W12"/>
  <c r="X11"/>
  <c r="W11"/>
  <c r="X10"/>
  <c r="W10"/>
  <c r="X9"/>
  <c r="W9"/>
  <c r="X8"/>
  <c r="W8"/>
  <c r="X7"/>
  <c r="W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7"/>
  <c r="A8" i="7"/>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7"/>
  <c r="J8" i="21"/>
  <c r="J9"/>
  <c r="J15"/>
  <c r="J16"/>
  <c r="J24"/>
  <c r="J26"/>
  <c r="J28"/>
  <c r="J31"/>
  <c r="J32"/>
  <c r="J34"/>
  <c r="J39"/>
  <c r="J43"/>
  <c r="J44"/>
  <c r="J45"/>
  <c r="J55"/>
  <c r="J66"/>
  <c r="J67"/>
  <c r="J71"/>
  <c r="J73"/>
  <c r="J75"/>
  <c r="J80"/>
  <c r="J81"/>
  <c r="J86"/>
  <c r="J90"/>
  <c r="J92"/>
  <c r="J94"/>
  <c r="J101"/>
  <c r="J105"/>
  <c r="J108"/>
  <c r="J112"/>
  <c r="F14" i="44"/>
  <c r="F15"/>
  <c r="F16"/>
  <c r="F17"/>
  <c r="F18"/>
  <c r="F19"/>
  <c r="F20"/>
  <c r="F21"/>
  <c r="F22"/>
  <c r="F23"/>
  <c r="F24"/>
  <c r="F25"/>
  <c r="F26"/>
  <c r="F27"/>
  <c r="F28"/>
  <c r="F29"/>
  <c r="F30"/>
  <c r="F31"/>
  <c r="F32"/>
  <c r="F33"/>
  <c r="F34"/>
  <c r="F35"/>
  <c r="F36"/>
  <c r="F37"/>
  <c r="C14"/>
  <c r="C15"/>
  <c r="C16"/>
  <c r="C17"/>
  <c r="C18"/>
  <c r="C19"/>
  <c r="C20"/>
  <c r="C21"/>
  <c r="C22"/>
  <c r="C23"/>
  <c r="C24"/>
  <c r="C25"/>
  <c r="C26"/>
  <c r="C27"/>
  <c r="C28"/>
  <c r="C29"/>
  <c r="C30"/>
  <c r="C31"/>
  <c r="C32"/>
  <c r="C33"/>
  <c r="C34"/>
  <c r="C35"/>
  <c r="C36"/>
  <c r="C37"/>
  <c r="F13"/>
  <c r="C13"/>
  <c r="F14" i="42"/>
  <c r="F15"/>
  <c r="F16"/>
  <c r="F17"/>
  <c r="F18"/>
  <c r="F19"/>
  <c r="F20"/>
  <c r="F21"/>
  <c r="F22"/>
  <c r="F23"/>
  <c r="F24"/>
  <c r="F25"/>
  <c r="F26"/>
  <c r="F27"/>
  <c r="F28"/>
  <c r="F29"/>
  <c r="F30"/>
  <c r="F31"/>
  <c r="F32"/>
  <c r="F33"/>
  <c r="F34"/>
  <c r="F35"/>
  <c r="F36"/>
  <c r="F37"/>
  <c r="C14"/>
  <c r="C15"/>
  <c r="C16"/>
  <c r="C17"/>
  <c r="C18"/>
  <c r="C19"/>
  <c r="C20"/>
  <c r="C21"/>
  <c r="C22"/>
  <c r="C23"/>
  <c r="C24"/>
  <c r="C25"/>
  <c r="C26"/>
  <c r="C27"/>
  <c r="C28"/>
  <c r="C29"/>
  <c r="C30"/>
  <c r="C31"/>
  <c r="C32"/>
  <c r="C33"/>
  <c r="C34"/>
  <c r="C35"/>
  <c r="C36"/>
  <c r="C37"/>
  <c r="F13"/>
  <c r="C13"/>
  <c r="AX5" i="10"/>
  <c r="AX6"/>
  <c r="AX7"/>
  <c r="AX8"/>
  <c r="AX9"/>
  <c r="AX10"/>
  <c r="AX11"/>
  <c r="AX12"/>
  <c r="AX13"/>
  <c r="AX14"/>
  <c r="AX15"/>
  <c r="AX16"/>
  <c r="AX17"/>
  <c r="AX18"/>
  <c r="AX19"/>
  <c r="AX20"/>
  <c r="AX21"/>
  <c r="AX22"/>
  <c r="AX23"/>
  <c r="AX24"/>
  <c r="AX25"/>
  <c r="AX26"/>
  <c r="AX27"/>
  <c r="AX28"/>
  <c r="AX29"/>
  <c r="AX30"/>
  <c r="AX31"/>
  <c r="AX32"/>
  <c r="AX33"/>
  <c r="AX34"/>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BB5"/>
  <c r="BB6"/>
  <c r="BB7"/>
  <c r="BB8"/>
  <c r="BB9"/>
  <c r="BB10"/>
  <c r="BB11"/>
  <c r="BB12"/>
  <c r="BB13"/>
  <c r="BB14"/>
  <c r="BB15"/>
  <c r="BB16"/>
  <c r="BB17"/>
  <c r="BB18"/>
  <c r="BB19"/>
  <c r="BB20"/>
  <c r="BB21"/>
  <c r="BB22"/>
  <c r="BB23"/>
  <c r="BB24"/>
  <c r="BB25"/>
  <c r="BB26"/>
  <c r="BB27"/>
  <c r="BB28"/>
  <c r="BB29"/>
  <c r="BB30"/>
  <c r="BB31"/>
  <c r="BB32"/>
  <c r="BB33"/>
  <c r="BB34"/>
  <c r="BB35"/>
  <c r="BB36"/>
  <c r="BB37"/>
  <c r="BB38"/>
  <c r="BB39"/>
  <c r="BB40"/>
  <c r="BB41"/>
  <c r="BB42"/>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4"/>
  <c r="BA5"/>
  <c r="BA6"/>
  <c r="BA7"/>
  <c r="BA8"/>
  <c r="BA9"/>
  <c r="BA10"/>
  <c r="BA11"/>
  <c r="BA12"/>
  <c r="BA13"/>
  <c r="BA14"/>
  <c r="BA15"/>
  <c r="BA16"/>
  <c r="BA17"/>
  <c r="BA18"/>
  <c r="BA19"/>
  <c r="BA20"/>
  <c r="BA21"/>
  <c r="BA22"/>
  <c r="BA23"/>
  <c r="BA24"/>
  <c r="BA25"/>
  <c r="BA26"/>
  <c r="BA27"/>
  <c r="BA28"/>
  <c r="BA29"/>
  <c r="BA30"/>
  <c r="BA31"/>
  <c r="BA32"/>
  <c r="BA33"/>
  <c r="BA34"/>
  <c r="BA35"/>
  <c r="BA36"/>
  <c r="BA37"/>
  <c r="BA38"/>
  <c r="BA39"/>
  <c r="BA40"/>
  <c r="BA41"/>
  <c r="BA42"/>
  <c r="BA43"/>
  <c r="BA44"/>
  <c r="BA45"/>
  <c r="BA46"/>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4"/>
  <c r="AY5"/>
  <c r="AZ5"/>
  <c r="AY6"/>
  <c r="AZ6"/>
  <c r="AY7"/>
  <c r="AZ7"/>
  <c r="AY8"/>
  <c r="AZ8"/>
  <c r="AY9"/>
  <c r="AZ9"/>
  <c r="AY10"/>
  <c r="AZ10"/>
  <c r="AY11"/>
  <c r="AZ11"/>
  <c r="AY12"/>
  <c r="AZ12"/>
  <c r="AY13"/>
  <c r="AZ13"/>
  <c r="AY14"/>
  <c r="AZ14"/>
  <c r="AY15"/>
  <c r="AZ15"/>
  <c r="AY16"/>
  <c r="AZ16"/>
  <c r="AY17"/>
  <c r="AZ17"/>
  <c r="AY18"/>
  <c r="AZ18"/>
  <c r="AY19"/>
  <c r="AZ19"/>
  <c r="AY20"/>
  <c r="AZ20"/>
  <c r="AY21"/>
  <c r="AZ21"/>
  <c r="AY22"/>
  <c r="AZ22"/>
  <c r="AY23"/>
  <c r="AZ23"/>
  <c r="AY24"/>
  <c r="AZ24"/>
  <c r="AY25"/>
  <c r="AZ25"/>
  <c r="AY26"/>
  <c r="AZ26"/>
  <c r="AY27"/>
  <c r="AZ27"/>
  <c r="AY28"/>
  <c r="AZ28"/>
  <c r="AY29"/>
  <c r="AZ29"/>
  <c r="AY30"/>
  <c r="AZ30"/>
  <c r="AY31"/>
  <c r="AZ31"/>
  <c r="AY32"/>
  <c r="AZ32"/>
  <c r="AY33"/>
  <c r="AZ33"/>
  <c r="AY34"/>
  <c r="AZ34"/>
  <c r="AY35"/>
  <c r="AZ35"/>
  <c r="AY36"/>
  <c r="AZ36"/>
  <c r="AY37"/>
  <c r="AZ37"/>
  <c r="AY38"/>
  <c r="AZ38"/>
  <c r="AY39"/>
  <c r="AZ39"/>
  <c r="AY40"/>
  <c r="AZ40"/>
  <c r="AY41"/>
  <c r="AZ41"/>
  <c r="AY42"/>
  <c r="AZ42"/>
  <c r="AY43"/>
  <c r="AZ43"/>
  <c r="AY44"/>
  <c r="AZ44"/>
  <c r="AY45"/>
  <c r="AZ45"/>
  <c r="AY46"/>
  <c r="AZ46"/>
  <c r="AY47"/>
  <c r="AZ47"/>
  <c r="AY48"/>
  <c r="AZ48"/>
  <c r="AY49"/>
  <c r="AZ49"/>
  <c r="AY50"/>
  <c r="AZ50"/>
  <c r="AY51"/>
  <c r="AZ51"/>
  <c r="AY52"/>
  <c r="AZ52"/>
  <c r="AY53"/>
  <c r="AZ53"/>
  <c r="AY54"/>
  <c r="AZ54"/>
  <c r="AY55"/>
  <c r="AZ55"/>
  <c r="AY56"/>
  <c r="AZ56"/>
  <c r="AY57"/>
  <c r="AZ57"/>
  <c r="AY58"/>
  <c r="AZ58"/>
  <c r="AY59"/>
  <c r="AZ59"/>
  <c r="AY60"/>
  <c r="AZ60"/>
  <c r="AY61"/>
  <c r="AZ61"/>
  <c r="AY62"/>
  <c r="AZ62"/>
  <c r="AY63"/>
  <c r="AZ63"/>
  <c r="AY64"/>
  <c r="AZ64"/>
  <c r="AY65"/>
  <c r="AZ65"/>
  <c r="AY66"/>
  <c r="AZ66"/>
  <c r="AY67"/>
  <c r="AZ67"/>
  <c r="AY68"/>
  <c r="AZ68"/>
  <c r="AY69"/>
  <c r="AZ69"/>
  <c r="AY70"/>
  <c r="AZ70"/>
  <c r="AY71"/>
  <c r="AZ71"/>
  <c r="AY72"/>
  <c r="AZ72"/>
  <c r="AY73"/>
  <c r="AZ73"/>
  <c r="AY74"/>
  <c r="AZ74"/>
  <c r="AY75"/>
  <c r="AZ75"/>
  <c r="AY76"/>
  <c r="AZ76"/>
  <c r="AY77"/>
  <c r="AZ77"/>
  <c r="AY78"/>
  <c r="AZ78"/>
  <c r="AY79"/>
  <c r="AZ79"/>
  <c r="AY80"/>
  <c r="AZ80"/>
  <c r="AY81"/>
  <c r="AZ81"/>
  <c r="AY82"/>
  <c r="AZ82"/>
  <c r="AY83"/>
  <c r="AZ83"/>
  <c r="AY84"/>
  <c r="AZ84"/>
  <c r="AY85"/>
  <c r="AZ85"/>
  <c r="AY86"/>
  <c r="AZ86"/>
  <c r="AY87"/>
  <c r="AZ87"/>
  <c r="AY88"/>
  <c r="AZ88"/>
  <c r="AY89"/>
  <c r="AZ89"/>
  <c r="AY90"/>
  <c r="AZ90"/>
  <c r="AY91"/>
  <c r="AZ91"/>
  <c r="AY92"/>
  <c r="AZ92"/>
  <c r="AY93"/>
  <c r="AZ93"/>
  <c r="AY94"/>
  <c r="AZ94"/>
  <c r="AY95"/>
  <c r="AZ95"/>
  <c r="AY96"/>
  <c r="AZ96"/>
  <c r="AY97"/>
  <c r="AZ97"/>
  <c r="AY98"/>
  <c r="AZ98"/>
  <c r="AY99"/>
  <c r="AZ99"/>
  <c r="AY100"/>
  <c r="AZ100"/>
  <c r="AY101"/>
  <c r="AZ101"/>
  <c r="AY102"/>
  <c r="AZ102"/>
  <c r="AY103"/>
  <c r="AZ103"/>
  <c r="AY104"/>
  <c r="AZ104"/>
  <c r="AY105"/>
  <c r="AZ105"/>
  <c r="AY106"/>
  <c r="AZ106"/>
  <c r="AY107"/>
  <c r="AZ107"/>
  <c r="AY108"/>
  <c r="AZ108"/>
  <c r="AY109"/>
  <c r="AZ109"/>
  <c r="AY110"/>
  <c r="AZ110"/>
  <c r="AY111"/>
  <c r="AZ111"/>
  <c r="AY112"/>
  <c r="AZ112"/>
  <c r="AY113"/>
  <c r="AZ113"/>
  <c r="AY4"/>
  <c r="AZ4"/>
  <c r="Q7" i="37"/>
  <c r="BV5" i="10"/>
  <c r="BV6"/>
  <c r="BV7"/>
  <c r="BV8"/>
  <c r="BV9"/>
  <c r="BV10"/>
  <c r="BV11"/>
  <c r="BV12"/>
  <c r="BV13"/>
  <c r="BV14"/>
  <c r="BV15"/>
  <c r="BV16"/>
  <c r="BV17"/>
  <c r="BV18"/>
  <c r="BV19"/>
  <c r="BV20"/>
  <c r="BV21"/>
  <c r="BV22"/>
  <c r="BV23"/>
  <c r="BV24"/>
  <c r="BV25"/>
  <c r="BV26"/>
  <c r="BV27"/>
  <c r="BV28"/>
  <c r="BV29"/>
  <c r="BV30"/>
  <c r="BV31"/>
  <c r="BV32"/>
  <c r="BV33"/>
  <c r="BV34"/>
  <c r="BV35"/>
  <c r="BV36"/>
  <c r="BV37"/>
  <c r="BV38"/>
  <c r="BV39"/>
  <c r="BV40"/>
  <c r="BV41"/>
  <c r="BV42"/>
  <c r="BV43"/>
  <c r="BV44"/>
  <c r="BV45"/>
  <c r="BV46"/>
  <c r="BV47"/>
  <c r="BV48"/>
  <c r="BV49"/>
  <c r="BV50"/>
  <c r="BV51"/>
  <c r="BV52"/>
  <c r="BV53"/>
  <c r="BV54"/>
  <c r="BV55"/>
  <c r="BV56"/>
  <c r="BV57"/>
  <c r="BV58"/>
  <c r="BV59"/>
  <c r="BV60"/>
  <c r="BV61"/>
  <c r="BV62"/>
  <c r="BV63"/>
  <c r="BV64"/>
  <c r="BV65"/>
  <c r="BV66"/>
  <c r="BV67"/>
  <c r="BV68"/>
  <c r="BV69"/>
  <c r="BV70"/>
  <c r="BV71"/>
  <c r="BV72"/>
  <c r="BV73"/>
  <c r="BV74"/>
  <c r="BV75"/>
  <c r="BV76"/>
  <c r="BV77"/>
  <c r="BV78"/>
  <c r="BV79"/>
  <c r="BV80"/>
  <c r="BV81"/>
  <c r="BV82"/>
  <c r="BV83"/>
  <c r="BV84"/>
  <c r="BV85"/>
  <c r="BV86"/>
  <c r="BV87"/>
  <c r="BV88"/>
  <c r="BV89"/>
  <c r="BV90"/>
  <c r="BV91"/>
  <c r="BV92"/>
  <c r="BV93"/>
  <c r="BV94"/>
  <c r="BV95"/>
  <c r="BV96"/>
  <c r="BV97"/>
  <c r="BV98"/>
  <c r="BV99"/>
  <c r="BV100"/>
  <c r="BV101"/>
  <c r="BV102"/>
  <c r="BV103"/>
  <c r="BV104"/>
  <c r="BV105"/>
  <c r="BV106"/>
  <c r="BV107"/>
  <c r="BV108"/>
  <c r="BV109"/>
  <c r="BV110"/>
  <c r="BV111"/>
  <c r="BV112"/>
  <c r="BV113"/>
  <c r="BV4"/>
  <c r="BY5"/>
  <c r="BY6"/>
  <c r="BY7"/>
  <c r="BY8"/>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Y103"/>
  <c r="BY104"/>
  <c r="BY105"/>
  <c r="BY106"/>
  <c r="BY107"/>
  <c r="BY108"/>
  <c r="BY109"/>
  <c r="BY110"/>
  <c r="BY111"/>
  <c r="BY112"/>
  <c r="BY113"/>
  <c r="BY4"/>
  <c r="I7" i="21"/>
  <c r="BI5" i="10"/>
  <c r="BI13"/>
  <c r="BI14"/>
  <c r="BI17"/>
  <c r="BI21"/>
  <c r="BI24"/>
  <c r="BI30"/>
  <c r="CI31"/>
  <c r="BI31"/>
  <c r="BI37"/>
  <c r="CI45"/>
  <c r="BI45"/>
  <c r="CH46"/>
  <c r="CJ46" s="1"/>
  <c r="CL46" s="1"/>
  <c r="BI48"/>
  <c r="BI49"/>
  <c r="CH53"/>
  <c r="CH56"/>
  <c r="CJ56" s="1"/>
  <c r="CL56" s="1"/>
  <c r="CH57"/>
  <c r="CH62"/>
  <c r="CH70"/>
  <c r="CH74"/>
  <c r="CH75"/>
  <c r="BI75"/>
  <c r="BI78"/>
  <c r="CH79"/>
  <c r="CH81"/>
  <c r="CH82"/>
  <c r="CI84"/>
  <c r="BI84"/>
  <c r="CH86"/>
  <c r="BI89"/>
  <c r="CH93"/>
  <c r="CM93" s="1"/>
  <c r="CH95"/>
  <c r="CI96"/>
  <c r="BI96"/>
  <c r="BI102"/>
  <c r="CH109"/>
  <c r="CH112"/>
  <c r="CH113"/>
  <c r="CM113"/>
  <c r="BI6"/>
  <c r="BI7"/>
  <c r="BI9"/>
  <c r="BI11"/>
  <c r="BI12"/>
  <c r="BI16"/>
  <c r="CI18"/>
  <c r="BI18"/>
  <c r="CI23"/>
  <c r="CK23" s="1"/>
  <c r="BI23"/>
  <c r="BI26"/>
  <c r="BI28"/>
  <c r="CI29"/>
  <c r="BI29"/>
  <c r="BI35"/>
  <c r="BI36"/>
  <c r="BI39"/>
  <c r="BI40"/>
  <c r="CI41"/>
  <c r="CJ41"/>
  <c r="CL41" s="1"/>
  <c r="BI41"/>
  <c r="BI42"/>
  <c r="CI46"/>
  <c r="BI46"/>
  <c r="BI47"/>
  <c r="CI50"/>
  <c r="BI50"/>
  <c r="BI51"/>
  <c r="BI52"/>
  <c r="CI53"/>
  <c r="BI53"/>
  <c r="BI54"/>
  <c r="BI55"/>
  <c r="CI56"/>
  <c r="BI56"/>
  <c r="CI57"/>
  <c r="BI57"/>
  <c r="CI58"/>
  <c r="BI58"/>
  <c r="BI59"/>
  <c r="CI60"/>
  <c r="BI60"/>
  <c r="BI61"/>
  <c r="CI62"/>
  <c r="CJ62" s="1"/>
  <c r="CL62" s="1"/>
  <c r="BI62"/>
  <c r="CI63"/>
  <c r="BI63"/>
  <c r="BI64"/>
  <c r="CI65"/>
  <c r="CK65" s="1"/>
  <c r="BI65"/>
  <c r="BI66"/>
  <c r="CI67"/>
  <c r="CK67"/>
  <c r="BI67"/>
  <c r="BI68"/>
  <c r="BI69"/>
  <c r="CI70"/>
  <c r="BI70"/>
  <c r="BI71"/>
  <c r="BI72"/>
  <c r="BI73"/>
  <c r="CI74"/>
  <c r="BI74"/>
  <c r="BI76"/>
  <c r="BI77"/>
  <c r="BI79"/>
  <c r="BI80"/>
  <c r="CI81"/>
  <c r="CK81" s="1"/>
  <c r="CJ81"/>
  <c r="CL81" s="1"/>
  <c r="BI81"/>
  <c r="CI82"/>
  <c r="CJ82" s="1"/>
  <c r="CL82" s="1"/>
  <c r="BI82"/>
  <c r="BI83"/>
  <c r="CI85"/>
  <c r="BI85"/>
  <c r="CI86"/>
  <c r="BI86"/>
  <c r="BI87"/>
  <c r="BI88"/>
  <c r="BI90"/>
  <c r="BI91"/>
  <c r="BI92"/>
  <c r="CI93"/>
  <c r="BI93"/>
  <c r="BI94"/>
  <c r="CI95"/>
  <c r="CJ95" s="1"/>
  <c r="CL95" s="1"/>
  <c r="BI95"/>
  <c r="BI97"/>
  <c r="CI98"/>
  <c r="BI98"/>
  <c r="BI99"/>
  <c r="CI100"/>
  <c r="CJ100"/>
  <c r="BI100"/>
  <c r="BI101"/>
  <c r="BI103"/>
  <c r="BI104"/>
  <c r="BI105"/>
  <c r="BI106"/>
  <c r="BI107"/>
  <c r="BI108"/>
  <c r="CI109"/>
  <c r="CK109" s="1"/>
  <c r="BI109"/>
  <c r="BI110"/>
  <c r="BI111"/>
  <c r="BI112"/>
  <c r="CI113"/>
  <c r="CJ113"/>
  <c r="CL113"/>
  <c r="BI113"/>
  <c r="BI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D48"/>
  <c r="CD49"/>
  <c r="CD50"/>
  <c r="CD51"/>
  <c r="CD52"/>
  <c r="CD53"/>
  <c r="CD54"/>
  <c r="CD55"/>
  <c r="CD56"/>
  <c r="CD57"/>
  <c r="CD58"/>
  <c r="CD59"/>
  <c r="CD60"/>
  <c r="CD61"/>
  <c r="CD62"/>
  <c r="CD63"/>
  <c r="CD64"/>
  <c r="CD65"/>
  <c r="CD66"/>
  <c r="CD67"/>
  <c r="CD68"/>
  <c r="CD69"/>
  <c r="CD70"/>
  <c r="CD71"/>
  <c r="CD72"/>
  <c r="CD73"/>
  <c r="CD74"/>
  <c r="CD75"/>
  <c r="CD76"/>
  <c r="CD77"/>
  <c r="CD78"/>
  <c r="CD79"/>
  <c r="CD80"/>
  <c r="CD81"/>
  <c r="CD82"/>
  <c r="CD83"/>
  <c r="CD84"/>
  <c r="CD85"/>
  <c r="CD86"/>
  <c r="CD87"/>
  <c r="CD88"/>
  <c r="CD89"/>
  <c r="CD90"/>
  <c r="CD91"/>
  <c r="CD92"/>
  <c r="CD93"/>
  <c r="CD94"/>
  <c r="CD95"/>
  <c r="CD96"/>
  <c r="CD97"/>
  <c r="CD98"/>
  <c r="CD99"/>
  <c r="CD100"/>
  <c r="CD101"/>
  <c r="CD102"/>
  <c r="CD103"/>
  <c r="CD104"/>
  <c r="CD105"/>
  <c r="CD106"/>
  <c r="CD107"/>
  <c r="CD108"/>
  <c r="CD109"/>
  <c r="CD110"/>
  <c r="CD111"/>
  <c r="CD112"/>
  <c r="CD113"/>
  <c r="CD4"/>
  <c r="AX4"/>
  <c r="P116" i="25"/>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4"/>
  <c r="P23"/>
  <c r="P22"/>
  <c r="P21"/>
  <c r="P20"/>
  <c r="P19"/>
  <c r="P18"/>
  <c r="P17"/>
  <c r="P16"/>
  <c r="P15"/>
  <c r="P14"/>
  <c r="P13"/>
  <c r="P12"/>
  <c r="P11"/>
  <c r="P10"/>
  <c r="P9"/>
  <c r="P8"/>
  <c r="CE4" i="10"/>
  <c r="P7" i="25"/>
  <c r="CE5" i="10"/>
  <c r="CE6"/>
  <c r="CE7"/>
  <c r="CE8"/>
  <c r="CE9"/>
  <c r="CE10"/>
  <c r="CE11"/>
  <c r="CE12"/>
  <c r="CE13"/>
  <c r="CE14"/>
  <c r="CE15"/>
  <c r="CE16"/>
  <c r="CE17"/>
  <c r="CE18"/>
  <c r="CE19"/>
  <c r="CE20"/>
  <c r="CE21"/>
  <c r="CE22"/>
  <c r="P25" i="25" s="1"/>
  <c r="CE23" i="10"/>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CE105"/>
  <c r="CE106"/>
  <c r="CE107"/>
  <c r="CE108"/>
  <c r="CE109"/>
  <c r="CE110"/>
  <c r="CE111"/>
  <c r="CE112"/>
  <c r="CE113"/>
  <c r="AA7" i="21"/>
  <c r="AA8"/>
  <c r="AA24"/>
  <c r="I24"/>
  <c r="BE24" s="1"/>
  <c r="AA23"/>
  <c r="AA22"/>
  <c r="I22"/>
  <c r="BE22" s="1"/>
  <c r="AA21"/>
  <c r="I21"/>
  <c r="AA20"/>
  <c r="AA19"/>
  <c r="AA18"/>
  <c r="AA17"/>
  <c r="AA16"/>
  <c r="AA15"/>
  <c r="AA14"/>
  <c r="I14"/>
  <c r="AA13"/>
  <c r="AA12"/>
  <c r="I12"/>
  <c r="BD12" s="1"/>
  <c r="AA11"/>
  <c r="AA10"/>
  <c r="AA9"/>
  <c r="I31"/>
  <c r="AA30"/>
  <c r="AA29"/>
  <c r="AA28"/>
  <c r="I28"/>
  <c r="BE28" s="1"/>
  <c r="AA27"/>
  <c r="AA26"/>
  <c r="I26"/>
  <c r="BE26" s="1"/>
  <c r="AA25"/>
  <c r="I36"/>
  <c r="I35"/>
  <c r="I34"/>
  <c r="I115"/>
  <c r="BE115" s="1"/>
  <c r="I113"/>
  <c r="BE113" s="1"/>
  <c r="BC113"/>
  <c r="BC109"/>
  <c r="AA107"/>
  <c r="AA106"/>
  <c r="AA105"/>
  <c r="I105"/>
  <c r="AA104"/>
  <c r="AA103"/>
  <c r="I103"/>
  <c r="BE103" s="1"/>
  <c r="AA102"/>
  <c r="AA101"/>
  <c r="AA100"/>
  <c r="AA99"/>
  <c r="BC99" s="1"/>
  <c r="AA98"/>
  <c r="AA97"/>
  <c r="BC97" s="1"/>
  <c r="I97"/>
  <c r="BE97" s="1"/>
  <c r="AA96"/>
  <c r="AA95"/>
  <c r="I95"/>
  <c r="BE95" s="1"/>
  <c r="AA94"/>
  <c r="AA93"/>
  <c r="BC93" s="1"/>
  <c r="I93"/>
  <c r="BE93" s="1"/>
  <c r="AA92"/>
  <c r="AA91"/>
  <c r="I91"/>
  <c r="I89"/>
  <c r="BE89" s="1"/>
  <c r="I87"/>
  <c r="AA86"/>
  <c r="AA85"/>
  <c r="AA84"/>
  <c r="AA83"/>
  <c r="I83"/>
  <c r="BE83" s="1"/>
  <c r="AA82"/>
  <c r="AA81"/>
  <c r="I81"/>
  <c r="BE81" s="1"/>
  <c r="AA80"/>
  <c r="AA79"/>
  <c r="I79"/>
  <c r="AA78"/>
  <c r="AA77"/>
  <c r="I76"/>
  <c r="AA76"/>
  <c r="AA75"/>
  <c r="AA74"/>
  <c r="I73"/>
  <c r="BE73" s="1"/>
  <c r="AA73"/>
  <c r="AA72"/>
  <c r="AA71"/>
  <c r="AA70"/>
  <c r="AA69"/>
  <c r="AA68"/>
  <c r="AA67"/>
  <c r="AA66"/>
  <c r="AA65"/>
  <c r="AA64"/>
  <c r="AA63"/>
  <c r="I63"/>
  <c r="BD63" s="1"/>
  <c r="AA62"/>
  <c r="AA61"/>
  <c r="AA60"/>
  <c r="AA59"/>
  <c r="AA58"/>
  <c r="AA57"/>
  <c r="BC57" s="1"/>
  <c r="I55"/>
  <c r="BE55" s="1"/>
  <c r="AA54"/>
  <c r="AA53"/>
  <c r="AA51"/>
  <c r="AA50"/>
  <c r="AA49"/>
  <c r="AA48"/>
  <c r="I47"/>
  <c r="BE47" s="1"/>
  <c r="AA47"/>
  <c r="AA46"/>
  <c r="I45"/>
  <c r="BE45" s="1"/>
  <c r="AA45"/>
  <c r="AA44"/>
  <c r="I43"/>
  <c r="I38"/>
  <c r="BE38" s="1"/>
  <c r="I116"/>
  <c r="BE116" s="1"/>
  <c r="BC116"/>
  <c r="AA31"/>
  <c r="AA37"/>
  <c r="AA36"/>
  <c r="BC36" s="1"/>
  <c r="AA35"/>
  <c r="AA32"/>
  <c r="AA90"/>
  <c r="AA89"/>
  <c r="AA88"/>
  <c r="AA87"/>
  <c r="AA56"/>
  <c r="AA55"/>
  <c r="AA52"/>
  <c r="AA43"/>
  <c r="AA42"/>
  <c r="AA41"/>
  <c r="BC41" s="1"/>
  <c r="AA40"/>
  <c r="AA39"/>
  <c r="AA38"/>
  <c r="AM7"/>
  <c r="AX7" s="1"/>
  <c r="AM8"/>
  <c r="AM9"/>
  <c r="AX9" s="1"/>
  <c r="AM10"/>
  <c r="AM11"/>
  <c r="AX11" s="1"/>
  <c r="AM12"/>
  <c r="AX12" s="1"/>
  <c r="AM13"/>
  <c r="AX13" s="1"/>
  <c r="AM14"/>
  <c r="AM15"/>
  <c r="AX15"/>
  <c r="AM16"/>
  <c r="AX16" s="1"/>
  <c r="AM17"/>
  <c r="AX17" s="1"/>
  <c r="AM18"/>
  <c r="AX18" s="1"/>
  <c r="AM19"/>
  <c r="AX19" s="1"/>
  <c r="AM20"/>
  <c r="AX20" s="1"/>
  <c r="AM21"/>
  <c r="AX21" s="1"/>
  <c r="AM22"/>
  <c r="AX22" s="1"/>
  <c r="AM23"/>
  <c r="AX23" s="1"/>
  <c r="AM24"/>
  <c r="AX24" s="1"/>
  <c r="AM31"/>
  <c r="AX31" s="1"/>
  <c r="AM25"/>
  <c r="AX25" s="1"/>
  <c r="AM26"/>
  <c r="AX26" s="1"/>
  <c r="AM27"/>
  <c r="AM28"/>
  <c r="AX28" s="1"/>
  <c r="AM29"/>
  <c r="AX29" s="1"/>
  <c r="AM30"/>
  <c r="AX30" s="1"/>
  <c r="AM32"/>
  <c r="AX32" s="1"/>
  <c r="AM33"/>
  <c r="AX33" s="1"/>
  <c r="AM34"/>
  <c r="AM35"/>
  <c r="AX35" s="1"/>
  <c r="AM36"/>
  <c r="AX36" s="1"/>
  <c r="AM37"/>
  <c r="AX37" s="1"/>
  <c r="AM38"/>
  <c r="AM39"/>
  <c r="AX39" s="1"/>
  <c r="AM40"/>
  <c r="AX40" s="1"/>
  <c r="AM41"/>
  <c r="AX41" s="1"/>
  <c r="AM42"/>
  <c r="AX42" s="1"/>
  <c r="AM43"/>
  <c r="AX43" s="1"/>
  <c r="AM44"/>
  <c r="AX44" s="1"/>
  <c r="AM45"/>
  <c r="AX45" s="1"/>
  <c r="AM46"/>
  <c r="AX46" s="1"/>
  <c r="AM47"/>
  <c r="AX47" s="1"/>
  <c r="AM48"/>
  <c r="AX48" s="1"/>
  <c r="AM49"/>
  <c r="AX49" s="1"/>
  <c r="AM50"/>
  <c r="AM51"/>
  <c r="AX51" s="1"/>
  <c r="AM52"/>
  <c r="AX52" s="1"/>
  <c r="AM53"/>
  <c r="AX53" s="1"/>
  <c r="AM54"/>
  <c r="AX54" s="1"/>
  <c r="AM55"/>
  <c r="AX55" s="1"/>
  <c r="AM56"/>
  <c r="AX56" s="1"/>
  <c r="AM57"/>
  <c r="AX57" s="1"/>
  <c r="AM58"/>
  <c r="AX58" s="1"/>
  <c r="AM59"/>
  <c r="AX59"/>
  <c r="AM60"/>
  <c r="AM61"/>
  <c r="AX61" s="1"/>
  <c r="AM62"/>
  <c r="AX62" s="1"/>
  <c r="AM63"/>
  <c r="AX63" s="1"/>
  <c r="AM64"/>
  <c r="AX64" s="1"/>
  <c r="AM65"/>
  <c r="AX65" s="1"/>
  <c r="AM66"/>
  <c r="AX66" s="1"/>
  <c r="AM67"/>
  <c r="AX67" s="1"/>
  <c r="AM68"/>
  <c r="AM69"/>
  <c r="AX69"/>
  <c r="AM70"/>
  <c r="AX70" s="1"/>
  <c r="AM71"/>
  <c r="AX71" s="1"/>
  <c r="AM72"/>
  <c r="AX72" s="1"/>
  <c r="AM73"/>
  <c r="AX73" s="1"/>
  <c r="AM74"/>
  <c r="AM75"/>
  <c r="AX75" s="1"/>
  <c r="AM76"/>
  <c r="AX76" s="1"/>
  <c r="AM77"/>
  <c r="AX77" s="1"/>
  <c r="AM78"/>
  <c r="AX78" s="1"/>
  <c r="AM79"/>
  <c r="AX79" s="1"/>
  <c r="AM80"/>
  <c r="AX80" s="1"/>
  <c r="AM81"/>
  <c r="AX81" s="1"/>
  <c r="AM82"/>
  <c r="AX82" s="1"/>
  <c r="AM83"/>
  <c r="AX83" s="1"/>
  <c r="AM84"/>
  <c r="AX84" s="1"/>
  <c r="AM85"/>
  <c r="AX85" s="1"/>
  <c r="AM86"/>
  <c r="AX86" s="1"/>
  <c r="AM87"/>
  <c r="AM88"/>
  <c r="AX88" s="1"/>
  <c r="AM89"/>
  <c r="AX89"/>
  <c r="AM90"/>
  <c r="AX90" s="1"/>
  <c r="AM91"/>
  <c r="AX91" s="1"/>
  <c r="AM92"/>
  <c r="AM93"/>
  <c r="AX93" s="1"/>
  <c r="AM94"/>
  <c r="AX94" s="1"/>
  <c r="AM95"/>
  <c r="AX95" s="1"/>
  <c r="AM96"/>
  <c r="AM97"/>
  <c r="AX97" s="1"/>
  <c r="AM98"/>
  <c r="AX98" s="1"/>
  <c r="AM99"/>
  <c r="AX99" s="1"/>
  <c r="AM100"/>
  <c r="AX100" s="1"/>
  <c r="AM101"/>
  <c r="AX101" s="1"/>
  <c r="AM102"/>
  <c r="AX102" s="1"/>
  <c r="AM103"/>
  <c r="AM104"/>
  <c r="AX104" s="1"/>
  <c r="AM105"/>
  <c r="AX105" s="1"/>
  <c r="AM106"/>
  <c r="AM107"/>
  <c r="AX107" s="1"/>
  <c r="AM108"/>
  <c r="AM109"/>
  <c r="AX109" s="1"/>
  <c r="AM110"/>
  <c r="AM111"/>
  <c r="AX111" s="1"/>
  <c r="AM112"/>
  <c r="AX112" s="1"/>
  <c r="AM113"/>
  <c r="AX113" s="1"/>
  <c r="AM114"/>
  <c r="AX114" s="1"/>
  <c r="AM115"/>
  <c r="AM116"/>
  <c r="AX116" s="1"/>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L31" i="7"/>
  <c r="AL9"/>
  <c r="AT9" s="1"/>
  <c r="AL7"/>
  <c r="AT7" s="1"/>
  <c r="AL8"/>
  <c r="AT8" s="1"/>
  <c r="AL10"/>
  <c r="AT10" s="1"/>
  <c r="AL11"/>
  <c r="AT11" s="1"/>
  <c r="AL12"/>
  <c r="AT12" s="1"/>
  <c r="AL13"/>
  <c r="AT13" s="1"/>
  <c r="AL14"/>
  <c r="AT14" s="1"/>
  <c r="AL15"/>
  <c r="AT15" s="1"/>
  <c r="AL16"/>
  <c r="AT16" s="1"/>
  <c r="AL17"/>
  <c r="AT17" s="1"/>
  <c r="AL18"/>
  <c r="AT18" s="1"/>
  <c r="AL19"/>
  <c r="AT19" s="1"/>
  <c r="AL20"/>
  <c r="AT20"/>
  <c r="AL21"/>
  <c r="AT21" s="1"/>
  <c r="AL22"/>
  <c r="AT22" s="1"/>
  <c r="AL23"/>
  <c r="AT23" s="1"/>
  <c r="AL24"/>
  <c r="AT24" s="1"/>
  <c r="AL25"/>
  <c r="AT25" s="1"/>
  <c r="AL26"/>
  <c r="AT26" s="1"/>
  <c r="AL27"/>
  <c r="AT27" s="1"/>
  <c r="AL28"/>
  <c r="AT28" s="1"/>
  <c r="AL29"/>
  <c r="AT29" s="1"/>
  <c r="AL30"/>
  <c r="AT30" s="1"/>
  <c r="AL32"/>
  <c r="AL33"/>
  <c r="AT33" s="1"/>
  <c r="AL34"/>
  <c r="AT34" s="1"/>
  <c r="AL35"/>
  <c r="AT35" s="1"/>
  <c r="AL36"/>
  <c r="AL37"/>
  <c r="AT37" s="1"/>
  <c r="AL38"/>
  <c r="AT38" s="1"/>
  <c r="AL39"/>
  <c r="AL40"/>
  <c r="AL41"/>
  <c r="AT41" s="1"/>
  <c r="AL42"/>
  <c r="AL43"/>
  <c r="AL44"/>
  <c r="AL45"/>
  <c r="AT45" s="1"/>
  <c r="AL46"/>
  <c r="AL47"/>
  <c r="AL48"/>
  <c r="AL49"/>
  <c r="AT49" s="1"/>
  <c r="AL50"/>
  <c r="AL51"/>
  <c r="AL52"/>
  <c r="AL53"/>
  <c r="AT53" s="1"/>
  <c r="AL54"/>
  <c r="AL55"/>
  <c r="AL56"/>
  <c r="AL57"/>
  <c r="AT57" s="1"/>
  <c r="AL58"/>
  <c r="AL59"/>
  <c r="AL60"/>
  <c r="AT60" s="1"/>
  <c r="AL61"/>
  <c r="AT61" s="1"/>
  <c r="AL62"/>
  <c r="AT62" s="1"/>
  <c r="AL63"/>
  <c r="AL64"/>
  <c r="AL65"/>
  <c r="AT65" s="1"/>
  <c r="AL66"/>
  <c r="AT66" s="1"/>
  <c r="AL67"/>
  <c r="AL68"/>
  <c r="AL69"/>
  <c r="AT69" s="1"/>
  <c r="AL70"/>
  <c r="AT70" s="1"/>
  <c r="AL71"/>
  <c r="AL72"/>
  <c r="AL73"/>
  <c r="AT73" s="1"/>
  <c r="AL74"/>
  <c r="AT74" s="1"/>
  <c r="AL75"/>
  <c r="AL76"/>
  <c r="AL77"/>
  <c r="AT77" s="1"/>
  <c r="AL78"/>
  <c r="AT78" s="1"/>
  <c r="AL79"/>
  <c r="AL80"/>
  <c r="AL81"/>
  <c r="AT81" s="1"/>
  <c r="AL82"/>
  <c r="AT82" s="1"/>
  <c r="AL83"/>
  <c r="AL84"/>
  <c r="AL85"/>
  <c r="AT85" s="1"/>
  <c r="AL86"/>
  <c r="AT86" s="1"/>
  <c r="AL87"/>
  <c r="AL88"/>
  <c r="AL89"/>
  <c r="AT89" s="1"/>
  <c r="AL90"/>
  <c r="AT90" s="1"/>
  <c r="AL91"/>
  <c r="AL92"/>
  <c r="AL93"/>
  <c r="AT93" s="1"/>
  <c r="AL94"/>
  <c r="AT94" s="1"/>
  <c r="AL95"/>
  <c r="AL96"/>
  <c r="AL97"/>
  <c r="AT97" s="1"/>
  <c r="AL98"/>
  <c r="AT98" s="1"/>
  <c r="AL99"/>
  <c r="AL100"/>
  <c r="AL101"/>
  <c r="AT101" s="1"/>
  <c r="AL102"/>
  <c r="AT102" s="1"/>
  <c r="AL103"/>
  <c r="AL104"/>
  <c r="AL105"/>
  <c r="AT105" s="1"/>
  <c r="AL106"/>
  <c r="AT106" s="1"/>
  <c r="AL107"/>
  <c r="AL108"/>
  <c r="AL109"/>
  <c r="AT109" s="1"/>
  <c r="AL110"/>
  <c r="AT110" s="1"/>
  <c r="AL111"/>
  <c r="AL112"/>
  <c r="AL113"/>
  <c r="AT113" s="1"/>
  <c r="AL114"/>
  <c r="AT114" s="1"/>
  <c r="AL115"/>
  <c r="AL116"/>
  <c r="AO9"/>
  <c r="AP9" s="1"/>
  <c r="AO10"/>
  <c r="AP10" s="1"/>
  <c r="AO11"/>
  <c r="AP11" s="1"/>
  <c r="AO14"/>
  <c r="AP14" s="1"/>
  <c r="AO15"/>
  <c r="AP15" s="1"/>
  <c r="AO16"/>
  <c r="AP16" s="1"/>
  <c r="Q116" i="21"/>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BQ13" i="10"/>
  <c r="Q16" i="21"/>
  <c r="Q15"/>
  <c r="Q14"/>
  <c r="Q13"/>
  <c r="Q12"/>
  <c r="Q11"/>
  <c r="Q10"/>
  <c r="Q9"/>
  <c r="BQ5" i="10"/>
  <c r="Q8" i="21"/>
  <c r="BO4" i="10"/>
  <c r="Q7" i="21"/>
  <c r="V116" i="37"/>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V7"/>
  <c r="E8"/>
  <c r="E9"/>
  <c r="AS9" s="1"/>
  <c r="E10"/>
  <c r="AS10" s="1"/>
  <c r="E11"/>
  <c r="AS11" s="1"/>
  <c r="E12"/>
  <c r="AS12" s="1"/>
  <c r="E13"/>
  <c r="AS13" s="1"/>
  <c r="E14"/>
  <c r="AS14" s="1"/>
  <c r="E15"/>
  <c r="AS15" s="1"/>
  <c r="E16"/>
  <c r="E17"/>
  <c r="AS17" s="1"/>
  <c r="E18"/>
  <c r="AS18" s="1"/>
  <c r="E19"/>
  <c r="AS19" s="1"/>
  <c r="E20"/>
  <c r="E21"/>
  <c r="AS21" s="1"/>
  <c r="E22"/>
  <c r="AS22" s="1"/>
  <c r="E23"/>
  <c r="AS23" s="1"/>
  <c r="E24"/>
  <c r="AS24" s="1"/>
  <c r="E25"/>
  <c r="AS25" s="1"/>
  <c r="E26"/>
  <c r="AS26" s="1"/>
  <c r="E27"/>
  <c r="AS27" s="1"/>
  <c r="E28"/>
  <c r="E29"/>
  <c r="AS29" s="1"/>
  <c r="E30"/>
  <c r="AS30" s="1"/>
  <c r="E31"/>
  <c r="AS31" s="1"/>
  <c r="E32"/>
  <c r="AS32" s="1"/>
  <c r="E33"/>
  <c r="AS33" s="1"/>
  <c r="E34"/>
  <c r="AS34" s="1"/>
  <c r="E35"/>
  <c r="AS35" s="1"/>
  <c r="E36"/>
  <c r="E37"/>
  <c r="AS37" s="1"/>
  <c r="E38"/>
  <c r="AS38" s="1"/>
  <c r="E39"/>
  <c r="AS39" s="1"/>
  <c r="E40"/>
  <c r="E41"/>
  <c r="E42"/>
  <c r="AS42" s="1"/>
  <c r="E43"/>
  <c r="AS43" s="1"/>
  <c r="E44"/>
  <c r="AS44" s="1"/>
  <c r="E45"/>
  <c r="AS45" s="1"/>
  <c r="E46"/>
  <c r="AS46" s="1"/>
  <c r="E47"/>
  <c r="AS47" s="1"/>
  <c r="E48"/>
  <c r="E49"/>
  <c r="AS49" s="1"/>
  <c r="E50"/>
  <c r="AS50" s="1"/>
  <c r="E51"/>
  <c r="AS51" s="1"/>
  <c r="E52"/>
  <c r="E53"/>
  <c r="AS53" s="1"/>
  <c r="E54"/>
  <c r="AS54" s="1"/>
  <c r="E55"/>
  <c r="AS55" s="1"/>
  <c r="E56"/>
  <c r="AS56" s="1"/>
  <c r="E57"/>
  <c r="AS57" s="1"/>
  <c r="E58"/>
  <c r="AS58" s="1"/>
  <c r="E59"/>
  <c r="AS59" s="1"/>
  <c r="E60"/>
  <c r="E61"/>
  <c r="E62"/>
  <c r="AS62" s="1"/>
  <c r="E63"/>
  <c r="AS63" s="1"/>
  <c r="E64"/>
  <c r="AS64" s="1"/>
  <c r="E65"/>
  <c r="AS65" s="1"/>
  <c r="E66"/>
  <c r="AS66" s="1"/>
  <c r="E67"/>
  <c r="AS67" s="1"/>
  <c r="E68"/>
  <c r="E69"/>
  <c r="AS69" s="1"/>
  <c r="E70"/>
  <c r="AS70" s="1"/>
  <c r="E71"/>
  <c r="AS71" s="1"/>
  <c r="E72"/>
  <c r="E73"/>
  <c r="E74"/>
  <c r="AS74" s="1"/>
  <c r="E75"/>
  <c r="AS75" s="1"/>
  <c r="E76"/>
  <c r="AS76" s="1"/>
  <c r="E77"/>
  <c r="AS77" s="1"/>
  <c r="E78"/>
  <c r="AS78" s="1"/>
  <c r="E79"/>
  <c r="AS79" s="1"/>
  <c r="E80"/>
  <c r="AS80" s="1"/>
  <c r="E81"/>
  <c r="AS81" s="1"/>
  <c r="E82"/>
  <c r="AS82" s="1"/>
  <c r="E83"/>
  <c r="AS83" s="1"/>
  <c r="E84"/>
  <c r="AS84" s="1"/>
  <c r="E85"/>
  <c r="AS85" s="1"/>
  <c r="E86"/>
  <c r="AS86" s="1"/>
  <c r="E87"/>
  <c r="AS87" s="1"/>
  <c r="E88"/>
  <c r="AS88" s="1"/>
  <c r="E89"/>
  <c r="AS89" s="1"/>
  <c r="E90"/>
  <c r="AS90" s="1"/>
  <c r="E91"/>
  <c r="AS91" s="1"/>
  <c r="E92"/>
  <c r="AS92" s="1"/>
  <c r="E93"/>
  <c r="AS93" s="1"/>
  <c r="E94"/>
  <c r="AS94" s="1"/>
  <c r="E95"/>
  <c r="AS95" s="1"/>
  <c r="E96"/>
  <c r="AS96" s="1"/>
  <c r="E97"/>
  <c r="AS97" s="1"/>
  <c r="E98"/>
  <c r="AS98" s="1"/>
  <c r="E99"/>
  <c r="AS99" s="1"/>
  <c r="E100"/>
  <c r="AS100" s="1"/>
  <c r="E101"/>
  <c r="AS101" s="1"/>
  <c r="E102"/>
  <c r="AS102" s="1"/>
  <c r="E103"/>
  <c r="AS103" s="1"/>
  <c r="E104"/>
  <c r="AS104" s="1"/>
  <c r="E105"/>
  <c r="AS105"/>
  <c r="E106"/>
  <c r="AS106" s="1"/>
  <c r="E107"/>
  <c r="AS107" s="1"/>
  <c r="E108"/>
  <c r="E109"/>
  <c r="AS109" s="1"/>
  <c r="E110"/>
  <c r="AS110" s="1"/>
  <c r="E111"/>
  <c r="AS111" s="1"/>
  <c r="E112"/>
  <c r="E113"/>
  <c r="AS113" s="1"/>
  <c r="E114"/>
  <c r="AS114" s="1"/>
  <c r="E115"/>
  <c r="AS115" s="1"/>
  <c r="E116"/>
  <c r="AS116" s="1"/>
  <c r="E7"/>
  <c r="AS7" s="1"/>
  <c r="CM118" i="10"/>
  <c r="CL118"/>
  <c r="CK118"/>
  <c r="CJ118"/>
  <c r="CI118"/>
  <c r="CH118"/>
  <c r="CM117"/>
  <c r="CL117"/>
  <c r="CK117"/>
  <c r="CJ117"/>
  <c r="CI117"/>
  <c r="CH117"/>
  <c r="CM116"/>
  <c r="CL116"/>
  <c r="CK116"/>
  <c r="CJ116"/>
  <c r="CI116"/>
  <c r="CH116"/>
  <c r="CM115"/>
  <c r="CL115"/>
  <c r="CK115"/>
  <c r="CJ115"/>
  <c r="CI115"/>
  <c r="CH115"/>
  <c r="CM114"/>
  <c r="CL114"/>
  <c r="CK114"/>
  <c r="CJ114"/>
  <c r="CI114"/>
  <c r="CH114"/>
  <c r="AP7" i="37"/>
  <c r="AP8" s="1"/>
  <c r="AO8"/>
  <c r="AO7"/>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Z8"/>
  <c r="Z9"/>
  <c r="Z10"/>
  <c r="A10" s="1"/>
  <c r="Z11"/>
  <c r="A11" s="1"/>
  <c r="Z12"/>
  <c r="Z13"/>
  <c r="A13" s="1"/>
  <c r="Z14"/>
  <c r="A14" s="1"/>
  <c r="Z15"/>
  <c r="A15" s="1"/>
  <c r="Z16"/>
  <c r="A16" s="1"/>
  <c r="Z17"/>
  <c r="A17" s="1"/>
  <c r="Z18"/>
  <c r="A18" s="1"/>
  <c r="Z19"/>
  <c r="A19" s="1"/>
  <c r="Z20"/>
  <c r="A20" s="1"/>
  <c r="Z21"/>
  <c r="A21" s="1"/>
  <c r="Z22"/>
  <c r="A22" s="1"/>
  <c r="Z23"/>
  <c r="A23" s="1"/>
  <c r="Z24"/>
  <c r="A24" s="1"/>
  <c r="Z25"/>
  <c r="A25" s="1"/>
  <c r="Z26"/>
  <c r="A26" s="1"/>
  <c r="Z27"/>
  <c r="A27" s="1"/>
  <c r="Z28"/>
  <c r="A28" s="1"/>
  <c r="Z29"/>
  <c r="A29" s="1"/>
  <c r="Z30"/>
  <c r="A30" s="1"/>
  <c r="Z31"/>
  <c r="A31" s="1"/>
  <c r="Z32"/>
  <c r="A32" s="1"/>
  <c r="Z33"/>
  <c r="A33" s="1"/>
  <c r="Z34"/>
  <c r="A34" s="1"/>
  <c r="Z35"/>
  <c r="A35" s="1"/>
  <c r="Z36"/>
  <c r="A36" s="1"/>
  <c r="Z37"/>
  <c r="A37" s="1"/>
  <c r="Z38"/>
  <c r="A38" s="1"/>
  <c r="Z39"/>
  <c r="A39" s="1"/>
  <c r="Z40"/>
  <c r="A40" s="1"/>
  <c r="Z41"/>
  <c r="A41" s="1"/>
  <c r="Z42"/>
  <c r="A42" s="1"/>
  <c r="Z43"/>
  <c r="A43" s="1"/>
  <c r="Z44"/>
  <c r="A44" s="1"/>
  <c r="Z45"/>
  <c r="A45" s="1"/>
  <c r="Z46"/>
  <c r="A46" s="1"/>
  <c r="Z47"/>
  <c r="A47" s="1"/>
  <c r="Z48"/>
  <c r="A48" s="1"/>
  <c r="Z49"/>
  <c r="A49" s="1"/>
  <c r="Z50"/>
  <c r="A50" s="1"/>
  <c r="Z51"/>
  <c r="A51" s="1"/>
  <c r="Z52"/>
  <c r="A52" s="1"/>
  <c r="Z53"/>
  <c r="A53" s="1"/>
  <c r="Z54"/>
  <c r="A54" s="1"/>
  <c r="Z55"/>
  <c r="A55" s="1"/>
  <c r="Z56"/>
  <c r="A56" s="1"/>
  <c r="Z57"/>
  <c r="A57" s="1"/>
  <c r="Z58"/>
  <c r="A58" s="1"/>
  <c r="Z59"/>
  <c r="A59" s="1"/>
  <c r="Z60"/>
  <c r="A60" s="1"/>
  <c r="Z62"/>
  <c r="A62" s="1"/>
  <c r="Z63"/>
  <c r="A63" s="1"/>
  <c r="Z64"/>
  <c r="A64" s="1"/>
  <c r="Z65"/>
  <c r="A65" s="1"/>
  <c r="Z66"/>
  <c r="A66" s="1"/>
  <c r="Z67"/>
  <c r="A67" s="1"/>
  <c r="Z68"/>
  <c r="A68" s="1"/>
  <c r="Z69"/>
  <c r="A69" s="1"/>
  <c r="Z70"/>
  <c r="A70" s="1"/>
  <c r="Z71"/>
  <c r="A71" s="1"/>
  <c r="Z72"/>
  <c r="A72" s="1"/>
  <c r="Z73"/>
  <c r="A73" s="1"/>
  <c r="Z74"/>
  <c r="A74" s="1"/>
  <c r="Z75"/>
  <c r="A75" s="1"/>
  <c r="Z76"/>
  <c r="A76" s="1"/>
  <c r="Z77"/>
  <c r="A77" s="1"/>
  <c r="Z78"/>
  <c r="A78" s="1"/>
  <c r="Z79"/>
  <c r="A79" s="1"/>
  <c r="Z80"/>
  <c r="A80" s="1"/>
  <c r="Z81"/>
  <c r="A81" s="1"/>
  <c r="Z82"/>
  <c r="A82" s="1"/>
  <c r="Z83"/>
  <c r="A83" s="1"/>
  <c r="Z84"/>
  <c r="A84" s="1"/>
  <c r="Z85"/>
  <c r="A85" s="1"/>
  <c r="Z86"/>
  <c r="A86" s="1"/>
  <c r="Z87"/>
  <c r="A87" s="1"/>
  <c r="Z88"/>
  <c r="A88" s="1"/>
  <c r="Z89"/>
  <c r="A89" s="1"/>
  <c r="Z90"/>
  <c r="A90" s="1"/>
  <c r="Z91"/>
  <c r="A91" s="1"/>
  <c r="Z92"/>
  <c r="A92" s="1"/>
  <c r="Z93"/>
  <c r="A93" s="1"/>
  <c r="Z94"/>
  <c r="A94" s="1"/>
  <c r="Z95"/>
  <c r="A95" s="1"/>
  <c r="Z96"/>
  <c r="A96" s="1"/>
  <c r="Z97"/>
  <c r="A97" s="1"/>
  <c r="Z98"/>
  <c r="A98" s="1"/>
  <c r="Z99"/>
  <c r="A99" s="1"/>
  <c r="Z100"/>
  <c r="A100" s="1"/>
  <c r="Z101"/>
  <c r="A101" s="1"/>
  <c r="Z102"/>
  <c r="A102" s="1"/>
  <c r="Z103"/>
  <c r="A103" s="1"/>
  <c r="Z104"/>
  <c r="A104" s="1"/>
  <c r="Z105"/>
  <c r="A105" s="1"/>
  <c r="Z106"/>
  <c r="A106" s="1"/>
  <c r="Z107"/>
  <c r="A107" s="1"/>
  <c r="Z108"/>
  <c r="A108" s="1"/>
  <c r="Z109"/>
  <c r="A109" s="1"/>
  <c r="Z110"/>
  <c r="A110" s="1"/>
  <c r="Z111"/>
  <c r="A111" s="1"/>
  <c r="Z112"/>
  <c r="A112" s="1"/>
  <c r="Z113"/>
  <c r="A113" s="1"/>
  <c r="Z114"/>
  <c r="A114" s="1"/>
  <c r="Z115"/>
  <c r="A115" s="1"/>
  <c r="Z116"/>
  <c r="A116" s="1"/>
  <c r="Z7"/>
  <c r="A7" s="1"/>
  <c r="BC5" i="10"/>
  <c r="BD5"/>
  <c r="BE5"/>
  <c r="BF5"/>
  <c r="BG5"/>
  <c r="BH5"/>
  <c r="BJ5"/>
  <c r="BK5"/>
  <c r="BL5"/>
  <c r="BM5"/>
  <c r="BN5"/>
  <c r="BO5"/>
  <c r="BP5"/>
  <c r="BR5"/>
  <c r="BS5"/>
  <c r="BT5"/>
  <c r="BU5"/>
  <c r="BW5"/>
  <c r="BX5"/>
  <c r="BC6"/>
  <c r="BD6"/>
  <c r="BE6"/>
  <c r="BF6"/>
  <c r="BG6"/>
  <c r="BH6"/>
  <c r="BJ6"/>
  <c r="BK6"/>
  <c r="BL6"/>
  <c r="BM6"/>
  <c r="BN6"/>
  <c r="BO6"/>
  <c r="BP6"/>
  <c r="BQ6"/>
  <c r="BR6"/>
  <c r="BS6"/>
  <c r="BT6"/>
  <c r="BU6"/>
  <c r="BW6"/>
  <c r="BX6"/>
  <c r="BC7"/>
  <c r="BD7"/>
  <c r="BE7"/>
  <c r="BF7"/>
  <c r="BG7"/>
  <c r="BH7"/>
  <c r="BJ7"/>
  <c r="BK7"/>
  <c r="BL7"/>
  <c r="BM7"/>
  <c r="BN7"/>
  <c r="BO7"/>
  <c r="BP7"/>
  <c r="BQ7"/>
  <c r="BR7"/>
  <c r="BS7"/>
  <c r="BT7"/>
  <c r="BU7"/>
  <c r="BW7"/>
  <c r="BX7"/>
  <c r="BC8"/>
  <c r="BD8"/>
  <c r="BE8"/>
  <c r="BF8"/>
  <c r="BG8"/>
  <c r="BH8"/>
  <c r="BJ8"/>
  <c r="BK8"/>
  <c r="BL8"/>
  <c r="BM8"/>
  <c r="BN8"/>
  <c r="BO8"/>
  <c r="BP8"/>
  <c r="BQ8"/>
  <c r="BR8"/>
  <c r="BS8"/>
  <c r="BT8"/>
  <c r="BU8"/>
  <c r="BW8"/>
  <c r="BX8"/>
  <c r="BC9"/>
  <c r="BD9"/>
  <c r="BE9"/>
  <c r="BF9"/>
  <c r="BG9"/>
  <c r="BH9"/>
  <c r="BJ9"/>
  <c r="BK9"/>
  <c r="BL9"/>
  <c r="BM9"/>
  <c r="BN9"/>
  <c r="BO9"/>
  <c r="BP9"/>
  <c r="BQ9"/>
  <c r="BR9"/>
  <c r="BS9"/>
  <c r="BT9"/>
  <c r="BU9"/>
  <c r="BW9"/>
  <c r="BX9"/>
  <c r="BC10"/>
  <c r="BD10"/>
  <c r="BE10"/>
  <c r="BF10"/>
  <c r="BG10"/>
  <c r="BH10"/>
  <c r="BJ10"/>
  <c r="BK10"/>
  <c r="BL10"/>
  <c r="BM10"/>
  <c r="BN10"/>
  <c r="BO10"/>
  <c r="BP10"/>
  <c r="BQ10"/>
  <c r="BR10"/>
  <c r="BS10"/>
  <c r="BT10"/>
  <c r="BU10"/>
  <c r="BW10"/>
  <c r="BX10"/>
  <c r="BC11"/>
  <c r="BD11"/>
  <c r="BE11"/>
  <c r="BF11"/>
  <c r="BG11"/>
  <c r="BH11"/>
  <c r="BJ11"/>
  <c r="BK11"/>
  <c r="BL11"/>
  <c r="BM11"/>
  <c r="BN11"/>
  <c r="BO11"/>
  <c r="BP11"/>
  <c r="BQ11"/>
  <c r="BR11"/>
  <c r="BS11"/>
  <c r="BT11"/>
  <c r="BU11"/>
  <c r="BW11"/>
  <c r="BX11"/>
  <c r="BC12"/>
  <c r="BD12"/>
  <c r="BE12"/>
  <c r="BF12"/>
  <c r="BG12"/>
  <c r="BH12"/>
  <c r="BJ12"/>
  <c r="BK12"/>
  <c r="BL12"/>
  <c r="BM12"/>
  <c r="BN12"/>
  <c r="BO12"/>
  <c r="BP12"/>
  <c r="BQ12"/>
  <c r="BR12"/>
  <c r="BS12"/>
  <c r="BT12"/>
  <c r="BU12"/>
  <c r="BW12"/>
  <c r="BX12"/>
  <c r="BC13"/>
  <c r="BD13"/>
  <c r="BE13"/>
  <c r="BF13"/>
  <c r="BG13"/>
  <c r="BH13"/>
  <c r="BJ13"/>
  <c r="BK13"/>
  <c r="BL13"/>
  <c r="BM13"/>
  <c r="BN13"/>
  <c r="BO13"/>
  <c r="BP13"/>
  <c r="BR13"/>
  <c r="BS13"/>
  <c r="BT13"/>
  <c r="BU13"/>
  <c r="BW13"/>
  <c r="BX13"/>
  <c r="BC14"/>
  <c r="BD14"/>
  <c r="BE14"/>
  <c r="BF14"/>
  <c r="BG14"/>
  <c r="BH14"/>
  <c r="BJ14"/>
  <c r="BK14"/>
  <c r="BL14"/>
  <c r="BM14"/>
  <c r="BN14"/>
  <c r="BO14"/>
  <c r="BP14"/>
  <c r="BQ14"/>
  <c r="BR14"/>
  <c r="BS14"/>
  <c r="BT14"/>
  <c r="BU14"/>
  <c r="BW14"/>
  <c r="BX14"/>
  <c r="BC15"/>
  <c r="BD15"/>
  <c r="BE15"/>
  <c r="BF15"/>
  <c r="BG15"/>
  <c r="BH15"/>
  <c r="BJ15"/>
  <c r="BK15"/>
  <c r="BL15"/>
  <c r="BM15"/>
  <c r="BN15"/>
  <c r="BO15"/>
  <c r="BP15"/>
  <c r="BQ15"/>
  <c r="BR15"/>
  <c r="BS15"/>
  <c r="BT15"/>
  <c r="BU15"/>
  <c r="BW15"/>
  <c r="BX15"/>
  <c r="BC16"/>
  <c r="BD16"/>
  <c r="BE16"/>
  <c r="BF16"/>
  <c r="BG16"/>
  <c r="BH16"/>
  <c r="BJ16"/>
  <c r="BK16"/>
  <c r="BL16"/>
  <c r="BM16"/>
  <c r="BN16"/>
  <c r="BO16"/>
  <c r="BP16"/>
  <c r="BQ16"/>
  <c r="BR16"/>
  <c r="BS16"/>
  <c r="BT16"/>
  <c r="BU16"/>
  <c r="BW16"/>
  <c r="BX16"/>
  <c r="BC17"/>
  <c r="BD17"/>
  <c r="BE17"/>
  <c r="BF17"/>
  <c r="BG17"/>
  <c r="BH17"/>
  <c r="BJ17"/>
  <c r="BK17"/>
  <c r="BL17"/>
  <c r="BM17"/>
  <c r="BN17"/>
  <c r="BO17"/>
  <c r="BP17"/>
  <c r="BQ17"/>
  <c r="BR17"/>
  <c r="BS17"/>
  <c r="BT17"/>
  <c r="BU17"/>
  <c r="BW17"/>
  <c r="BX17"/>
  <c r="BC18"/>
  <c r="BD18"/>
  <c r="BE18"/>
  <c r="BF18"/>
  <c r="BG18"/>
  <c r="BH18"/>
  <c r="BJ18"/>
  <c r="BK18"/>
  <c r="BL18"/>
  <c r="BM18"/>
  <c r="BN18"/>
  <c r="BO18"/>
  <c r="BP18"/>
  <c r="BQ18"/>
  <c r="BR18"/>
  <c r="BS18"/>
  <c r="BT18"/>
  <c r="BU18"/>
  <c r="BW18"/>
  <c r="BX18"/>
  <c r="BC19"/>
  <c r="BD19"/>
  <c r="BE19"/>
  <c r="BF19"/>
  <c r="BG19"/>
  <c r="BH19"/>
  <c r="BJ19"/>
  <c r="BK19"/>
  <c r="BL19"/>
  <c r="BM19"/>
  <c r="BN19"/>
  <c r="BO19"/>
  <c r="BP19"/>
  <c r="BQ19"/>
  <c r="BR19"/>
  <c r="BS19"/>
  <c r="BT19"/>
  <c r="BU19"/>
  <c r="BW19"/>
  <c r="BX19"/>
  <c r="BC20"/>
  <c r="BD20"/>
  <c r="BE20"/>
  <c r="BF20"/>
  <c r="BG20"/>
  <c r="BH20"/>
  <c r="BJ20"/>
  <c r="BK20"/>
  <c r="BL20"/>
  <c r="BM20"/>
  <c r="BN20"/>
  <c r="BO20"/>
  <c r="BP20"/>
  <c r="BQ20"/>
  <c r="BR20"/>
  <c r="BS20"/>
  <c r="BT20"/>
  <c r="BU20"/>
  <c r="BW20"/>
  <c r="BX20"/>
  <c r="BC21"/>
  <c r="BD21"/>
  <c r="BE21"/>
  <c r="BF21"/>
  <c r="BG21"/>
  <c r="BH21"/>
  <c r="BJ21"/>
  <c r="BK21"/>
  <c r="BL21"/>
  <c r="BM21"/>
  <c r="BN21"/>
  <c r="BO21"/>
  <c r="BP21"/>
  <c r="BQ21"/>
  <c r="BR21"/>
  <c r="BS21"/>
  <c r="BT21"/>
  <c r="BU21"/>
  <c r="BW21"/>
  <c r="BX21"/>
  <c r="BC22"/>
  <c r="BD22"/>
  <c r="BE22"/>
  <c r="BF22"/>
  <c r="BG22"/>
  <c r="BH22"/>
  <c r="BJ22"/>
  <c r="BK22"/>
  <c r="BL22"/>
  <c r="BM22"/>
  <c r="BN22"/>
  <c r="BO22"/>
  <c r="BP22"/>
  <c r="BQ22"/>
  <c r="BR22"/>
  <c r="BS22"/>
  <c r="BT22"/>
  <c r="BU22"/>
  <c r="BW22"/>
  <c r="BX22"/>
  <c r="BC23"/>
  <c r="BD23"/>
  <c r="BE23"/>
  <c r="BF23"/>
  <c r="BG23"/>
  <c r="BH23"/>
  <c r="BJ23"/>
  <c r="BK23"/>
  <c r="BL23"/>
  <c r="BM23"/>
  <c r="BN23"/>
  <c r="BO23"/>
  <c r="BP23"/>
  <c r="BQ23"/>
  <c r="BR23"/>
  <c r="BS23"/>
  <c r="BT23"/>
  <c r="BU23"/>
  <c r="BW23"/>
  <c r="BX23"/>
  <c r="BC24"/>
  <c r="BD24"/>
  <c r="BE24"/>
  <c r="BF24"/>
  <c r="BG24"/>
  <c r="BH24"/>
  <c r="BJ24"/>
  <c r="BK24"/>
  <c r="BL24"/>
  <c r="BM24"/>
  <c r="BN24"/>
  <c r="BO24"/>
  <c r="BP24"/>
  <c r="BQ24"/>
  <c r="BR24"/>
  <c r="BS24"/>
  <c r="BT24"/>
  <c r="BU24"/>
  <c r="BW24"/>
  <c r="BX24"/>
  <c r="BC25"/>
  <c r="BD25"/>
  <c r="BE25"/>
  <c r="BF25"/>
  <c r="BG25"/>
  <c r="BH25"/>
  <c r="BJ25"/>
  <c r="BK25"/>
  <c r="BL25"/>
  <c r="BM25"/>
  <c r="BN25"/>
  <c r="BO25"/>
  <c r="BP25"/>
  <c r="BQ25"/>
  <c r="BR25"/>
  <c r="BS25"/>
  <c r="BT25"/>
  <c r="BU25"/>
  <c r="BW25"/>
  <c r="BX25"/>
  <c r="BC26"/>
  <c r="BD26"/>
  <c r="BE26"/>
  <c r="BF26"/>
  <c r="BG26"/>
  <c r="BH26"/>
  <c r="BJ26"/>
  <c r="BK26"/>
  <c r="BL26"/>
  <c r="BM26"/>
  <c r="BN26"/>
  <c r="BO26"/>
  <c r="BP26"/>
  <c r="BQ26"/>
  <c r="BR26"/>
  <c r="BS26"/>
  <c r="BT26"/>
  <c r="BU26"/>
  <c r="BW26"/>
  <c r="BX26"/>
  <c r="BC27"/>
  <c r="BD27"/>
  <c r="BE27"/>
  <c r="BF27"/>
  <c r="BG27"/>
  <c r="BH27"/>
  <c r="BJ27"/>
  <c r="BK27"/>
  <c r="BL27"/>
  <c r="BM27"/>
  <c r="BN27"/>
  <c r="BO27"/>
  <c r="BP27"/>
  <c r="BQ27"/>
  <c r="BR27"/>
  <c r="BS27"/>
  <c r="BT27"/>
  <c r="BU27"/>
  <c r="BW27"/>
  <c r="BX27"/>
  <c r="BC28"/>
  <c r="BD28"/>
  <c r="BE28"/>
  <c r="BF28"/>
  <c r="BG28"/>
  <c r="BH28"/>
  <c r="BJ28"/>
  <c r="BK28"/>
  <c r="BL28"/>
  <c r="BM28"/>
  <c r="BN28"/>
  <c r="BO28"/>
  <c r="BP28"/>
  <c r="BQ28"/>
  <c r="BR28"/>
  <c r="BS28"/>
  <c r="BT28"/>
  <c r="BU28"/>
  <c r="BW28"/>
  <c r="BX28"/>
  <c r="BC29"/>
  <c r="BD29"/>
  <c r="BE29"/>
  <c r="BF29"/>
  <c r="BG29"/>
  <c r="BH29"/>
  <c r="BJ29"/>
  <c r="BK29"/>
  <c r="BL29"/>
  <c r="BM29"/>
  <c r="BN29"/>
  <c r="BO29"/>
  <c r="BP29"/>
  <c r="BQ29"/>
  <c r="BR29"/>
  <c r="BS29"/>
  <c r="BT29"/>
  <c r="BU29"/>
  <c r="BW29"/>
  <c r="BX29"/>
  <c r="BC30"/>
  <c r="BD30"/>
  <c r="BE30"/>
  <c r="BF30"/>
  <c r="BG30"/>
  <c r="BH30"/>
  <c r="BJ30"/>
  <c r="BK30"/>
  <c r="BL30"/>
  <c r="BM30"/>
  <c r="BN30"/>
  <c r="BO30"/>
  <c r="BP30"/>
  <c r="BQ30"/>
  <c r="BR30"/>
  <c r="BS30"/>
  <c r="BT30"/>
  <c r="BU30"/>
  <c r="BW30"/>
  <c r="BX30"/>
  <c r="BC31"/>
  <c r="BD31"/>
  <c r="BE31"/>
  <c r="BF31"/>
  <c r="BG31"/>
  <c r="BH31"/>
  <c r="BJ31"/>
  <c r="BK31"/>
  <c r="BL31"/>
  <c r="BM31"/>
  <c r="BN31"/>
  <c r="BO31"/>
  <c r="BP31"/>
  <c r="BQ31"/>
  <c r="BR31"/>
  <c r="BS31"/>
  <c r="BT31"/>
  <c r="BU31"/>
  <c r="BW31"/>
  <c r="BX31"/>
  <c r="BC32"/>
  <c r="BD32"/>
  <c r="BE32"/>
  <c r="BF32"/>
  <c r="BG32"/>
  <c r="BH32"/>
  <c r="BJ32"/>
  <c r="BK32"/>
  <c r="BL32"/>
  <c r="BM32"/>
  <c r="BN32"/>
  <c r="BO32"/>
  <c r="BP32"/>
  <c r="BQ32"/>
  <c r="BR32"/>
  <c r="BS32"/>
  <c r="BT32"/>
  <c r="BU32"/>
  <c r="BW32"/>
  <c r="BX32"/>
  <c r="BC33"/>
  <c r="BD33"/>
  <c r="BE33"/>
  <c r="BF33"/>
  <c r="BG33"/>
  <c r="BH33"/>
  <c r="BJ33"/>
  <c r="BK33"/>
  <c r="BL33"/>
  <c r="BM33"/>
  <c r="BN33"/>
  <c r="BO33"/>
  <c r="BP33"/>
  <c r="BQ33"/>
  <c r="BR33"/>
  <c r="BS33"/>
  <c r="BT33"/>
  <c r="BU33"/>
  <c r="BW33"/>
  <c r="BX33"/>
  <c r="BC34"/>
  <c r="BD34"/>
  <c r="BE34"/>
  <c r="BF34"/>
  <c r="BG34"/>
  <c r="BH34"/>
  <c r="BJ34"/>
  <c r="BK34"/>
  <c r="BL34"/>
  <c r="BM34"/>
  <c r="BN34"/>
  <c r="BO34"/>
  <c r="BP34"/>
  <c r="BQ34"/>
  <c r="BR34"/>
  <c r="BS34"/>
  <c r="BT34"/>
  <c r="BU34"/>
  <c r="BW34"/>
  <c r="BX34"/>
  <c r="BC35"/>
  <c r="BD35"/>
  <c r="BE35"/>
  <c r="BF35"/>
  <c r="BG35"/>
  <c r="BH35"/>
  <c r="BJ35"/>
  <c r="BK35"/>
  <c r="BL35"/>
  <c r="BM35"/>
  <c r="BN35"/>
  <c r="BO35"/>
  <c r="BP35"/>
  <c r="BQ35"/>
  <c r="BR35"/>
  <c r="BS35"/>
  <c r="BT35"/>
  <c r="BU35"/>
  <c r="BW35"/>
  <c r="BX35"/>
  <c r="BC36"/>
  <c r="BD36"/>
  <c r="BE36"/>
  <c r="BF36"/>
  <c r="BG36"/>
  <c r="BH36"/>
  <c r="BJ36"/>
  <c r="BK36"/>
  <c r="BL36"/>
  <c r="BM36"/>
  <c r="BN36"/>
  <c r="BO36"/>
  <c r="BP36"/>
  <c r="BQ36"/>
  <c r="BR36"/>
  <c r="BS36"/>
  <c r="BT36"/>
  <c r="BU36"/>
  <c r="BW36"/>
  <c r="BX36"/>
  <c r="BC37"/>
  <c r="BD37"/>
  <c r="BE37"/>
  <c r="BF37"/>
  <c r="BG37"/>
  <c r="BH37"/>
  <c r="BJ37"/>
  <c r="BK37"/>
  <c r="BL37"/>
  <c r="BM37"/>
  <c r="BN37"/>
  <c r="BO37"/>
  <c r="BP37"/>
  <c r="BQ37"/>
  <c r="BR37"/>
  <c r="BS37"/>
  <c r="BT37"/>
  <c r="BU37"/>
  <c r="BW37"/>
  <c r="BX37"/>
  <c r="BC38"/>
  <c r="BD38"/>
  <c r="BE38"/>
  <c r="BF38"/>
  <c r="BG38"/>
  <c r="BH38"/>
  <c r="BJ38"/>
  <c r="BK38"/>
  <c r="BL38"/>
  <c r="BM38"/>
  <c r="BN38"/>
  <c r="BO38"/>
  <c r="BP38"/>
  <c r="BQ38"/>
  <c r="BR38"/>
  <c r="BS38"/>
  <c r="BT38"/>
  <c r="BU38"/>
  <c r="BW38"/>
  <c r="BX38"/>
  <c r="BC39"/>
  <c r="BD39"/>
  <c r="BE39"/>
  <c r="BF39"/>
  <c r="BG39"/>
  <c r="BH39"/>
  <c r="BJ39"/>
  <c r="BK39"/>
  <c r="BL39"/>
  <c r="BM39"/>
  <c r="BN39"/>
  <c r="BO39"/>
  <c r="BP39"/>
  <c r="BQ39"/>
  <c r="BR39"/>
  <c r="BS39"/>
  <c r="BT39"/>
  <c r="BU39"/>
  <c r="BW39"/>
  <c r="BX39"/>
  <c r="BC40"/>
  <c r="BD40"/>
  <c r="BE40"/>
  <c r="BF40"/>
  <c r="BG40"/>
  <c r="BH40"/>
  <c r="BJ40"/>
  <c r="BK40"/>
  <c r="BL40"/>
  <c r="BM40"/>
  <c r="BN40"/>
  <c r="BO40"/>
  <c r="BP40"/>
  <c r="BQ40"/>
  <c r="BR40"/>
  <c r="BS40"/>
  <c r="BT40"/>
  <c r="BU40"/>
  <c r="BW40"/>
  <c r="BX40"/>
  <c r="BC41"/>
  <c r="BD41"/>
  <c r="BE41"/>
  <c r="BF41"/>
  <c r="BG41"/>
  <c r="BH41"/>
  <c r="BJ41"/>
  <c r="BK41"/>
  <c r="BL41"/>
  <c r="BM41"/>
  <c r="BN41"/>
  <c r="BO41"/>
  <c r="BP41"/>
  <c r="BQ41"/>
  <c r="BR41"/>
  <c r="BS41"/>
  <c r="BT41"/>
  <c r="BU41"/>
  <c r="BW41"/>
  <c r="BX41"/>
  <c r="BC42"/>
  <c r="BD42"/>
  <c r="BE42"/>
  <c r="BF42"/>
  <c r="BG42"/>
  <c r="BH42"/>
  <c r="BJ42"/>
  <c r="BK42"/>
  <c r="BL42"/>
  <c r="BM42"/>
  <c r="BN42"/>
  <c r="BO42"/>
  <c r="BP42"/>
  <c r="BQ42"/>
  <c r="BR42"/>
  <c r="BS42"/>
  <c r="BT42"/>
  <c r="BU42"/>
  <c r="BW42"/>
  <c r="BX42"/>
  <c r="BC43"/>
  <c r="BD43"/>
  <c r="BE43"/>
  <c r="BF43"/>
  <c r="BG43"/>
  <c r="BH43"/>
  <c r="BJ43"/>
  <c r="BK43"/>
  <c r="BL43"/>
  <c r="BM43"/>
  <c r="BN43"/>
  <c r="BO43"/>
  <c r="BP43"/>
  <c r="BQ43"/>
  <c r="BR43"/>
  <c r="BS43"/>
  <c r="BT43"/>
  <c r="BU43"/>
  <c r="BW43"/>
  <c r="BX43"/>
  <c r="BC44"/>
  <c r="BD44"/>
  <c r="BE44"/>
  <c r="BF44"/>
  <c r="BG44"/>
  <c r="BH44"/>
  <c r="BJ44"/>
  <c r="BK44"/>
  <c r="BL44"/>
  <c r="BM44"/>
  <c r="BN44"/>
  <c r="BO44"/>
  <c r="BP44"/>
  <c r="BQ44"/>
  <c r="BR44"/>
  <c r="BS44"/>
  <c r="BT44"/>
  <c r="BU44"/>
  <c r="BW44"/>
  <c r="BX44"/>
  <c r="BC45"/>
  <c r="BD45"/>
  <c r="BE45"/>
  <c r="BF45"/>
  <c r="BG45"/>
  <c r="BH45"/>
  <c r="BJ45"/>
  <c r="BK45"/>
  <c r="BL45"/>
  <c r="BM45"/>
  <c r="BN45"/>
  <c r="BO45"/>
  <c r="BP45"/>
  <c r="BQ45"/>
  <c r="BR45"/>
  <c r="BS45"/>
  <c r="BT45"/>
  <c r="BU45"/>
  <c r="BW45"/>
  <c r="BX45"/>
  <c r="BC46"/>
  <c r="BD46"/>
  <c r="BE46"/>
  <c r="BF46"/>
  <c r="BG46"/>
  <c r="BH46"/>
  <c r="BJ46"/>
  <c r="BK46"/>
  <c r="BL46"/>
  <c r="BM46"/>
  <c r="BN46"/>
  <c r="BO46"/>
  <c r="BP46"/>
  <c r="BQ46"/>
  <c r="BR46"/>
  <c r="BS46"/>
  <c r="BT46"/>
  <c r="BU46"/>
  <c r="BW46"/>
  <c r="BX46"/>
  <c r="BC47"/>
  <c r="BD47"/>
  <c r="BE47"/>
  <c r="BF47"/>
  <c r="BG47"/>
  <c r="BH47"/>
  <c r="BJ47"/>
  <c r="BK47"/>
  <c r="BL47"/>
  <c r="BM47"/>
  <c r="BN47"/>
  <c r="BO47"/>
  <c r="BP47"/>
  <c r="BQ47"/>
  <c r="BR47"/>
  <c r="BS47"/>
  <c r="BT47"/>
  <c r="BU47"/>
  <c r="BW47"/>
  <c r="BX47"/>
  <c r="BC48"/>
  <c r="BD48"/>
  <c r="BE48"/>
  <c r="BF48"/>
  <c r="BG48"/>
  <c r="BH48"/>
  <c r="BJ48"/>
  <c r="BK48"/>
  <c r="BL48"/>
  <c r="BM48"/>
  <c r="BN48"/>
  <c r="BO48"/>
  <c r="BP48"/>
  <c r="BQ48"/>
  <c r="BR48"/>
  <c r="BS48"/>
  <c r="BT48"/>
  <c r="BU48"/>
  <c r="BW48"/>
  <c r="BX48"/>
  <c r="BC49"/>
  <c r="BD49"/>
  <c r="BE49"/>
  <c r="BF49"/>
  <c r="BG49"/>
  <c r="BH49"/>
  <c r="BJ49"/>
  <c r="BK49"/>
  <c r="BL49"/>
  <c r="BM49"/>
  <c r="BN49"/>
  <c r="BO49"/>
  <c r="BP49"/>
  <c r="BQ49"/>
  <c r="BR49"/>
  <c r="BS49"/>
  <c r="BT49"/>
  <c r="BU49"/>
  <c r="BW49"/>
  <c r="BX49"/>
  <c r="BC50"/>
  <c r="BD50"/>
  <c r="BE50"/>
  <c r="BF50"/>
  <c r="BG50"/>
  <c r="BH50"/>
  <c r="BJ50"/>
  <c r="BK50"/>
  <c r="BL50"/>
  <c r="BM50"/>
  <c r="BN50"/>
  <c r="BO50"/>
  <c r="BP50"/>
  <c r="BQ50"/>
  <c r="BR50"/>
  <c r="BS50"/>
  <c r="BT50"/>
  <c r="BU50"/>
  <c r="BW50"/>
  <c r="BX50"/>
  <c r="BC51"/>
  <c r="BD51"/>
  <c r="BE51"/>
  <c r="BF51"/>
  <c r="BG51"/>
  <c r="BH51"/>
  <c r="BJ51"/>
  <c r="BK51"/>
  <c r="BL51"/>
  <c r="BM51"/>
  <c r="BN51"/>
  <c r="BO51"/>
  <c r="BP51"/>
  <c r="BQ51"/>
  <c r="BR51"/>
  <c r="BS51"/>
  <c r="BT51"/>
  <c r="BU51"/>
  <c r="BW51"/>
  <c r="BX51"/>
  <c r="BC52"/>
  <c r="BD52"/>
  <c r="BE52"/>
  <c r="BF52"/>
  <c r="BG52"/>
  <c r="BH52"/>
  <c r="BJ52"/>
  <c r="BK52"/>
  <c r="BL52"/>
  <c r="BM52"/>
  <c r="BN52"/>
  <c r="BO52"/>
  <c r="BP52"/>
  <c r="BQ52"/>
  <c r="BR52"/>
  <c r="BS52"/>
  <c r="BT52"/>
  <c r="BU52"/>
  <c r="BW52"/>
  <c r="BX52"/>
  <c r="BC53"/>
  <c r="BD53"/>
  <c r="BE53"/>
  <c r="BF53"/>
  <c r="BG53"/>
  <c r="BH53"/>
  <c r="BJ53"/>
  <c r="BK53"/>
  <c r="BL53"/>
  <c r="BM53"/>
  <c r="BN53"/>
  <c r="BO53"/>
  <c r="BP53"/>
  <c r="BQ53"/>
  <c r="BR53"/>
  <c r="BS53"/>
  <c r="BT53"/>
  <c r="BU53"/>
  <c r="BW53"/>
  <c r="BX53"/>
  <c r="BC54"/>
  <c r="BD54"/>
  <c r="BE54"/>
  <c r="BF54"/>
  <c r="BG54"/>
  <c r="BH54"/>
  <c r="BJ54"/>
  <c r="BK54"/>
  <c r="BL54"/>
  <c r="BM54"/>
  <c r="BN54"/>
  <c r="BO54"/>
  <c r="BP54"/>
  <c r="BQ54"/>
  <c r="BR54"/>
  <c r="BS54"/>
  <c r="BT54"/>
  <c r="BU54"/>
  <c r="BW54"/>
  <c r="BX54"/>
  <c r="BC55"/>
  <c r="BD55"/>
  <c r="BE55"/>
  <c r="BF55"/>
  <c r="BG55"/>
  <c r="BH55"/>
  <c r="BJ55"/>
  <c r="BK55"/>
  <c r="BL55"/>
  <c r="BM55"/>
  <c r="BN55"/>
  <c r="BO55"/>
  <c r="BP55"/>
  <c r="BQ55"/>
  <c r="BR55"/>
  <c r="BS55"/>
  <c r="BT55"/>
  <c r="BU55"/>
  <c r="BW55"/>
  <c r="BX55"/>
  <c r="BC56"/>
  <c r="BD56"/>
  <c r="BE56"/>
  <c r="BF56"/>
  <c r="BG56"/>
  <c r="BH56"/>
  <c r="BJ56"/>
  <c r="BK56"/>
  <c r="BL56"/>
  <c r="BM56"/>
  <c r="BN56"/>
  <c r="BO56"/>
  <c r="BP56"/>
  <c r="BQ56"/>
  <c r="BR56"/>
  <c r="BS56"/>
  <c r="BT56"/>
  <c r="BU56"/>
  <c r="BW56"/>
  <c r="BX56"/>
  <c r="BC57"/>
  <c r="BD57"/>
  <c r="BE57"/>
  <c r="BF57"/>
  <c r="BG57"/>
  <c r="BH57"/>
  <c r="BJ57"/>
  <c r="BK57"/>
  <c r="BL57"/>
  <c r="BM57"/>
  <c r="BN57"/>
  <c r="BO57"/>
  <c r="BP57"/>
  <c r="BQ57"/>
  <c r="BR57"/>
  <c r="BS57"/>
  <c r="BT57"/>
  <c r="BU57"/>
  <c r="BW57"/>
  <c r="BX57"/>
  <c r="BC58"/>
  <c r="BD58"/>
  <c r="BE58"/>
  <c r="BF58"/>
  <c r="BG58"/>
  <c r="BH58"/>
  <c r="BJ58"/>
  <c r="BK58"/>
  <c r="BL58"/>
  <c r="BM58"/>
  <c r="BN58"/>
  <c r="BO58"/>
  <c r="BP58"/>
  <c r="BQ58"/>
  <c r="BR58"/>
  <c r="BS58"/>
  <c r="BT58"/>
  <c r="BU58"/>
  <c r="BW58"/>
  <c r="BX58"/>
  <c r="BC59"/>
  <c r="BD59"/>
  <c r="BE59"/>
  <c r="BF59"/>
  <c r="BG59"/>
  <c r="BH59"/>
  <c r="BJ59"/>
  <c r="BK59"/>
  <c r="BL59"/>
  <c r="BM59"/>
  <c r="BN59"/>
  <c r="BO59"/>
  <c r="BP59"/>
  <c r="BQ59"/>
  <c r="BR59"/>
  <c r="BS59"/>
  <c r="BT59"/>
  <c r="BU59"/>
  <c r="BW59"/>
  <c r="BX59"/>
  <c r="BC60"/>
  <c r="BD60"/>
  <c r="BE60"/>
  <c r="BF60"/>
  <c r="BG60"/>
  <c r="BH60"/>
  <c r="BJ60"/>
  <c r="BK60"/>
  <c r="BL60"/>
  <c r="BM60"/>
  <c r="BN60"/>
  <c r="BO60"/>
  <c r="BP60"/>
  <c r="BQ60"/>
  <c r="BR60"/>
  <c r="BS60"/>
  <c r="BT60"/>
  <c r="BU60"/>
  <c r="BW60"/>
  <c r="BX60"/>
  <c r="BC61"/>
  <c r="BD61"/>
  <c r="BE61"/>
  <c r="BF61"/>
  <c r="BG61"/>
  <c r="BH61"/>
  <c r="BJ61"/>
  <c r="BK61"/>
  <c r="BL61"/>
  <c r="BM61"/>
  <c r="BN61"/>
  <c r="BO61"/>
  <c r="BP61"/>
  <c r="BQ61"/>
  <c r="BR61"/>
  <c r="BS61"/>
  <c r="BT61"/>
  <c r="BU61"/>
  <c r="BW61"/>
  <c r="BX61"/>
  <c r="BC62"/>
  <c r="BD62"/>
  <c r="BE62"/>
  <c r="BF62"/>
  <c r="BG62"/>
  <c r="BH62"/>
  <c r="BJ62"/>
  <c r="BK62"/>
  <c r="BL62"/>
  <c r="BM62"/>
  <c r="BN62"/>
  <c r="BO62"/>
  <c r="BP62"/>
  <c r="BQ62"/>
  <c r="BR62"/>
  <c r="BS62"/>
  <c r="BT62"/>
  <c r="BU62"/>
  <c r="BW62"/>
  <c r="BX62"/>
  <c r="BC63"/>
  <c r="BD63"/>
  <c r="BE63"/>
  <c r="BF63"/>
  <c r="BG63"/>
  <c r="BH63"/>
  <c r="BJ63"/>
  <c r="BK63"/>
  <c r="BL63"/>
  <c r="BM63"/>
  <c r="BN63"/>
  <c r="BO63"/>
  <c r="BP63"/>
  <c r="BQ63"/>
  <c r="BR63"/>
  <c r="BS63"/>
  <c r="BT63"/>
  <c r="BU63"/>
  <c r="BW63"/>
  <c r="BX63"/>
  <c r="BC64"/>
  <c r="BD64"/>
  <c r="BE64"/>
  <c r="BF64"/>
  <c r="BG64"/>
  <c r="BH64"/>
  <c r="BJ64"/>
  <c r="BK64"/>
  <c r="BL64"/>
  <c r="BM64"/>
  <c r="BN64"/>
  <c r="BO64"/>
  <c r="BP64"/>
  <c r="BQ64"/>
  <c r="BR64"/>
  <c r="BS64"/>
  <c r="BT64"/>
  <c r="BU64"/>
  <c r="BW64"/>
  <c r="BX64"/>
  <c r="BC65"/>
  <c r="BD65"/>
  <c r="BE65"/>
  <c r="BF65"/>
  <c r="BG65"/>
  <c r="BH65"/>
  <c r="BJ65"/>
  <c r="BK65"/>
  <c r="BL65"/>
  <c r="BM65"/>
  <c r="BN65"/>
  <c r="BO65"/>
  <c r="BP65"/>
  <c r="BQ65"/>
  <c r="BR65"/>
  <c r="BS65"/>
  <c r="BT65"/>
  <c r="BU65"/>
  <c r="BW65"/>
  <c r="BX65"/>
  <c r="BC66"/>
  <c r="BD66"/>
  <c r="BE66"/>
  <c r="BF66"/>
  <c r="BG66"/>
  <c r="BH66"/>
  <c r="BJ66"/>
  <c r="BK66"/>
  <c r="BL66"/>
  <c r="BM66"/>
  <c r="BN66"/>
  <c r="BO66"/>
  <c r="BP66"/>
  <c r="BQ66"/>
  <c r="BR66"/>
  <c r="BS66"/>
  <c r="BT66"/>
  <c r="BU66"/>
  <c r="BW66"/>
  <c r="BX66"/>
  <c r="BC67"/>
  <c r="BD67"/>
  <c r="BE67"/>
  <c r="BF67"/>
  <c r="BG67"/>
  <c r="BH67"/>
  <c r="BJ67"/>
  <c r="BK67"/>
  <c r="BL67"/>
  <c r="BM67"/>
  <c r="BN67"/>
  <c r="BO67"/>
  <c r="BP67"/>
  <c r="BQ67"/>
  <c r="BR67"/>
  <c r="BS67"/>
  <c r="BT67"/>
  <c r="BU67"/>
  <c r="BW67"/>
  <c r="BX67"/>
  <c r="BC68"/>
  <c r="BD68"/>
  <c r="BE68"/>
  <c r="BF68"/>
  <c r="BG68"/>
  <c r="BH68"/>
  <c r="BJ68"/>
  <c r="BK68"/>
  <c r="BL68"/>
  <c r="BM68"/>
  <c r="BN68"/>
  <c r="BO68"/>
  <c r="BP68"/>
  <c r="BQ68"/>
  <c r="BR68"/>
  <c r="BS68"/>
  <c r="BT68"/>
  <c r="BU68"/>
  <c r="BW68"/>
  <c r="BX68"/>
  <c r="BC69"/>
  <c r="BD69"/>
  <c r="BE69"/>
  <c r="BF69"/>
  <c r="BG69"/>
  <c r="BH69"/>
  <c r="BJ69"/>
  <c r="BK69"/>
  <c r="BL69"/>
  <c r="BM69"/>
  <c r="BN69"/>
  <c r="BO69"/>
  <c r="BP69"/>
  <c r="BQ69"/>
  <c r="BR69"/>
  <c r="BS69"/>
  <c r="BT69"/>
  <c r="BU69"/>
  <c r="BW69"/>
  <c r="BX69"/>
  <c r="BC70"/>
  <c r="BD70"/>
  <c r="BE70"/>
  <c r="BF70"/>
  <c r="BG70"/>
  <c r="BH70"/>
  <c r="BJ70"/>
  <c r="BK70"/>
  <c r="BL70"/>
  <c r="BM70"/>
  <c r="BN70"/>
  <c r="BO70"/>
  <c r="BP70"/>
  <c r="BQ70"/>
  <c r="BR70"/>
  <c r="BS70"/>
  <c r="BT70"/>
  <c r="BU70"/>
  <c r="BW70"/>
  <c r="BX70"/>
  <c r="BC71"/>
  <c r="BD71"/>
  <c r="BE71"/>
  <c r="BF71"/>
  <c r="BG71"/>
  <c r="BH71"/>
  <c r="BJ71"/>
  <c r="BK71"/>
  <c r="BL71"/>
  <c r="BM71"/>
  <c r="BN71"/>
  <c r="BO71"/>
  <c r="BP71"/>
  <c r="BQ71"/>
  <c r="BR71"/>
  <c r="BS71"/>
  <c r="BT71"/>
  <c r="BU71"/>
  <c r="BW71"/>
  <c r="BX71"/>
  <c r="BC72"/>
  <c r="BD72"/>
  <c r="BE72"/>
  <c r="BF72"/>
  <c r="BG72"/>
  <c r="BH72"/>
  <c r="BJ72"/>
  <c r="BK72"/>
  <c r="BL72"/>
  <c r="BM72"/>
  <c r="BN72"/>
  <c r="BO72"/>
  <c r="BP72"/>
  <c r="BQ72"/>
  <c r="BR72"/>
  <c r="BS72"/>
  <c r="BT72"/>
  <c r="BU72"/>
  <c r="BW72"/>
  <c r="BX72"/>
  <c r="BC73"/>
  <c r="BD73"/>
  <c r="BE73"/>
  <c r="BF73"/>
  <c r="BG73"/>
  <c r="BH73"/>
  <c r="BJ73"/>
  <c r="BK73"/>
  <c r="BL73"/>
  <c r="BM73"/>
  <c r="BN73"/>
  <c r="BO73"/>
  <c r="BP73"/>
  <c r="BQ73"/>
  <c r="BR73"/>
  <c r="BS73"/>
  <c r="BT73"/>
  <c r="BU73"/>
  <c r="BW73"/>
  <c r="BX73"/>
  <c r="BC74"/>
  <c r="BD74"/>
  <c r="BE74"/>
  <c r="BF74"/>
  <c r="BG74"/>
  <c r="BH74"/>
  <c r="BJ74"/>
  <c r="BK74"/>
  <c r="BL74"/>
  <c r="BM74"/>
  <c r="BN74"/>
  <c r="BO74"/>
  <c r="BP74"/>
  <c r="BQ74"/>
  <c r="BR74"/>
  <c r="BS74"/>
  <c r="BT74"/>
  <c r="BU74"/>
  <c r="BW74"/>
  <c r="BX74"/>
  <c r="BC75"/>
  <c r="BD75"/>
  <c r="BE75"/>
  <c r="BF75"/>
  <c r="BG75"/>
  <c r="BH75"/>
  <c r="BJ75"/>
  <c r="BK75"/>
  <c r="BL75"/>
  <c r="BM75"/>
  <c r="BN75"/>
  <c r="BO75"/>
  <c r="BP75"/>
  <c r="BQ75"/>
  <c r="BR75"/>
  <c r="BS75"/>
  <c r="BT75"/>
  <c r="BU75"/>
  <c r="BW75"/>
  <c r="BX75"/>
  <c r="BC76"/>
  <c r="BD76"/>
  <c r="BE76"/>
  <c r="BF76"/>
  <c r="BG76"/>
  <c r="BH76"/>
  <c r="BJ76"/>
  <c r="BK76"/>
  <c r="BL76"/>
  <c r="BM76"/>
  <c r="BN76"/>
  <c r="BO76"/>
  <c r="BP76"/>
  <c r="BQ76"/>
  <c r="BR76"/>
  <c r="BS76"/>
  <c r="BT76"/>
  <c r="BU76"/>
  <c r="BW76"/>
  <c r="BX76"/>
  <c r="BC77"/>
  <c r="BD77"/>
  <c r="BE77"/>
  <c r="BF77"/>
  <c r="BG77"/>
  <c r="BH77"/>
  <c r="BJ77"/>
  <c r="BK77"/>
  <c r="BL77"/>
  <c r="BM77"/>
  <c r="BN77"/>
  <c r="BO77"/>
  <c r="BP77"/>
  <c r="BQ77"/>
  <c r="BR77"/>
  <c r="BS77"/>
  <c r="BT77"/>
  <c r="BU77"/>
  <c r="BW77"/>
  <c r="BX77"/>
  <c r="BC78"/>
  <c r="BD78"/>
  <c r="BE78"/>
  <c r="BF78"/>
  <c r="BG78"/>
  <c r="BH78"/>
  <c r="BJ78"/>
  <c r="BK78"/>
  <c r="BL78"/>
  <c r="BM78"/>
  <c r="BN78"/>
  <c r="BO78"/>
  <c r="BP78"/>
  <c r="BQ78"/>
  <c r="BR78"/>
  <c r="BS78"/>
  <c r="BT78"/>
  <c r="BU78"/>
  <c r="BW78"/>
  <c r="BX78"/>
  <c r="BC79"/>
  <c r="BD79"/>
  <c r="BE79"/>
  <c r="BF79"/>
  <c r="BG79"/>
  <c r="BH79"/>
  <c r="BJ79"/>
  <c r="BK79"/>
  <c r="BL79"/>
  <c r="BM79"/>
  <c r="BN79"/>
  <c r="BO79"/>
  <c r="BP79"/>
  <c r="BQ79"/>
  <c r="BR79"/>
  <c r="BS79"/>
  <c r="BT79"/>
  <c r="BU79"/>
  <c r="BW79"/>
  <c r="BX79"/>
  <c r="BC80"/>
  <c r="BD80"/>
  <c r="BE80"/>
  <c r="BF80"/>
  <c r="BG80"/>
  <c r="BH80"/>
  <c r="BJ80"/>
  <c r="BK80"/>
  <c r="BL80"/>
  <c r="BM80"/>
  <c r="BN80"/>
  <c r="BO80"/>
  <c r="BP80"/>
  <c r="BQ80"/>
  <c r="BR80"/>
  <c r="BS80"/>
  <c r="BT80"/>
  <c r="BU80"/>
  <c r="BW80"/>
  <c r="BX80"/>
  <c r="BC81"/>
  <c r="BD81"/>
  <c r="BE81"/>
  <c r="BF81"/>
  <c r="BG81"/>
  <c r="BH81"/>
  <c r="BJ81"/>
  <c r="BK81"/>
  <c r="BL81"/>
  <c r="BM81"/>
  <c r="BN81"/>
  <c r="BO81"/>
  <c r="BP81"/>
  <c r="BQ81"/>
  <c r="BR81"/>
  <c r="BS81"/>
  <c r="BT81"/>
  <c r="BU81"/>
  <c r="BW81"/>
  <c r="BX81"/>
  <c r="BC82"/>
  <c r="BD82"/>
  <c r="BE82"/>
  <c r="BF82"/>
  <c r="BG82"/>
  <c r="BH82"/>
  <c r="BJ82"/>
  <c r="BK82"/>
  <c r="BL82"/>
  <c r="BM82"/>
  <c r="BN82"/>
  <c r="BO82"/>
  <c r="BP82"/>
  <c r="BQ82"/>
  <c r="BR82"/>
  <c r="BS82"/>
  <c r="BT82"/>
  <c r="BU82"/>
  <c r="BW82"/>
  <c r="BX82"/>
  <c r="BC83"/>
  <c r="BD83"/>
  <c r="BE83"/>
  <c r="BF83"/>
  <c r="BG83"/>
  <c r="BH83"/>
  <c r="BJ83"/>
  <c r="BK83"/>
  <c r="BL83"/>
  <c r="BM83"/>
  <c r="BN83"/>
  <c r="BO83"/>
  <c r="BP83"/>
  <c r="BQ83"/>
  <c r="BR83"/>
  <c r="BS83"/>
  <c r="BT83"/>
  <c r="BU83"/>
  <c r="BW83"/>
  <c r="BX83"/>
  <c r="BC84"/>
  <c r="BD84"/>
  <c r="BE84"/>
  <c r="BF84"/>
  <c r="BG84"/>
  <c r="BH84"/>
  <c r="BJ84"/>
  <c r="BK84"/>
  <c r="BL84"/>
  <c r="BM84"/>
  <c r="BN84"/>
  <c r="BO84"/>
  <c r="BP84"/>
  <c r="BQ84"/>
  <c r="BR84"/>
  <c r="BS84"/>
  <c r="BT84"/>
  <c r="BU84"/>
  <c r="BW84"/>
  <c r="BX84"/>
  <c r="BC85"/>
  <c r="BD85"/>
  <c r="BE85"/>
  <c r="BF85"/>
  <c r="BG85"/>
  <c r="BH85"/>
  <c r="BJ85"/>
  <c r="BK85"/>
  <c r="BL85"/>
  <c r="BM85"/>
  <c r="BN85"/>
  <c r="BO85"/>
  <c r="BP85"/>
  <c r="BQ85"/>
  <c r="BR85"/>
  <c r="BS85"/>
  <c r="BT85"/>
  <c r="BU85"/>
  <c r="BW85"/>
  <c r="BX85"/>
  <c r="BC86"/>
  <c r="BD86"/>
  <c r="BE86"/>
  <c r="BF86"/>
  <c r="BG86"/>
  <c r="BH86"/>
  <c r="BJ86"/>
  <c r="BK86"/>
  <c r="BL86"/>
  <c r="BM86"/>
  <c r="BN86"/>
  <c r="BO86"/>
  <c r="BP86"/>
  <c r="BQ86"/>
  <c r="BR86"/>
  <c r="BS86"/>
  <c r="BT86"/>
  <c r="BU86"/>
  <c r="BW86"/>
  <c r="BX86"/>
  <c r="BC87"/>
  <c r="BD87"/>
  <c r="BE87"/>
  <c r="BF87"/>
  <c r="BG87"/>
  <c r="BH87"/>
  <c r="BJ87"/>
  <c r="BK87"/>
  <c r="BL87"/>
  <c r="BM87"/>
  <c r="BN87"/>
  <c r="BO87"/>
  <c r="BP87"/>
  <c r="BQ87"/>
  <c r="BR87"/>
  <c r="BS87"/>
  <c r="BT87"/>
  <c r="BU87"/>
  <c r="BW87"/>
  <c r="BX87"/>
  <c r="BC88"/>
  <c r="BD88"/>
  <c r="BE88"/>
  <c r="BF88"/>
  <c r="BG88"/>
  <c r="BH88"/>
  <c r="BJ88"/>
  <c r="BK88"/>
  <c r="BL88"/>
  <c r="BM88"/>
  <c r="BN88"/>
  <c r="BO88"/>
  <c r="BP88"/>
  <c r="BQ88"/>
  <c r="BR88"/>
  <c r="BS88"/>
  <c r="BT88"/>
  <c r="BU88"/>
  <c r="BW88"/>
  <c r="BX88"/>
  <c r="BC89"/>
  <c r="BD89"/>
  <c r="BE89"/>
  <c r="BF89"/>
  <c r="BG89"/>
  <c r="BH89"/>
  <c r="BJ89"/>
  <c r="BK89"/>
  <c r="BL89"/>
  <c r="BM89"/>
  <c r="BN89"/>
  <c r="BO89"/>
  <c r="BP89"/>
  <c r="BQ89"/>
  <c r="BR89"/>
  <c r="BS89"/>
  <c r="BT89"/>
  <c r="BU89"/>
  <c r="BW89"/>
  <c r="BX89"/>
  <c r="BC90"/>
  <c r="BD90"/>
  <c r="BE90"/>
  <c r="BF90"/>
  <c r="BG90"/>
  <c r="BH90"/>
  <c r="BJ90"/>
  <c r="BK90"/>
  <c r="BL90"/>
  <c r="BM90"/>
  <c r="BN90"/>
  <c r="BO90"/>
  <c r="BP90"/>
  <c r="BQ90"/>
  <c r="BR90"/>
  <c r="BS90"/>
  <c r="BT90"/>
  <c r="BU90"/>
  <c r="BW90"/>
  <c r="BX90"/>
  <c r="BC91"/>
  <c r="BD91"/>
  <c r="BE91"/>
  <c r="BF91"/>
  <c r="BG91"/>
  <c r="BH91"/>
  <c r="BJ91"/>
  <c r="BK91"/>
  <c r="BL91"/>
  <c r="BM91"/>
  <c r="BN91"/>
  <c r="BO91"/>
  <c r="BP91"/>
  <c r="BQ91"/>
  <c r="BR91"/>
  <c r="BS91"/>
  <c r="BT91"/>
  <c r="BU91"/>
  <c r="BW91"/>
  <c r="BX91"/>
  <c r="BC92"/>
  <c r="BD92"/>
  <c r="BE92"/>
  <c r="BF92"/>
  <c r="BG92"/>
  <c r="BH92"/>
  <c r="BJ92"/>
  <c r="BK92"/>
  <c r="BL92"/>
  <c r="BM92"/>
  <c r="BN92"/>
  <c r="BO92"/>
  <c r="BP92"/>
  <c r="BQ92"/>
  <c r="BR92"/>
  <c r="BS92"/>
  <c r="BT92"/>
  <c r="BU92"/>
  <c r="BW92"/>
  <c r="BX92"/>
  <c r="BC93"/>
  <c r="BD93"/>
  <c r="BE93"/>
  <c r="BF93"/>
  <c r="BG93"/>
  <c r="BH93"/>
  <c r="BJ93"/>
  <c r="BK93"/>
  <c r="BL93"/>
  <c r="BM93"/>
  <c r="BN93"/>
  <c r="BO93"/>
  <c r="BP93"/>
  <c r="BQ93"/>
  <c r="BR93"/>
  <c r="BS93"/>
  <c r="BT93"/>
  <c r="BU93"/>
  <c r="BW93"/>
  <c r="BX93"/>
  <c r="BC94"/>
  <c r="BD94"/>
  <c r="BE94"/>
  <c r="BF94"/>
  <c r="BG94"/>
  <c r="BH94"/>
  <c r="BJ94"/>
  <c r="BK94"/>
  <c r="BL94"/>
  <c r="BM94"/>
  <c r="BN94"/>
  <c r="BO94"/>
  <c r="BP94"/>
  <c r="BQ94"/>
  <c r="BR94"/>
  <c r="BS94"/>
  <c r="BT94"/>
  <c r="BU94"/>
  <c r="BW94"/>
  <c r="BX94"/>
  <c r="BC95"/>
  <c r="BD95"/>
  <c r="BE95"/>
  <c r="BF95"/>
  <c r="BG95"/>
  <c r="BH95"/>
  <c r="BJ95"/>
  <c r="BK95"/>
  <c r="BL95"/>
  <c r="BM95"/>
  <c r="BN95"/>
  <c r="BO95"/>
  <c r="BP95"/>
  <c r="BQ95"/>
  <c r="BR95"/>
  <c r="BS95"/>
  <c r="BT95"/>
  <c r="BU95"/>
  <c r="BW95"/>
  <c r="BX95"/>
  <c r="BC96"/>
  <c r="BD96"/>
  <c r="BE96"/>
  <c r="BF96"/>
  <c r="BG96"/>
  <c r="BH96"/>
  <c r="BJ96"/>
  <c r="BK96"/>
  <c r="BL96"/>
  <c r="BM96"/>
  <c r="BN96"/>
  <c r="BO96"/>
  <c r="BP96"/>
  <c r="BQ96"/>
  <c r="BR96"/>
  <c r="BS96"/>
  <c r="BT96"/>
  <c r="BU96"/>
  <c r="BW96"/>
  <c r="BX96"/>
  <c r="BC97"/>
  <c r="BD97"/>
  <c r="BE97"/>
  <c r="BF97"/>
  <c r="BG97"/>
  <c r="BH97"/>
  <c r="BJ97"/>
  <c r="BK97"/>
  <c r="BL97"/>
  <c r="BM97"/>
  <c r="BN97"/>
  <c r="BO97"/>
  <c r="BP97"/>
  <c r="BQ97"/>
  <c r="BR97"/>
  <c r="BS97"/>
  <c r="BT97"/>
  <c r="BU97"/>
  <c r="BW97"/>
  <c r="BX97"/>
  <c r="BC98"/>
  <c r="BD98"/>
  <c r="BE98"/>
  <c r="BF98"/>
  <c r="BG98"/>
  <c r="BH98"/>
  <c r="BJ98"/>
  <c r="BK98"/>
  <c r="BL98"/>
  <c r="BM98"/>
  <c r="BN98"/>
  <c r="BO98"/>
  <c r="BP98"/>
  <c r="BQ98"/>
  <c r="BR98"/>
  <c r="BS98"/>
  <c r="BT98"/>
  <c r="BU98"/>
  <c r="BW98"/>
  <c r="BX98"/>
  <c r="BC99"/>
  <c r="BD99"/>
  <c r="BE99"/>
  <c r="BF99"/>
  <c r="BG99"/>
  <c r="BH99"/>
  <c r="BJ99"/>
  <c r="BK99"/>
  <c r="BL99"/>
  <c r="BM99"/>
  <c r="BN99"/>
  <c r="BO99"/>
  <c r="BP99"/>
  <c r="BQ99"/>
  <c r="BR99"/>
  <c r="BS99"/>
  <c r="BT99"/>
  <c r="BU99"/>
  <c r="BW99"/>
  <c r="BX99"/>
  <c r="BC100"/>
  <c r="BD100"/>
  <c r="BE100"/>
  <c r="BF100"/>
  <c r="BG100"/>
  <c r="BH100"/>
  <c r="BJ100"/>
  <c r="BK100"/>
  <c r="BL100"/>
  <c r="BM100"/>
  <c r="BN100"/>
  <c r="BO100"/>
  <c r="BP100"/>
  <c r="BQ100"/>
  <c r="BR100"/>
  <c r="BS100"/>
  <c r="BT100"/>
  <c r="BU100"/>
  <c r="BW100"/>
  <c r="BX100"/>
  <c r="BC101"/>
  <c r="BD101"/>
  <c r="BE101"/>
  <c r="BF101"/>
  <c r="BG101"/>
  <c r="BH101"/>
  <c r="BJ101"/>
  <c r="BK101"/>
  <c r="BL101"/>
  <c r="BM101"/>
  <c r="BN101"/>
  <c r="BO101"/>
  <c r="BP101"/>
  <c r="BQ101"/>
  <c r="BR101"/>
  <c r="BS101"/>
  <c r="BT101"/>
  <c r="BU101"/>
  <c r="BW101"/>
  <c r="BX101"/>
  <c r="BC102"/>
  <c r="BD102"/>
  <c r="BE102"/>
  <c r="BF102"/>
  <c r="BG102"/>
  <c r="BH102"/>
  <c r="BJ102"/>
  <c r="BK102"/>
  <c r="BL102"/>
  <c r="BM102"/>
  <c r="BN102"/>
  <c r="BO102"/>
  <c r="BP102"/>
  <c r="BQ102"/>
  <c r="BR102"/>
  <c r="BS102"/>
  <c r="BT102"/>
  <c r="BU102"/>
  <c r="BW102"/>
  <c r="BX102"/>
  <c r="BC103"/>
  <c r="BD103"/>
  <c r="BE103"/>
  <c r="BF103"/>
  <c r="BG103"/>
  <c r="BH103"/>
  <c r="BJ103"/>
  <c r="BK103"/>
  <c r="BL103"/>
  <c r="BM103"/>
  <c r="BN103"/>
  <c r="BO103"/>
  <c r="BP103"/>
  <c r="BQ103"/>
  <c r="BR103"/>
  <c r="BS103"/>
  <c r="BT103"/>
  <c r="BU103"/>
  <c r="BW103"/>
  <c r="BX103"/>
  <c r="BC104"/>
  <c r="BD104"/>
  <c r="BE104"/>
  <c r="BF104"/>
  <c r="BG104"/>
  <c r="BH104"/>
  <c r="BJ104"/>
  <c r="BK104"/>
  <c r="BL104"/>
  <c r="BM104"/>
  <c r="BN104"/>
  <c r="BO104"/>
  <c r="BP104"/>
  <c r="BQ104"/>
  <c r="BR104"/>
  <c r="BS104"/>
  <c r="BT104"/>
  <c r="BU104"/>
  <c r="BW104"/>
  <c r="BX104"/>
  <c r="BC105"/>
  <c r="BD105"/>
  <c r="BE105"/>
  <c r="BF105"/>
  <c r="BG105"/>
  <c r="BH105"/>
  <c r="BJ105"/>
  <c r="BK105"/>
  <c r="BL105"/>
  <c r="BM105"/>
  <c r="BN105"/>
  <c r="BO105"/>
  <c r="BP105"/>
  <c r="BQ105"/>
  <c r="BR105"/>
  <c r="BS105"/>
  <c r="BT105"/>
  <c r="BU105"/>
  <c r="BW105"/>
  <c r="BX105"/>
  <c r="BC106"/>
  <c r="BD106"/>
  <c r="BE106"/>
  <c r="BF106"/>
  <c r="BG106"/>
  <c r="BH106"/>
  <c r="BJ106"/>
  <c r="BK106"/>
  <c r="BL106"/>
  <c r="BM106"/>
  <c r="BN106"/>
  <c r="BO106"/>
  <c r="BP106"/>
  <c r="BQ106"/>
  <c r="BR106"/>
  <c r="BS106"/>
  <c r="BT106"/>
  <c r="BU106"/>
  <c r="BW106"/>
  <c r="BX106"/>
  <c r="BC107"/>
  <c r="BD107"/>
  <c r="BE107"/>
  <c r="BF107"/>
  <c r="BG107"/>
  <c r="BH107"/>
  <c r="BJ107"/>
  <c r="BK107"/>
  <c r="BL107"/>
  <c r="BM107"/>
  <c r="BN107"/>
  <c r="BO107"/>
  <c r="BP107"/>
  <c r="BQ107"/>
  <c r="BR107"/>
  <c r="BS107"/>
  <c r="BT107"/>
  <c r="BU107"/>
  <c r="BW107"/>
  <c r="BX107"/>
  <c r="BC108"/>
  <c r="BD108"/>
  <c r="BE108"/>
  <c r="BF108"/>
  <c r="BG108"/>
  <c r="BH108"/>
  <c r="BJ108"/>
  <c r="BK108"/>
  <c r="BL108"/>
  <c r="BM108"/>
  <c r="BN108"/>
  <c r="BO108"/>
  <c r="BP108"/>
  <c r="BQ108"/>
  <c r="BR108"/>
  <c r="BS108"/>
  <c r="BT108"/>
  <c r="BU108"/>
  <c r="BW108"/>
  <c r="BX108"/>
  <c r="BC109"/>
  <c r="BD109"/>
  <c r="BE109"/>
  <c r="BF109"/>
  <c r="BG109"/>
  <c r="BH109"/>
  <c r="BJ109"/>
  <c r="BK109"/>
  <c r="BL109"/>
  <c r="BM109"/>
  <c r="BN109"/>
  <c r="BO109"/>
  <c r="BP109"/>
  <c r="BQ109"/>
  <c r="BR109"/>
  <c r="BS109"/>
  <c r="BT109"/>
  <c r="BU109"/>
  <c r="BW109"/>
  <c r="BX109"/>
  <c r="BC110"/>
  <c r="BD110"/>
  <c r="BE110"/>
  <c r="BF110"/>
  <c r="BG110"/>
  <c r="BH110"/>
  <c r="BJ110"/>
  <c r="BK110"/>
  <c r="BL110"/>
  <c r="BM110"/>
  <c r="BN110"/>
  <c r="BO110"/>
  <c r="BP110"/>
  <c r="BQ110"/>
  <c r="BR110"/>
  <c r="BS110"/>
  <c r="BT110"/>
  <c r="BU110"/>
  <c r="BW110"/>
  <c r="BX110"/>
  <c r="BC111"/>
  <c r="BD111"/>
  <c r="BE111"/>
  <c r="BF111"/>
  <c r="BG111"/>
  <c r="BH111"/>
  <c r="BJ111"/>
  <c r="BK111"/>
  <c r="BL111"/>
  <c r="BM111"/>
  <c r="BN111"/>
  <c r="BO111"/>
  <c r="BP111"/>
  <c r="BQ111"/>
  <c r="BR111"/>
  <c r="BS111"/>
  <c r="BT111"/>
  <c r="BU111"/>
  <c r="BW111"/>
  <c r="BX111"/>
  <c r="BC112"/>
  <c r="BD112"/>
  <c r="BE112"/>
  <c r="BF112"/>
  <c r="BG112"/>
  <c r="BH112"/>
  <c r="BJ112"/>
  <c r="BK112"/>
  <c r="BL112"/>
  <c r="BM112"/>
  <c r="BN112"/>
  <c r="BO112"/>
  <c r="BP112"/>
  <c r="BQ112"/>
  <c r="BR112"/>
  <c r="BS112"/>
  <c r="BT112"/>
  <c r="BU112"/>
  <c r="BW112"/>
  <c r="BX112"/>
  <c r="BC113"/>
  <c r="BD113"/>
  <c r="BE113"/>
  <c r="BF113"/>
  <c r="BG113"/>
  <c r="BH113"/>
  <c r="BJ113"/>
  <c r="BK113"/>
  <c r="BL113"/>
  <c r="BM113"/>
  <c r="BN113"/>
  <c r="BO113"/>
  <c r="BP113"/>
  <c r="BQ113"/>
  <c r="BR113"/>
  <c r="BS113"/>
  <c r="BT113"/>
  <c r="BU113"/>
  <c r="BW113"/>
  <c r="BX113"/>
  <c r="BX4"/>
  <c r="CA4"/>
  <c r="BW4"/>
  <c r="BU4"/>
  <c r="BT4"/>
  <c r="BS4"/>
  <c r="BR4"/>
  <c r="BQ4"/>
  <c r="BP4"/>
  <c r="BN4"/>
  <c r="BM4"/>
  <c r="BL4"/>
  <c r="BK4"/>
  <c r="BJ4"/>
  <c r="BH4"/>
  <c r="BG4"/>
  <c r="BF4"/>
  <c r="BE4"/>
  <c r="BD4"/>
  <c r="BC4"/>
  <c r="M58" i="40"/>
  <c r="M57"/>
  <c r="M56"/>
  <c r="M55"/>
  <c r="M54"/>
  <c r="M53"/>
  <c r="M52"/>
  <c r="M51"/>
  <c r="M46"/>
  <c r="M45"/>
  <c r="M44"/>
  <c r="M43"/>
  <c r="M42"/>
  <c r="M41"/>
  <c r="M40"/>
  <c r="M39"/>
  <c r="M34"/>
  <c r="M33"/>
  <c r="M32"/>
  <c r="M31"/>
  <c r="M30"/>
  <c r="M29"/>
  <c r="M28"/>
  <c r="M27"/>
  <c r="M22"/>
  <c r="M21"/>
  <c r="M20"/>
  <c r="M19"/>
  <c r="M18"/>
  <c r="M17"/>
  <c r="M16"/>
  <c r="M15"/>
  <c r="F58"/>
  <c r="F57"/>
  <c r="F56"/>
  <c r="F55"/>
  <c r="F54"/>
  <c r="F53"/>
  <c r="F52"/>
  <c r="F51"/>
  <c r="F46"/>
  <c r="F45"/>
  <c r="F44"/>
  <c r="F43"/>
  <c r="F42"/>
  <c r="F41"/>
  <c r="F40"/>
  <c r="F39"/>
  <c r="F34"/>
  <c r="F33"/>
  <c r="F32"/>
  <c r="F31"/>
  <c r="F30"/>
  <c r="F29"/>
  <c r="F28"/>
  <c r="F27"/>
  <c r="F16"/>
  <c r="F17"/>
  <c r="F18"/>
  <c r="F19"/>
  <c r="F20"/>
  <c r="F21"/>
  <c r="F22"/>
  <c r="F15"/>
  <c r="B15" i="41"/>
  <c r="G7" i="27"/>
  <c r="D163" i="45"/>
  <c r="O8" i="25"/>
  <c r="O9"/>
  <c r="O10"/>
  <c r="O11"/>
  <c r="O12"/>
  <c r="O13"/>
  <c r="O14"/>
  <c r="O15"/>
  <c r="O16"/>
  <c r="O17"/>
  <c r="O18"/>
  <c r="O19"/>
  <c r="O20"/>
  <c r="O21"/>
  <c r="O22"/>
  <c r="O23"/>
  <c r="O24"/>
  <c r="O25"/>
  <c r="O26"/>
  <c r="O27"/>
  <c r="O28"/>
  <c r="O29"/>
  <c r="O30"/>
  <c r="H31"/>
  <c r="O31"/>
  <c r="O32"/>
  <c r="O33"/>
  <c r="O34"/>
  <c r="O35"/>
  <c r="O36"/>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7"/>
  <c r="AL7" i="36"/>
  <c r="AL82"/>
  <c r="AM82" s="1"/>
  <c r="AN82" s="1"/>
  <c r="AL8"/>
  <c r="AM8" s="1"/>
  <c r="AL9"/>
  <c r="AM9" s="1"/>
  <c r="AN9" s="1"/>
  <c r="AL10"/>
  <c r="AM10"/>
  <c r="AL11"/>
  <c r="AL12"/>
  <c r="AL13"/>
  <c r="AM13" s="1"/>
  <c r="AN13" s="1"/>
  <c r="AL14"/>
  <c r="AM14" s="1"/>
  <c r="AN14" s="1"/>
  <c r="AL15"/>
  <c r="AL16"/>
  <c r="AN16" s="1"/>
  <c r="AL17"/>
  <c r="AL18"/>
  <c r="AM18"/>
  <c r="AN18" s="1"/>
  <c r="AL19"/>
  <c r="AM19" s="1"/>
  <c r="AN19" s="1"/>
  <c r="AL20"/>
  <c r="AL21"/>
  <c r="AM21" s="1"/>
  <c r="AL22"/>
  <c r="AM22" s="1"/>
  <c r="AN22" s="1"/>
  <c r="AL23"/>
  <c r="AM23" s="1"/>
  <c r="AL24"/>
  <c r="AL25"/>
  <c r="AL26"/>
  <c r="AL27"/>
  <c r="AM27" s="1"/>
  <c r="AN27" s="1"/>
  <c r="AL28"/>
  <c r="AM28" s="1"/>
  <c r="AN28" s="1"/>
  <c r="AL29"/>
  <c r="AM29" s="1"/>
  <c r="AL30"/>
  <c r="AM30"/>
  <c r="AN30" s="1"/>
  <c r="AL31"/>
  <c r="AM31" s="1"/>
  <c r="AN31" s="1"/>
  <c r="AL32"/>
  <c r="AL33"/>
  <c r="AM33" s="1"/>
  <c r="AN33" s="1"/>
  <c r="AL34"/>
  <c r="AM34" s="1"/>
  <c r="AN34" s="1"/>
  <c r="AL35"/>
  <c r="AM35" s="1"/>
  <c r="AN35" s="1"/>
  <c r="AL36"/>
  <c r="AL37"/>
  <c r="AL38"/>
  <c r="AL39"/>
  <c r="AL40"/>
  <c r="AL41"/>
  <c r="AL42"/>
  <c r="AL43"/>
  <c r="AM43" s="1"/>
  <c r="AN43" s="1"/>
  <c r="AL44"/>
  <c r="AL45"/>
  <c r="AL46"/>
  <c r="AM46" s="1"/>
  <c r="AN46" s="1"/>
  <c r="AL47"/>
  <c r="AM47" s="1"/>
  <c r="AL48"/>
  <c r="AL49"/>
  <c r="AM49" s="1"/>
  <c r="AN49" s="1"/>
  <c r="AL50"/>
  <c r="AL51"/>
  <c r="AM51" s="1"/>
  <c r="AL52"/>
  <c r="AL53"/>
  <c r="AL54"/>
  <c r="AM54" s="1"/>
  <c r="AL55"/>
  <c r="AM55"/>
  <c r="AN55" s="1"/>
  <c r="AL56"/>
  <c r="AL57"/>
  <c r="AL58"/>
  <c r="AL59"/>
  <c r="AM59" s="1"/>
  <c r="AN59" s="1"/>
  <c r="AL60"/>
  <c r="AL61"/>
  <c r="AM61"/>
  <c r="AN61" s="1"/>
  <c r="AL62"/>
  <c r="AL63"/>
  <c r="AL64"/>
  <c r="AL65"/>
  <c r="AL66"/>
  <c r="AL67"/>
  <c r="AM67"/>
  <c r="AN67" s="1"/>
  <c r="AL68"/>
  <c r="AL69"/>
  <c r="AL70"/>
  <c r="AM70"/>
  <c r="AN70" s="1"/>
  <c r="AL71"/>
  <c r="AM71"/>
  <c r="AL72"/>
  <c r="AL73"/>
  <c r="AM73" s="1"/>
  <c r="AN73" s="1"/>
  <c r="AL74"/>
  <c r="AL75"/>
  <c r="AM75"/>
  <c r="AN75" s="1"/>
  <c r="AL76"/>
  <c r="AN76" s="1"/>
  <c r="AL77"/>
  <c r="AM77"/>
  <c r="AL78"/>
  <c r="AL79"/>
  <c r="AM79"/>
  <c r="AL80"/>
  <c r="AM80" s="1"/>
  <c r="AN80" s="1"/>
  <c r="AL81"/>
  <c r="AL83"/>
  <c r="AM83"/>
  <c r="AN83" s="1"/>
  <c r="AL84"/>
  <c r="AM84"/>
  <c r="AL85"/>
  <c r="AL86"/>
  <c r="AL87"/>
  <c r="AM87"/>
  <c r="AN87"/>
  <c r="AL88"/>
  <c r="AM88" s="1"/>
  <c r="AN88" s="1"/>
  <c r="AL89"/>
  <c r="AL90"/>
  <c r="AM90" s="1"/>
  <c r="AL91"/>
  <c r="AL92"/>
  <c r="AL93"/>
  <c r="AL94"/>
  <c r="AM94"/>
  <c r="AN94" s="1"/>
  <c r="AL95"/>
  <c r="AL96"/>
  <c r="AM96" s="1"/>
  <c r="AN96" s="1"/>
  <c r="AL97"/>
  <c r="AL98"/>
  <c r="AM98"/>
  <c r="AN98" s="1"/>
  <c r="AL99"/>
  <c r="AM99"/>
  <c r="AN99"/>
  <c r="AL100"/>
  <c r="AL101"/>
  <c r="AL102"/>
  <c r="AL103"/>
  <c r="AL104"/>
  <c r="AM104"/>
  <c r="AN104" s="1"/>
  <c r="AL105"/>
  <c r="AM105"/>
  <c r="AL106"/>
  <c r="AM106" s="1"/>
  <c r="AL107"/>
  <c r="AL108"/>
  <c r="AL109"/>
  <c r="AL110"/>
  <c r="AL111"/>
  <c r="AM111"/>
  <c r="AL112"/>
  <c r="AM112" s="1"/>
  <c r="AN112" s="1"/>
  <c r="AL113"/>
  <c r="AM113"/>
  <c r="AL114"/>
  <c r="AL115"/>
  <c r="AM115"/>
  <c r="AN115" s="1"/>
  <c r="AL116"/>
  <c r="AM116"/>
  <c r="AN116"/>
  <c r="AM12"/>
  <c r="AN12" s="1"/>
  <c r="AM16"/>
  <c r="AM20"/>
  <c r="AN20"/>
  <c r="AM25"/>
  <c r="AM36"/>
  <c r="AN36" s="1"/>
  <c r="AM41"/>
  <c r="AN41" s="1"/>
  <c r="AM44"/>
  <c r="AM52"/>
  <c r="AN52" s="1"/>
  <c r="AM57"/>
  <c r="AN57"/>
  <c r="AM60"/>
  <c r="AN60" s="1"/>
  <c r="AM65"/>
  <c r="AN65" s="1"/>
  <c r="AM68"/>
  <c r="AM76"/>
  <c r="AN77"/>
  <c r="AM81"/>
  <c r="AN81"/>
  <c r="AM91"/>
  <c r="AN91"/>
  <c r="AM93"/>
  <c r="AM101"/>
  <c r="AM103"/>
  <c r="AM107"/>
  <c r="AN107" s="1"/>
  <c r="AM109"/>
  <c r="AN44"/>
  <c r="AN105"/>
  <c r="AN111"/>
  <c r="AN113"/>
  <c r="AG8" i="25"/>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7"/>
  <c r="AG117"/>
  <c r="AX8" i="21"/>
  <c r="AX10"/>
  <c r="AX110"/>
  <c r="AX14"/>
  <c r="AX27"/>
  <c r="AX34"/>
  <c r="AX38"/>
  <c r="AX50"/>
  <c r="AX60"/>
  <c r="AX68"/>
  <c r="AX74"/>
  <c r="AX87"/>
  <c r="AX92"/>
  <c r="AX96"/>
  <c r="AX103"/>
  <c r="AX106"/>
  <c r="AX108"/>
  <c r="AX115"/>
  <c r="AT31" i="7"/>
  <c r="AT32"/>
  <c r="AT36"/>
  <c r="AT39"/>
  <c r="AT40"/>
  <c r="AT42"/>
  <c r="AT43"/>
  <c r="AT44"/>
  <c r="AT46"/>
  <c r="AT47"/>
  <c r="AT48"/>
  <c r="AT50"/>
  <c r="AT51"/>
  <c r="AT52"/>
  <c r="AT54"/>
  <c r="AT55"/>
  <c r="AT56"/>
  <c r="AT58"/>
  <c r="AT59"/>
  <c r="AT63"/>
  <c r="AT64"/>
  <c r="AT67"/>
  <c r="AT68"/>
  <c r="AT71"/>
  <c r="AT72"/>
  <c r="AT75"/>
  <c r="AT76"/>
  <c r="AT79"/>
  <c r="AT80"/>
  <c r="AT83"/>
  <c r="AT84"/>
  <c r="AT87"/>
  <c r="AT88"/>
  <c r="AT91"/>
  <c r="AT92"/>
  <c r="AT95"/>
  <c r="AT96"/>
  <c r="AT99"/>
  <c r="AT100"/>
  <c r="AT103"/>
  <c r="AT104"/>
  <c r="AT107"/>
  <c r="AT108"/>
  <c r="AT111"/>
  <c r="AT112"/>
  <c r="AT115"/>
  <c r="AT116"/>
  <c r="J7" i="42"/>
  <c r="J8" s="1"/>
  <c r="N195" i="45"/>
  <c r="K195"/>
  <c r="G195"/>
  <c r="D195"/>
  <c r="N194"/>
  <c r="K194"/>
  <c r="G194"/>
  <c r="D194"/>
  <c r="N193"/>
  <c r="K193"/>
  <c r="G193"/>
  <c r="D193"/>
  <c r="N192"/>
  <c r="K192"/>
  <c r="G192"/>
  <c r="D192"/>
  <c r="N191"/>
  <c r="K191"/>
  <c r="G191"/>
  <c r="D191"/>
  <c r="N190"/>
  <c r="K190"/>
  <c r="G190"/>
  <c r="D190"/>
  <c r="N186"/>
  <c r="K186"/>
  <c r="G186"/>
  <c r="D186"/>
  <c r="N185"/>
  <c r="K185"/>
  <c r="G185"/>
  <c r="D185"/>
  <c r="N184"/>
  <c r="K184"/>
  <c r="G184"/>
  <c r="D184"/>
  <c r="N183"/>
  <c r="K183"/>
  <c r="G183"/>
  <c r="D183"/>
  <c r="N182"/>
  <c r="K182"/>
  <c r="G182"/>
  <c r="D182"/>
  <c r="N181"/>
  <c r="K181"/>
  <c r="G181"/>
  <c r="D181"/>
  <c r="N177"/>
  <c r="K177"/>
  <c r="G177"/>
  <c r="D177"/>
  <c r="N176"/>
  <c r="K176"/>
  <c r="G176"/>
  <c r="D176"/>
  <c r="N175"/>
  <c r="K175"/>
  <c r="G175"/>
  <c r="D175"/>
  <c r="N174"/>
  <c r="K174"/>
  <c r="G174"/>
  <c r="D174"/>
  <c r="N173"/>
  <c r="K173"/>
  <c r="G173"/>
  <c r="D173"/>
  <c r="N172"/>
  <c r="K172"/>
  <c r="G172"/>
  <c r="D172"/>
  <c r="N168"/>
  <c r="K168"/>
  <c r="G168"/>
  <c r="D168"/>
  <c r="N167"/>
  <c r="K167"/>
  <c r="G167"/>
  <c r="D167"/>
  <c r="N166"/>
  <c r="K166"/>
  <c r="G166"/>
  <c r="D166"/>
  <c r="N165"/>
  <c r="K165"/>
  <c r="G165"/>
  <c r="D165"/>
  <c r="N164"/>
  <c r="K164"/>
  <c r="G164"/>
  <c r="D164"/>
  <c r="N163"/>
  <c r="K163"/>
  <c r="G163"/>
  <c r="K156"/>
  <c r="N156" s="1"/>
  <c r="M156"/>
  <c r="I156"/>
  <c r="D156"/>
  <c r="G156" s="1"/>
  <c r="F156"/>
  <c r="B156"/>
  <c r="M154"/>
  <c r="Z78" i="44"/>
  <c r="J154" i="45"/>
  <c r="F154"/>
  <c r="Y78" i="44"/>
  <c r="C154" i="45"/>
  <c r="K153"/>
  <c r="N153" s="1"/>
  <c r="M153"/>
  <c r="I153"/>
  <c r="D153"/>
  <c r="G153" s="1"/>
  <c r="F153"/>
  <c r="B153"/>
  <c r="M151"/>
  <c r="Z77" i="44"/>
  <c r="J151" i="45"/>
  <c r="F151"/>
  <c r="Y77" i="44"/>
  <c r="C151" i="45"/>
  <c r="K150"/>
  <c r="N150" s="1"/>
  <c r="M150"/>
  <c r="I150"/>
  <c r="D150"/>
  <c r="G150" s="1"/>
  <c r="F150"/>
  <c r="B150"/>
  <c r="M148"/>
  <c r="Z76" i="44"/>
  <c r="J148" i="45"/>
  <c r="F148"/>
  <c r="Y76" i="44"/>
  <c r="C148" i="45"/>
  <c r="K147"/>
  <c r="N147" s="1"/>
  <c r="M147"/>
  <c r="I147"/>
  <c r="D147"/>
  <c r="G147" s="1"/>
  <c r="F147"/>
  <c r="B147"/>
  <c r="M145"/>
  <c r="Z75" i="44"/>
  <c r="J145" i="45"/>
  <c r="F145"/>
  <c r="Y75" i="44"/>
  <c r="C145" i="45"/>
  <c r="K144"/>
  <c r="N144" s="1"/>
  <c r="M144"/>
  <c r="I144"/>
  <c r="D144"/>
  <c r="G144" s="1"/>
  <c r="F144"/>
  <c r="B144"/>
  <c r="M142"/>
  <c r="Z74" i="44"/>
  <c r="J142" i="45"/>
  <c r="F142"/>
  <c r="Y74" i="44"/>
  <c r="C142" i="45"/>
  <c r="K141"/>
  <c r="N141" s="1"/>
  <c r="M141"/>
  <c r="I141"/>
  <c r="D141"/>
  <c r="G141" s="1"/>
  <c r="F141"/>
  <c r="B141"/>
  <c r="M139"/>
  <c r="Z73" i="44"/>
  <c r="J139" i="45"/>
  <c r="F139"/>
  <c r="Y73" i="44"/>
  <c r="C139" i="45"/>
  <c r="K138"/>
  <c r="N138" s="1"/>
  <c r="M138"/>
  <c r="I138"/>
  <c r="D138"/>
  <c r="G138" s="1"/>
  <c r="F138"/>
  <c r="B138"/>
  <c r="M136"/>
  <c r="Z72" i="44"/>
  <c r="J136" i="45"/>
  <c r="F136"/>
  <c r="Y72" i="44"/>
  <c r="C136" i="45"/>
  <c r="K135"/>
  <c r="N135" s="1"/>
  <c r="M135"/>
  <c r="I135"/>
  <c r="D135"/>
  <c r="G135" s="1"/>
  <c r="F135"/>
  <c r="B135"/>
  <c r="M133"/>
  <c r="Z71" i="44"/>
  <c r="J133" i="45"/>
  <c r="F133"/>
  <c r="Y71" i="44"/>
  <c r="C133" i="45"/>
  <c r="K132"/>
  <c r="N132" s="1"/>
  <c r="M132"/>
  <c r="I132"/>
  <c r="D132"/>
  <c r="G132" s="1"/>
  <c r="F132"/>
  <c r="B132"/>
  <c r="M130"/>
  <c r="Z70" i="44"/>
  <c r="J130" i="45"/>
  <c r="F130"/>
  <c r="Y70" i="44"/>
  <c r="C130" i="45"/>
  <c r="K129"/>
  <c r="N129" s="1"/>
  <c r="M129"/>
  <c r="I129"/>
  <c r="D129"/>
  <c r="G129" s="1"/>
  <c r="F129"/>
  <c r="B129"/>
  <c r="M127"/>
  <c r="Z69" i="44"/>
  <c r="J127" i="45"/>
  <c r="F127"/>
  <c r="Y69" i="44"/>
  <c r="C127" i="45"/>
  <c r="K126"/>
  <c r="N126" s="1"/>
  <c r="M126"/>
  <c r="I126"/>
  <c r="D126"/>
  <c r="G126" s="1"/>
  <c r="F126"/>
  <c r="B126"/>
  <c r="M124"/>
  <c r="Z68" i="44"/>
  <c r="J124" i="45"/>
  <c r="F124"/>
  <c r="Y68" i="44"/>
  <c r="C124" i="45"/>
  <c r="K123"/>
  <c r="N123" s="1"/>
  <c r="M123"/>
  <c r="I123"/>
  <c r="D123"/>
  <c r="G123" s="1"/>
  <c r="F123"/>
  <c r="B123"/>
  <c r="M121"/>
  <c r="Z67" i="44"/>
  <c r="J121" i="45"/>
  <c r="F121"/>
  <c r="Y67" i="44"/>
  <c r="C121" i="45"/>
  <c r="K120"/>
  <c r="N120" s="1"/>
  <c r="M120"/>
  <c r="I120"/>
  <c r="D120"/>
  <c r="G120" s="1"/>
  <c r="F120"/>
  <c r="B120"/>
  <c r="M118"/>
  <c r="Z66" i="44"/>
  <c r="J118" i="45"/>
  <c r="F118"/>
  <c r="Y66" i="44"/>
  <c r="C118" i="45"/>
  <c r="K117"/>
  <c r="N117" s="1"/>
  <c r="M117"/>
  <c r="I117"/>
  <c r="D117"/>
  <c r="G117" s="1"/>
  <c r="F117"/>
  <c r="B117"/>
  <c r="M115"/>
  <c r="Z65" i="44"/>
  <c r="J115" i="45"/>
  <c r="F115"/>
  <c r="Y65" i="44"/>
  <c r="C115" i="45"/>
  <c r="K114"/>
  <c r="N114" s="1"/>
  <c r="M114"/>
  <c r="I114"/>
  <c r="D114"/>
  <c r="G114" s="1"/>
  <c r="F114"/>
  <c r="B114"/>
  <c r="M112"/>
  <c r="Z64" i="44"/>
  <c r="J112" i="45"/>
  <c r="F112"/>
  <c r="Y64" i="44"/>
  <c r="C112" i="45"/>
  <c r="K111"/>
  <c r="N111" s="1"/>
  <c r="M111"/>
  <c r="I111"/>
  <c r="D111"/>
  <c r="G111" s="1"/>
  <c r="F111"/>
  <c r="B111"/>
  <c r="M109"/>
  <c r="Z63" i="44"/>
  <c r="J109" i="45"/>
  <c r="F109"/>
  <c r="Y63" i="44"/>
  <c r="C109" i="45"/>
  <c r="K108"/>
  <c r="N108" s="1"/>
  <c r="M108"/>
  <c r="I108"/>
  <c r="D108"/>
  <c r="G108" s="1"/>
  <c r="F108"/>
  <c r="B108"/>
  <c r="M106"/>
  <c r="Z62" i="44"/>
  <c r="J106" i="45"/>
  <c r="F106"/>
  <c r="Y62" i="44"/>
  <c r="C106" i="45"/>
  <c r="K105"/>
  <c r="N105" s="1"/>
  <c r="M105"/>
  <c r="I105"/>
  <c r="D105"/>
  <c r="G105" s="1"/>
  <c r="F105"/>
  <c r="B105"/>
  <c r="M103"/>
  <c r="Z61" i="44"/>
  <c r="J103" i="45"/>
  <c r="F103"/>
  <c r="Y61" i="44"/>
  <c r="C103" i="45"/>
  <c r="K102"/>
  <c r="N102" s="1"/>
  <c r="M102"/>
  <c r="I102"/>
  <c r="D102"/>
  <c r="G102" s="1"/>
  <c r="F102"/>
  <c r="B102"/>
  <c r="M100"/>
  <c r="Z60" i="44"/>
  <c r="J100" i="45"/>
  <c r="F100"/>
  <c r="Y60" i="44"/>
  <c r="C100" i="45"/>
  <c r="K99"/>
  <c r="N99" s="1"/>
  <c r="M99"/>
  <c r="I99"/>
  <c r="D99"/>
  <c r="G99" s="1"/>
  <c r="F99"/>
  <c r="B99"/>
  <c r="M97"/>
  <c r="Z59" i="44"/>
  <c r="J97" i="45"/>
  <c r="F97"/>
  <c r="Y59" i="44"/>
  <c r="C97" i="45"/>
  <c r="K96"/>
  <c r="N96" s="1"/>
  <c r="M96"/>
  <c r="I96"/>
  <c r="D96"/>
  <c r="G96" s="1"/>
  <c r="F96"/>
  <c r="B96"/>
  <c r="M94"/>
  <c r="Z58" i="44"/>
  <c r="J94" i="45"/>
  <c r="F94"/>
  <c r="Y58" i="44"/>
  <c r="C94" i="45"/>
  <c r="K93"/>
  <c r="N93" s="1"/>
  <c r="M93"/>
  <c r="I93"/>
  <c r="D93"/>
  <c r="G93" s="1"/>
  <c r="F93"/>
  <c r="B93"/>
  <c r="M91"/>
  <c r="Z57" i="44"/>
  <c r="J91" i="45"/>
  <c r="F91"/>
  <c r="Y57" i="44"/>
  <c r="C91" i="45"/>
  <c r="K90"/>
  <c r="N90" s="1"/>
  <c r="M90"/>
  <c r="I90"/>
  <c r="D90"/>
  <c r="G90" s="1"/>
  <c r="F90"/>
  <c r="B90"/>
  <c r="M88"/>
  <c r="Z56" i="44"/>
  <c r="J88" i="45"/>
  <c r="F88"/>
  <c r="Y56" i="44"/>
  <c r="C88" i="45"/>
  <c r="K87"/>
  <c r="N87" s="1"/>
  <c r="M87"/>
  <c r="I87"/>
  <c r="D87"/>
  <c r="G87" s="1"/>
  <c r="F87"/>
  <c r="B87"/>
  <c r="M85"/>
  <c r="Z55" i="44"/>
  <c r="J85" i="45"/>
  <c r="F85"/>
  <c r="Y55" i="44"/>
  <c r="C85" i="45"/>
  <c r="K84"/>
  <c r="N84" s="1"/>
  <c r="M84"/>
  <c r="I84"/>
  <c r="B84"/>
  <c r="D84"/>
  <c r="G84" s="1"/>
  <c r="F84"/>
  <c r="M82"/>
  <c r="Z54" i="44"/>
  <c r="J82" i="45"/>
  <c r="F82"/>
  <c r="Y54" i="44"/>
  <c r="C82" i="45"/>
  <c r="K79"/>
  <c r="N79" s="1"/>
  <c r="M79"/>
  <c r="I79"/>
  <c r="B79"/>
  <c r="D79"/>
  <c r="G79" s="1"/>
  <c r="F79"/>
  <c r="M77"/>
  <c r="Z37" i="44"/>
  <c r="J77" i="45"/>
  <c r="F77"/>
  <c r="Y37" i="44"/>
  <c r="C77" i="45"/>
  <c r="K76"/>
  <c r="N76" s="1"/>
  <c r="M76"/>
  <c r="I76"/>
  <c r="D76"/>
  <c r="G76" s="1"/>
  <c r="F76"/>
  <c r="B76"/>
  <c r="M74"/>
  <c r="Z36" i="44"/>
  <c r="J74" i="45"/>
  <c r="F74"/>
  <c r="Y36" i="44"/>
  <c r="C74" i="45"/>
  <c r="K73"/>
  <c r="N73" s="1"/>
  <c r="M73"/>
  <c r="I73"/>
  <c r="D73"/>
  <c r="G73" s="1"/>
  <c r="F73"/>
  <c r="B73"/>
  <c r="M71"/>
  <c r="Z35" i="44"/>
  <c r="J71" i="45"/>
  <c r="F71"/>
  <c r="Y35" i="44"/>
  <c r="C71" i="45"/>
  <c r="K70"/>
  <c r="N70" s="1"/>
  <c r="M70"/>
  <c r="I70"/>
  <c r="D70"/>
  <c r="G70" s="1"/>
  <c r="F70"/>
  <c r="B70"/>
  <c r="M68"/>
  <c r="Z34" i="44"/>
  <c r="J68" i="45"/>
  <c r="F68"/>
  <c r="Y34" i="44"/>
  <c r="C68" i="45"/>
  <c r="K67"/>
  <c r="N67" s="1"/>
  <c r="M67"/>
  <c r="I67"/>
  <c r="D67"/>
  <c r="G67" s="1"/>
  <c r="F67"/>
  <c r="B67"/>
  <c r="M65"/>
  <c r="Z33" i="44"/>
  <c r="J65" i="45"/>
  <c r="F65"/>
  <c r="Y33" i="44"/>
  <c r="C65" i="45"/>
  <c r="K64"/>
  <c r="N64" s="1"/>
  <c r="M64"/>
  <c r="I64"/>
  <c r="D64"/>
  <c r="G64" s="1"/>
  <c r="F64"/>
  <c r="B64"/>
  <c r="M62"/>
  <c r="Z32" i="44"/>
  <c r="J62" i="45"/>
  <c r="F62"/>
  <c r="Y32" i="44"/>
  <c r="C62" i="45"/>
  <c r="K61"/>
  <c r="N61" s="1"/>
  <c r="M61"/>
  <c r="I61"/>
  <c r="D61"/>
  <c r="G61" s="1"/>
  <c r="F61"/>
  <c r="B61"/>
  <c r="M59"/>
  <c r="Z31" i="44"/>
  <c r="J59" i="45"/>
  <c r="F59"/>
  <c r="Y31" i="44"/>
  <c r="C59" i="45"/>
  <c r="K58"/>
  <c r="N58" s="1"/>
  <c r="M58"/>
  <c r="I58"/>
  <c r="D58"/>
  <c r="G58" s="1"/>
  <c r="F58"/>
  <c r="B58"/>
  <c r="M56"/>
  <c r="Z30" i="44"/>
  <c r="J56" i="45"/>
  <c r="F56"/>
  <c r="Y30" i="44"/>
  <c r="C56" i="45"/>
  <c r="K55"/>
  <c r="N55" s="1"/>
  <c r="M55"/>
  <c r="I55"/>
  <c r="D55"/>
  <c r="G55" s="1"/>
  <c r="F55"/>
  <c r="B55"/>
  <c r="M53"/>
  <c r="Z29" i="44"/>
  <c r="J53" i="45"/>
  <c r="F53"/>
  <c r="Y29" i="44"/>
  <c r="C53" i="45"/>
  <c r="K52"/>
  <c r="N52" s="1"/>
  <c r="M52"/>
  <c r="I52"/>
  <c r="D52"/>
  <c r="G52" s="1"/>
  <c r="F52"/>
  <c r="B52"/>
  <c r="M50"/>
  <c r="Z28" i="44"/>
  <c r="J50" i="45"/>
  <c r="F50"/>
  <c r="Y28" i="44"/>
  <c r="C50" i="45"/>
  <c r="K49"/>
  <c r="N49" s="1"/>
  <c r="M49"/>
  <c r="I49"/>
  <c r="D49"/>
  <c r="G49" s="1"/>
  <c r="F49"/>
  <c r="B49"/>
  <c r="M47"/>
  <c r="Z27" i="44"/>
  <c r="J47" i="45"/>
  <c r="F47"/>
  <c r="Y27" i="44"/>
  <c r="C47" i="45"/>
  <c r="K46"/>
  <c r="N46" s="1"/>
  <c r="M46"/>
  <c r="I46"/>
  <c r="D46"/>
  <c r="G46" s="1"/>
  <c r="F46"/>
  <c r="B46"/>
  <c r="M44"/>
  <c r="Z26" i="44"/>
  <c r="J44" i="45"/>
  <c r="F44"/>
  <c r="Y26" i="44"/>
  <c r="C44" i="45"/>
  <c r="K43"/>
  <c r="N43" s="1"/>
  <c r="M43"/>
  <c r="I43"/>
  <c r="D43"/>
  <c r="G43" s="1"/>
  <c r="F43"/>
  <c r="B43"/>
  <c r="M41"/>
  <c r="Z25" i="44"/>
  <c r="J41" i="45"/>
  <c r="F41"/>
  <c r="Y25" i="44"/>
  <c r="C41" i="45"/>
  <c r="K40"/>
  <c r="N40" s="1"/>
  <c r="M40"/>
  <c r="I40"/>
  <c r="D40"/>
  <c r="G40" s="1"/>
  <c r="F40"/>
  <c r="B40"/>
  <c r="M38"/>
  <c r="Z24" i="44"/>
  <c r="J38" i="45"/>
  <c r="F38"/>
  <c r="Y24" i="44"/>
  <c r="C38" i="45"/>
  <c r="K37"/>
  <c r="N37" s="1"/>
  <c r="M37"/>
  <c r="I37"/>
  <c r="D37"/>
  <c r="G37" s="1"/>
  <c r="F37"/>
  <c r="B37"/>
  <c r="M35"/>
  <c r="Z23" i="44"/>
  <c r="J35" i="45"/>
  <c r="F35"/>
  <c r="Y23" i="44"/>
  <c r="C35" i="45"/>
  <c r="K34"/>
  <c r="N34" s="1"/>
  <c r="M34"/>
  <c r="I34"/>
  <c r="D34"/>
  <c r="G34" s="1"/>
  <c r="F34"/>
  <c r="B34"/>
  <c r="M32"/>
  <c r="Z22" i="44"/>
  <c r="J32" i="45"/>
  <c r="F32"/>
  <c r="Y22" i="44"/>
  <c r="C32" i="45"/>
  <c r="K31"/>
  <c r="N31" s="1"/>
  <c r="M31"/>
  <c r="I31"/>
  <c r="D31"/>
  <c r="G31" s="1"/>
  <c r="F31"/>
  <c r="B31"/>
  <c r="M29"/>
  <c r="Z21" i="44"/>
  <c r="J29" i="45"/>
  <c r="F29"/>
  <c r="Y21" i="44"/>
  <c r="C29" i="45"/>
  <c r="K28"/>
  <c r="N28" s="1"/>
  <c r="M28"/>
  <c r="I28"/>
  <c r="D28"/>
  <c r="G28" s="1"/>
  <c r="F28"/>
  <c r="B28"/>
  <c r="M26"/>
  <c r="Z20" i="44"/>
  <c r="J26" i="45"/>
  <c r="F26"/>
  <c r="Y20" i="44"/>
  <c r="C26" i="45"/>
  <c r="K25"/>
  <c r="N25" s="1"/>
  <c r="M25"/>
  <c r="I25"/>
  <c r="D25"/>
  <c r="G25" s="1"/>
  <c r="F25"/>
  <c r="B25"/>
  <c r="M23"/>
  <c r="Z19" i="44"/>
  <c r="J23" i="45"/>
  <c r="F23"/>
  <c r="Y19" i="44"/>
  <c r="C23" i="45"/>
  <c r="K22"/>
  <c r="N22" s="1"/>
  <c r="M22"/>
  <c r="I22"/>
  <c r="D22"/>
  <c r="G22" s="1"/>
  <c r="F22"/>
  <c r="B22"/>
  <c r="M20"/>
  <c r="Z18" i="44"/>
  <c r="J20" i="45"/>
  <c r="F20"/>
  <c r="Y18" i="44"/>
  <c r="C20" i="45"/>
  <c r="K19"/>
  <c r="N19" s="1"/>
  <c r="M19"/>
  <c r="I19"/>
  <c r="D19"/>
  <c r="G19" s="1"/>
  <c r="F19"/>
  <c r="B19"/>
  <c r="M17"/>
  <c r="Z17" i="44"/>
  <c r="J17" i="45"/>
  <c r="F17"/>
  <c r="Y17" i="44"/>
  <c r="C17" i="45"/>
  <c r="K16"/>
  <c r="N16" s="1"/>
  <c r="M16"/>
  <c r="I16"/>
  <c r="D16"/>
  <c r="G16" s="1"/>
  <c r="F16"/>
  <c r="B16"/>
  <c r="M14"/>
  <c r="Z16" i="44"/>
  <c r="J14" i="45"/>
  <c r="F14"/>
  <c r="Y16" i="44"/>
  <c r="C14" i="45"/>
  <c r="K13"/>
  <c r="N13" s="1"/>
  <c r="M13"/>
  <c r="I13"/>
  <c r="D13"/>
  <c r="G13" s="1"/>
  <c r="F13"/>
  <c r="B13"/>
  <c r="M11"/>
  <c r="Z15" i="44"/>
  <c r="J11" i="45"/>
  <c r="F11"/>
  <c r="Y15" i="44"/>
  <c r="C11" i="45"/>
  <c r="K10"/>
  <c r="N10" s="1"/>
  <c r="M10"/>
  <c r="I10"/>
  <c r="D10"/>
  <c r="G10" s="1"/>
  <c r="F10"/>
  <c r="B10"/>
  <c r="M8"/>
  <c r="Z14" i="44"/>
  <c r="J8" i="45"/>
  <c r="F8"/>
  <c r="Y14" i="44"/>
  <c r="C8" i="45"/>
  <c r="K7"/>
  <c r="N7" s="1"/>
  <c r="M7"/>
  <c r="I7"/>
  <c r="B7"/>
  <c r="D7"/>
  <c r="G7" s="1"/>
  <c r="F7"/>
  <c r="M5"/>
  <c r="Z13" i="44"/>
  <c r="J5" i="45"/>
  <c r="F5"/>
  <c r="Y13" i="44"/>
  <c r="C5" i="45"/>
  <c r="N195" i="43"/>
  <c r="K195"/>
  <c r="G195"/>
  <c r="D195"/>
  <c r="N194"/>
  <c r="K194"/>
  <c r="G194"/>
  <c r="D194"/>
  <c r="N193"/>
  <c r="K193"/>
  <c r="G193"/>
  <c r="D193"/>
  <c r="N192"/>
  <c r="K192"/>
  <c r="G192"/>
  <c r="D192"/>
  <c r="N191"/>
  <c r="K191"/>
  <c r="G191"/>
  <c r="D191"/>
  <c r="N190"/>
  <c r="K190"/>
  <c r="G190"/>
  <c r="D190"/>
  <c r="N186"/>
  <c r="K186"/>
  <c r="G186"/>
  <c r="D186"/>
  <c r="N185"/>
  <c r="K185"/>
  <c r="G185"/>
  <c r="D185"/>
  <c r="N184"/>
  <c r="K184"/>
  <c r="G184"/>
  <c r="D184"/>
  <c r="N183"/>
  <c r="K183"/>
  <c r="G183"/>
  <c r="D183"/>
  <c r="N182"/>
  <c r="K182"/>
  <c r="G182"/>
  <c r="D182"/>
  <c r="N181"/>
  <c r="K181"/>
  <c r="G181"/>
  <c r="D181"/>
  <c r="N177"/>
  <c r="K177"/>
  <c r="G177"/>
  <c r="D177"/>
  <c r="N176"/>
  <c r="K176"/>
  <c r="G176"/>
  <c r="D176"/>
  <c r="N175"/>
  <c r="K175"/>
  <c r="G175"/>
  <c r="D175"/>
  <c r="N174"/>
  <c r="K174"/>
  <c r="G174"/>
  <c r="D174"/>
  <c r="N173"/>
  <c r="K173"/>
  <c r="G173"/>
  <c r="D173"/>
  <c r="N172"/>
  <c r="K172"/>
  <c r="G172"/>
  <c r="D172"/>
  <c r="N168"/>
  <c r="K168"/>
  <c r="G168"/>
  <c r="D168"/>
  <c r="N167"/>
  <c r="K167"/>
  <c r="G167"/>
  <c r="D167"/>
  <c r="N166"/>
  <c r="K166"/>
  <c r="G166"/>
  <c r="D166"/>
  <c r="N165"/>
  <c r="K165"/>
  <c r="G165"/>
  <c r="D165"/>
  <c r="N164"/>
  <c r="K164"/>
  <c r="G164"/>
  <c r="D164"/>
  <c r="N163"/>
  <c r="K163"/>
  <c r="G163"/>
  <c r="D163"/>
  <c r="K156"/>
  <c r="N156" s="1"/>
  <c r="M156"/>
  <c r="I156"/>
  <c r="B156"/>
  <c r="D156"/>
  <c r="G156" s="1"/>
  <c r="F156"/>
  <c r="M154"/>
  <c r="Z78" i="42"/>
  <c r="J154" i="43"/>
  <c r="F154"/>
  <c r="Y78" i="42"/>
  <c r="C154" i="43"/>
  <c r="K153"/>
  <c r="N153" s="1"/>
  <c r="M153"/>
  <c r="I153"/>
  <c r="D153"/>
  <c r="G153" s="1"/>
  <c r="F153"/>
  <c r="B153"/>
  <c r="M151"/>
  <c r="Z77" i="42"/>
  <c r="J151" i="43"/>
  <c r="F151"/>
  <c r="Y77" i="42"/>
  <c r="C151" i="43"/>
  <c r="K150"/>
  <c r="N150" s="1"/>
  <c r="M150"/>
  <c r="I150"/>
  <c r="D150"/>
  <c r="G150" s="1"/>
  <c r="F150"/>
  <c r="B150"/>
  <c r="M148"/>
  <c r="Z76" i="42"/>
  <c r="J148" i="43"/>
  <c r="F148"/>
  <c r="Y76" i="42"/>
  <c r="C148" i="43"/>
  <c r="K147"/>
  <c r="N147" s="1"/>
  <c r="M147"/>
  <c r="I147"/>
  <c r="D147"/>
  <c r="G147" s="1"/>
  <c r="F147"/>
  <c r="B147"/>
  <c r="M145"/>
  <c r="Z75" i="42"/>
  <c r="J145" i="43"/>
  <c r="F145"/>
  <c r="Y75" i="42"/>
  <c r="C145" i="43"/>
  <c r="K144"/>
  <c r="N144" s="1"/>
  <c r="M144"/>
  <c r="I144"/>
  <c r="D144"/>
  <c r="G144" s="1"/>
  <c r="F144"/>
  <c r="B144"/>
  <c r="M142"/>
  <c r="Z74" i="42"/>
  <c r="J142" i="43"/>
  <c r="F142"/>
  <c r="Y74" i="42"/>
  <c r="C142" i="43"/>
  <c r="K141"/>
  <c r="N141" s="1"/>
  <c r="M141"/>
  <c r="I141"/>
  <c r="D141"/>
  <c r="G141" s="1"/>
  <c r="F141"/>
  <c r="B141"/>
  <c r="M139"/>
  <c r="Z73" i="42"/>
  <c r="J139" i="43"/>
  <c r="F139"/>
  <c r="Y73" i="42"/>
  <c r="C139" i="43"/>
  <c r="K138"/>
  <c r="N138" s="1"/>
  <c r="M138"/>
  <c r="I138"/>
  <c r="D138"/>
  <c r="G138" s="1"/>
  <c r="F138"/>
  <c r="B138"/>
  <c r="M136"/>
  <c r="Z72" i="42"/>
  <c r="J136" i="43"/>
  <c r="F136"/>
  <c r="Y72" i="42"/>
  <c r="C136" i="43"/>
  <c r="K135"/>
  <c r="N135" s="1"/>
  <c r="M135"/>
  <c r="I135"/>
  <c r="D135"/>
  <c r="G135" s="1"/>
  <c r="F135"/>
  <c r="B135"/>
  <c r="M133"/>
  <c r="Z71" i="42"/>
  <c r="J133" i="43"/>
  <c r="F133"/>
  <c r="Y71" i="42"/>
  <c r="C133" i="43"/>
  <c r="K132"/>
  <c r="N132" s="1"/>
  <c r="M132"/>
  <c r="I132"/>
  <c r="D132"/>
  <c r="G132" s="1"/>
  <c r="F132"/>
  <c r="B132"/>
  <c r="M130"/>
  <c r="Z70" i="42"/>
  <c r="J130" i="43"/>
  <c r="F130"/>
  <c r="Y70" i="42"/>
  <c r="C130" i="43"/>
  <c r="K129"/>
  <c r="N129" s="1"/>
  <c r="M129"/>
  <c r="I129"/>
  <c r="D129"/>
  <c r="G129" s="1"/>
  <c r="F129"/>
  <c r="B129"/>
  <c r="M127"/>
  <c r="Z69" i="42"/>
  <c r="J127" i="43"/>
  <c r="F127"/>
  <c r="Y69" i="42"/>
  <c r="C127" i="43"/>
  <c r="K126"/>
  <c r="N126" s="1"/>
  <c r="M126"/>
  <c r="I126"/>
  <c r="D126"/>
  <c r="G126" s="1"/>
  <c r="F126"/>
  <c r="B126"/>
  <c r="M124"/>
  <c r="Z68" i="42"/>
  <c r="J124" i="43"/>
  <c r="F124"/>
  <c r="Y68" i="42"/>
  <c r="C124" i="43"/>
  <c r="K123"/>
  <c r="N123" s="1"/>
  <c r="M123"/>
  <c r="I123"/>
  <c r="D123"/>
  <c r="G123" s="1"/>
  <c r="F123"/>
  <c r="B123"/>
  <c r="M121"/>
  <c r="Z67" i="42"/>
  <c r="J121" i="43"/>
  <c r="F121"/>
  <c r="Y67" i="42"/>
  <c r="C121" i="43"/>
  <c r="K120"/>
  <c r="N120" s="1"/>
  <c r="M120"/>
  <c r="I120"/>
  <c r="D120"/>
  <c r="G120" s="1"/>
  <c r="F120"/>
  <c r="B120"/>
  <c r="M118"/>
  <c r="Z66" i="42"/>
  <c r="J118" i="43"/>
  <c r="F118"/>
  <c r="Y66" i="42"/>
  <c r="C118" i="43"/>
  <c r="K117"/>
  <c r="N117" s="1"/>
  <c r="M117"/>
  <c r="I117"/>
  <c r="D117"/>
  <c r="G117" s="1"/>
  <c r="F117"/>
  <c r="B117"/>
  <c r="M115"/>
  <c r="Z65" i="42"/>
  <c r="J115" i="43"/>
  <c r="F115"/>
  <c r="Y65" i="42"/>
  <c r="C115" i="43"/>
  <c r="K114"/>
  <c r="N114" s="1"/>
  <c r="M114"/>
  <c r="I114"/>
  <c r="D114"/>
  <c r="G114" s="1"/>
  <c r="F114"/>
  <c r="B114"/>
  <c r="M112"/>
  <c r="Z64" i="42"/>
  <c r="J112" i="43"/>
  <c r="F112"/>
  <c r="Y64" i="42"/>
  <c r="C112" i="43"/>
  <c r="K111"/>
  <c r="N111" s="1"/>
  <c r="M111"/>
  <c r="I111"/>
  <c r="D111"/>
  <c r="G111" s="1"/>
  <c r="F111"/>
  <c r="B111"/>
  <c r="M109"/>
  <c r="Z63" i="42"/>
  <c r="J109" i="43"/>
  <c r="F109"/>
  <c r="Y63" i="42"/>
  <c r="C109" i="43"/>
  <c r="K108"/>
  <c r="N108" s="1"/>
  <c r="M108"/>
  <c r="I108"/>
  <c r="D108"/>
  <c r="G108" s="1"/>
  <c r="F108"/>
  <c r="B108"/>
  <c r="M106"/>
  <c r="Z62" i="42"/>
  <c r="J106" i="43"/>
  <c r="F106"/>
  <c r="Y62" i="42"/>
  <c r="C106" i="43"/>
  <c r="K105"/>
  <c r="N105" s="1"/>
  <c r="M105"/>
  <c r="I105"/>
  <c r="D105"/>
  <c r="G105" s="1"/>
  <c r="F105"/>
  <c r="B105"/>
  <c r="M103"/>
  <c r="Z61" i="42"/>
  <c r="J103" i="43"/>
  <c r="F103"/>
  <c r="Y61" i="42"/>
  <c r="C103" i="43"/>
  <c r="K102"/>
  <c r="N102" s="1"/>
  <c r="M102"/>
  <c r="I102"/>
  <c r="D102"/>
  <c r="G102" s="1"/>
  <c r="F102"/>
  <c r="B102"/>
  <c r="M100"/>
  <c r="Z60" i="42"/>
  <c r="J100" i="43"/>
  <c r="F100"/>
  <c r="Y60" i="42"/>
  <c r="C100" i="43"/>
  <c r="K99"/>
  <c r="N99" s="1"/>
  <c r="M99"/>
  <c r="I99"/>
  <c r="D99"/>
  <c r="G99" s="1"/>
  <c r="F99"/>
  <c r="B99"/>
  <c r="M97"/>
  <c r="Z59" i="42"/>
  <c r="J97" i="43"/>
  <c r="F97"/>
  <c r="Y59" i="42"/>
  <c r="C97" i="43"/>
  <c r="K96"/>
  <c r="N96" s="1"/>
  <c r="M96"/>
  <c r="I96"/>
  <c r="D96"/>
  <c r="G96" s="1"/>
  <c r="F96"/>
  <c r="B96"/>
  <c r="M94"/>
  <c r="Z58" i="42"/>
  <c r="J94" i="43"/>
  <c r="F94"/>
  <c r="Y58" i="42"/>
  <c r="C94" i="43"/>
  <c r="K93"/>
  <c r="N93" s="1"/>
  <c r="M93"/>
  <c r="I93"/>
  <c r="D93"/>
  <c r="G93" s="1"/>
  <c r="F93"/>
  <c r="B93"/>
  <c r="M91"/>
  <c r="Z57" i="42"/>
  <c r="J91" i="43"/>
  <c r="F91"/>
  <c r="Y57" i="42"/>
  <c r="C91" i="43"/>
  <c r="K90"/>
  <c r="N90" s="1"/>
  <c r="M90"/>
  <c r="I90"/>
  <c r="D90"/>
  <c r="G90" s="1"/>
  <c r="F90"/>
  <c r="B90"/>
  <c r="M88"/>
  <c r="Z56" i="42"/>
  <c r="J88" i="43"/>
  <c r="F88"/>
  <c r="Y56" i="42"/>
  <c r="C88" i="43"/>
  <c r="K87"/>
  <c r="N87" s="1"/>
  <c r="M87"/>
  <c r="I87"/>
  <c r="D87"/>
  <c r="G87" s="1"/>
  <c r="F87"/>
  <c r="B87"/>
  <c r="M85"/>
  <c r="Z55" i="42"/>
  <c r="J85" i="43"/>
  <c r="F85"/>
  <c r="Y55" i="42"/>
  <c r="C85" i="43"/>
  <c r="K84"/>
  <c r="N84" s="1"/>
  <c r="M84"/>
  <c r="I84"/>
  <c r="B84"/>
  <c r="D84"/>
  <c r="G84" s="1"/>
  <c r="F84"/>
  <c r="M82"/>
  <c r="Z54" i="42"/>
  <c r="J82" i="43"/>
  <c r="F82"/>
  <c r="Y54" i="42"/>
  <c r="C82" i="43"/>
  <c r="K79"/>
  <c r="N79" s="1"/>
  <c r="M79"/>
  <c r="I79"/>
  <c r="B79"/>
  <c r="D79"/>
  <c r="G79" s="1"/>
  <c r="M77"/>
  <c r="Z37" i="42"/>
  <c r="J77" i="43"/>
  <c r="F77"/>
  <c r="Y37" i="42"/>
  <c r="C77" i="43"/>
  <c r="K76"/>
  <c r="N76" s="1"/>
  <c r="M76"/>
  <c r="I76"/>
  <c r="D76"/>
  <c r="G76" s="1"/>
  <c r="F76"/>
  <c r="B76"/>
  <c r="M74"/>
  <c r="Z36" i="42"/>
  <c r="J74" i="43"/>
  <c r="F74"/>
  <c r="Y36" i="42"/>
  <c r="C74" i="43"/>
  <c r="K73"/>
  <c r="N73" s="1"/>
  <c r="M73"/>
  <c r="I73"/>
  <c r="D73"/>
  <c r="G73" s="1"/>
  <c r="F73"/>
  <c r="B73"/>
  <c r="M71"/>
  <c r="Z35" i="42"/>
  <c r="J71" i="43"/>
  <c r="F71"/>
  <c r="Y35" i="42"/>
  <c r="C71" i="43"/>
  <c r="K70"/>
  <c r="N70" s="1"/>
  <c r="M70"/>
  <c r="I70"/>
  <c r="D70"/>
  <c r="G70" s="1"/>
  <c r="F70"/>
  <c r="B70"/>
  <c r="M68"/>
  <c r="Z34" i="42"/>
  <c r="J68" i="43"/>
  <c r="F68"/>
  <c r="Y34" i="42"/>
  <c r="C68" i="43"/>
  <c r="K67"/>
  <c r="N67" s="1"/>
  <c r="M67"/>
  <c r="I67"/>
  <c r="D67"/>
  <c r="G67" s="1"/>
  <c r="F67"/>
  <c r="B67"/>
  <c r="M65"/>
  <c r="Z33" i="42"/>
  <c r="J65" i="43"/>
  <c r="F65"/>
  <c r="Y33" i="42"/>
  <c r="C65" i="43"/>
  <c r="K64"/>
  <c r="N64" s="1"/>
  <c r="M64"/>
  <c r="I64"/>
  <c r="D64"/>
  <c r="G64" s="1"/>
  <c r="F64"/>
  <c r="B64"/>
  <c r="M62"/>
  <c r="Z32" i="42"/>
  <c r="J62" i="43"/>
  <c r="F62"/>
  <c r="Y32" i="42"/>
  <c r="C62" i="43"/>
  <c r="K61"/>
  <c r="N61" s="1"/>
  <c r="M61"/>
  <c r="I61"/>
  <c r="D61"/>
  <c r="G61" s="1"/>
  <c r="F61"/>
  <c r="B61"/>
  <c r="M59"/>
  <c r="Z31" i="42"/>
  <c r="J59" i="43"/>
  <c r="F59"/>
  <c r="Y31" i="42"/>
  <c r="C59" i="43"/>
  <c r="K58"/>
  <c r="N58" s="1"/>
  <c r="M58"/>
  <c r="I58"/>
  <c r="D58"/>
  <c r="G58" s="1"/>
  <c r="F58"/>
  <c r="B58"/>
  <c r="M56"/>
  <c r="Z30" i="42"/>
  <c r="J56" i="43"/>
  <c r="F56"/>
  <c r="Y30" i="42"/>
  <c r="C56" i="43"/>
  <c r="K55"/>
  <c r="N55" s="1"/>
  <c r="M55"/>
  <c r="I55"/>
  <c r="D55"/>
  <c r="G55" s="1"/>
  <c r="F55"/>
  <c r="B55"/>
  <c r="M53"/>
  <c r="Z29" i="42"/>
  <c r="J53" i="43"/>
  <c r="F53"/>
  <c r="Y29" i="42"/>
  <c r="C53" i="43"/>
  <c r="K52"/>
  <c r="N52" s="1"/>
  <c r="M52"/>
  <c r="I52"/>
  <c r="D52"/>
  <c r="G52" s="1"/>
  <c r="F52"/>
  <c r="B52"/>
  <c r="M50"/>
  <c r="Z28" i="42"/>
  <c r="J50" i="43"/>
  <c r="F50"/>
  <c r="Y28" i="42"/>
  <c r="C50" i="43"/>
  <c r="K49"/>
  <c r="N49" s="1"/>
  <c r="M49"/>
  <c r="I49"/>
  <c r="D49"/>
  <c r="G49" s="1"/>
  <c r="F49"/>
  <c r="B49"/>
  <c r="M47"/>
  <c r="Z27" i="42"/>
  <c r="J47" i="43"/>
  <c r="F47"/>
  <c r="Y27" i="42"/>
  <c r="C47" i="43"/>
  <c r="K46"/>
  <c r="N46" s="1"/>
  <c r="M46"/>
  <c r="I46"/>
  <c r="D46"/>
  <c r="G46" s="1"/>
  <c r="F46"/>
  <c r="B46"/>
  <c r="M44"/>
  <c r="Z26" i="42"/>
  <c r="J44" i="43"/>
  <c r="F44"/>
  <c r="Y26" i="42"/>
  <c r="C44" i="43"/>
  <c r="K43"/>
  <c r="N43" s="1"/>
  <c r="M43"/>
  <c r="I43"/>
  <c r="D43"/>
  <c r="G43" s="1"/>
  <c r="F43"/>
  <c r="B43"/>
  <c r="M41"/>
  <c r="Z25" i="42"/>
  <c r="J41" i="43"/>
  <c r="F41"/>
  <c r="Y25" i="42"/>
  <c r="C41" i="43"/>
  <c r="K40"/>
  <c r="N40" s="1"/>
  <c r="M40"/>
  <c r="I40"/>
  <c r="D40"/>
  <c r="G40" s="1"/>
  <c r="F40"/>
  <c r="B40"/>
  <c r="M38"/>
  <c r="Z24" i="42"/>
  <c r="J38" i="43"/>
  <c r="F38"/>
  <c r="Y24" i="42"/>
  <c r="C38" i="43"/>
  <c r="K37"/>
  <c r="N37" s="1"/>
  <c r="M37"/>
  <c r="I37"/>
  <c r="D37"/>
  <c r="G37" s="1"/>
  <c r="F37"/>
  <c r="B37"/>
  <c r="M35"/>
  <c r="Z23" i="42"/>
  <c r="J35" i="43"/>
  <c r="F35"/>
  <c r="Y23" i="42"/>
  <c r="C35" i="43"/>
  <c r="K34"/>
  <c r="N34" s="1"/>
  <c r="M34"/>
  <c r="I34"/>
  <c r="D34"/>
  <c r="G34" s="1"/>
  <c r="F34"/>
  <c r="B34"/>
  <c r="M32"/>
  <c r="Z22" i="42"/>
  <c r="J32" i="43"/>
  <c r="F32"/>
  <c r="Y22" i="42"/>
  <c r="C32" i="43"/>
  <c r="K31"/>
  <c r="N31" s="1"/>
  <c r="M31"/>
  <c r="I31"/>
  <c r="D31"/>
  <c r="G31" s="1"/>
  <c r="F31"/>
  <c r="B31"/>
  <c r="M29"/>
  <c r="Z21" i="42"/>
  <c r="J29" i="43"/>
  <c r="F29"/>
  <c r="Y21" i="42"/>
  <c r="C29" i="43"/>
  <c r="K28"/>
  <c r="N28" s="1"/>
  <c r="M28"/>
  <c r="I28"/>
  <c r="D28"/>
  <c r="G28" s="1"/>
  <c r="F28"/>
  <c r="B28"/>
  <c r="M26"/>
  <c r="Z20" i="42"/>
  <c r="J26" i="43"/>
  <c r="F26"/>
  <c r="Y20" i="42"/>
  <c r="C26" i="43"/>
  <c r="K25"/>
  <c r="N25" s="1"/>
  <c r="M25"/>
  <c r="I25"/>
  <c r="D25"/>
  <c r="G25" s="1"/>
  <c r="F25"/>
  <c r="B25"/>
  <c r="M23"/>
  <c r="Z19" i="42"/>
  <c r="J23" i="43"/>
  <c r="F23"/>
  <c r="Y19" i="42"/>
  <c r="C23" i="43"/>
  <c r="K22"/>
  <c r="N22" s="1"/>
  <c r="M22"/>
  <c r="I22"/>
  <c r="D22"/>
  <c r="G22" s="1"/>
  <c r="F22"/>
  <c r="B22"/>
  <c r="M20"/>
  <c r="Z18" i="42"/>
  <c r="J20" i="43"/>
  <c r="F20"/>
  <c r="Y18" i="42"/>
  <c r="C20" i="43"/>
  <c r="K19"/>
  <c r="N19" s="1"/>
  <c r="M19"/>
  <c r="I19"/>
  <c r="D19"/>
  <c r="G19" s="1"/>
  <c r="F19"/>
  <c r="B19"/>
  <c r="M17"/>
  <c r="Z17" i="42"/>
  <c r="J17" i="43"/>
  <c r="F17"/>
  <c r="Y17" i="42"/>
  <c r="C17" i="43"/>
  <c r="K16"/>
  <c r="N16" s="1"/>
  <c r="M16"/>
  <c r="I16"/>
  <c r="D16"/>
  <c r="G16" s="1"/>
  <c r="F16"/>
  <c r="B16"/>
  <c r="M14"/>
  <c r="Z16" i="42"/>
  <c r="J14" i="43"/>
  <c r="F14"/>
  <c r="Y16" i="42"/>
  <c r="C14" i="43"/>
  <c r="K13"/>
  <c r="N13" s="1"/>
  <c r="M13"/>
  <c r="I13"/>
  <c r="D13"/>
  <c r="G13" s="1"/>
  <c r="F13"/>
  <c r="B13"/>
  <c r="M11"/>
  <c r="Z15" i="42"/>
  <c r="J11" i="43"/>
  <c r="F11"/>
  <c r="Y15" i="42"/>
  <c r="C11" i="43"/>
  <c r="K10"/>
  <c r="N10" s="1"/>
  <c r="M10"/>
  <c r="I10"/>
  <c r="B10"/>
  <c r="D10"/>
  <c r="G10" s="1"/>
  <c r="F10"/>
  <c r="M8"/>
  <c r="Z14" i="42"/>
  <c r="J8" i="43"/>
  <c r="F8"/>
  <c r="Y14" i="42"/>
  <c r="C8" i="43"/>
  <c r="I7"/>
  <c r="K7"/>
  <c r="N7" s="1"/>
  <c r="M7"/>
  <c r="B7"/>
  <c r="D7"/>
  <c r="G7" s="1"/>
  <c r="F7"/>
  <c r="M5"/>
  <c r="Z13" i="42"/>
  <c r="J5" i="43"/>
  <c r="F5"/>
  <c r="Y13" i="42"/>
  <c r="C5" i="43"/>
  <c r="J48" i="44"/>
  <c r="J49" s="1"/>
  <c r="J46"/>
  <c r="J7"/>
  <c r="J8" s="1"/>
  <c r="J48" i="42"/>
  <c r="J49" s="1"/>
  <c r="J46"/>
  <c r="L41" i="44"/>
  <c r="L41" i="42"/>
  <c r="I55" i="41"/>
  <c r="I54"/>
  <c r="I53"/>
  <c r="I52"/>
  <c r="I51"/>
  <c r="I50"/>
  <c r="I49"/>
  <c r="I48"/>
  <c r="I44"/>
  <c r="I43"/>
  <c r="I42"/>
  <c r="I41"/>
  <c r="I40"/>
  <c r="I39"/>
  <c r="I38"/>
  <c r="I37"/>
  <c r="I27"/>
  <c r="I28"/>
  <c r="I29"/>
  <c r="I30"/>
  <c r="I31"/>
  <c r="I32"/>
  <c r="I33"/>
  <c r="I26"/>
  <c r="I16"/>
  <c r="I17"/>
  <c r="I18"/>
  <c r="I19"/>
  <c r="I20"/>
  <c r="I21"/>
  <c r="I22"/>
  <c r="I15"/>
  <c r="B55"/>
  <c r="B54"/>
  <c r="B53"/>
  <c r="B52"/>
  <c r="B51"/>
  <c r="B50"/>
  <c r="B49"/>
  <c r="B48"/>
  <c r="B33"/>
  <c r="B32"/>
  <c r="B31"/>
  <c r="B30"/>
  <c r="B29"/>
  <c r="B28"/>
  <c r="B27"/>
  <c r="B26"/>
  <c r="B9"/>
  <c r="B38"/>
  <c r="B39"/>
  <c r="B40"/>
  <c r="B41"/>
  <c r="B42"/>
  <c r="B43"/>
  <c r="B44"/>
  <c r="B37"/>
  <c r="B16"/>
  <c r="B17"/>
  <c r="B18"/>
  <c r="B19"/>
  <c r="B20"/>
  <c r="B21"/>
  <c r="B22"/>
  <c r="B9" i="40"/>
  <c r="B67"/>
  <c r="G12" i="37"/>
  <c r="I12"/>
  <c r="I14"/>
  <c r="I15"/>
  <c r="G16"/>
  <c r="G20"/>
  <c r="I21"/>
  <c r="I22"/>
  <c r="G23"/>
  <c r="G25"/>
  <c r="I25"/>
  <c r="G28"/>
  <c r="G29"/>
  <c r="I29"/>
  <c r="G30"/>
  <c r="I31"/>
  <c r="I32"/>
  <c r="G34"/>
  <c r="G35"/>
  <c r="I35"/>
  <c r="G36"/>
  <c r="I36"/>
  <c r="G37"/>
  <c r="I37"/>
  <c r="I38"/>
  <c r="I40"/>
  <c r="G41"/>
  <c r="I41"/>
  <c r="G46"/>
  <c r="G48"/>
  <c r="G50"/>
  <c r="G54"/>
  <c r="I55"/>
  <c r="G56"/>
  <c r="I56"/>
  <c r="I57"/>
  <c r="G58"/>
  <c r="G59"/>
  <c r="Z61"/>
  <c r="A61" s="1"/>
  <c r="G62"/>
  <c r="I62"/>
  <c r="G63"/>
  <c r="I63"/>
  <c r="G64"/>
  <c r="G65"/>
  <c r="I65"/>
  <c r="I66"/>
  <c r="G67"/>
  <c r="G69"/>
  <c r="I70"/>
  <c r="G72"/>
  <c r="I72"/>
  <c r="I73"/>
  <c r="I74"/>
  <c r="G75"/>
  <c r="G76"/>
  <c r="I76"/>
  <c r="G78"/>
  <c r="I78"/>
  <c r="I80"/>
  <c r="G81"/>
  <c r="G83"/>
  <c r="I83"/>
  <c r="G87"/>
  <c r="I87"/>
  <c r="G88"/>
  <c r="I89"/>
  <c r="G91"/>
  <c r="I92"/>
  <c r="I95"/>
  <c r="G97"/>
  <c r="I97"/>
  <c r="G99"/>
  <c r="I101"/>
  <c r="I103"/>
  <c r="G105"/>
  <c r="I105"/>
  <c r="G107"/>
  <c r="G109"/>
  <c r="I109"/>
  <c r="G110"/>
  <c r="G113"/>
  <c r="I113"/>
  <c r="I115"/>
  <c r="I116"/>
  <c r="AS8"/>
  <c r="AS16"/>
  <c r="AS20"/>
  <c r="AS28"/>
  <c r="AS36"/>
  <c r="AS40"/>
  <c r="AS41"/>
  <c r="AS48"/>
  <c r="AS52"/>
  <c r="AS60"/>
  <c r="AS61"/>
  <c r="AS68"/>
  <c r="AS72"/>
  <c r="AS73"/>
  <c r="AS108"/>
  <c r="AS112"/>
  <c r="E12" i="25"/>
  <c r="H12"/>
  <c r="H14"/>
  <c r="E20"/>
  <c r="H21"/>
  <c r="H22"/>
  <c r="E23"/>
  <c r="H24"/>
  <c r="E25"/>
  <c r="H25"/>
  <c r="E28"/>
  <c r="H28"/>
  <c r="E29"/>
  <c r="E30"/>
  <c r="E31"/>
  <c r="H32"/>
  <c r="E35"/>
  <c r="H35"/>
  <c r="H36"/>
  <c r="E37"/>
  <c r="H37"/>
  <c r="O37"/>
  <c r="H38"/>
  <c r="H40"/>
  <c r="E41"/>
  <c r="H44"/>
  <c r="E46"/>
  <c r="E50"/>
  <c r="E51"/>
  <c r="E54"/>
  <c r="H55"/>
  <c r="H57"/>
  <c r="E58"/>
  <c r="H58"/>
  <c r="E59"/>
  <c r="H61"/>
  <c r="E63"/>
  <c r="H63"/>
  <c r="E64"/>
  <c r="E65"/>
  <c r="H65"/>
  <c r="H66"/>
  <c r="E67"/>
  <c r="E69"/>
  <c r="H69"/>
  <c r="H70"/>
  <c r="H72"/>
  <c r="E73"/>
  <c r="H73"/>
  <c r="E75"/>
  <c r="H76"/>
  <c r="E77"/>
  <c r="E78"/>
  <c r="H78"/>
  <c r="H79"/>
  <c r="H81"/>
  <c r="H82"/>
  <c r="H83"/>
  <c r="E87"/>
  <c r="E88"/>
  <c r="H89"/>
  <c r="E91"/>
  <c r="H91"/>
  <c r="H95"/>
  <c r="H96"/>
  <c r="H97"/>
  <c r="E100"/>
  <c r="H101"/>
  <c r="E102"/>
  <c r="H103"/>
  <c r="H105"/>
  <c r="E106"/>
  <c r="E107"/>
  <c r="E109"/>
  <c r="E110"/>
  <c r="E112"/>
  <c r="H113"/>
  <c r="E114"/>
  <c r="H115"/>
  <c r="H116"/>
  <c r="G11" i="21"/>
  <c r="G12"/>
  <c r="G16"/>
  <c r="G18"/>
  <c r="G20"/>
  <c r="G22"/>
  <c r="G23"/>
  <c r="G24"/>
  <c r="G25"/>
  <c r="G28"/>
  <c r="G29"/>
  <c r="G35"/>
  <c r="G37"/>
  <c r="G41"/>
  <c r="G58"/>
  <c r="G64"/>
  <c r="G65"/>
  <c r="G68"/>
  <c r="G69"/>
  <c r="G71"/>
  <c r="G72"/>
  <c r="G73"/>
  <c r="G75"/>
  <c r="G78"/>
  <c r="G83"/>
  <c r="G84"/>
  <c r="G90"/>
  <c r="G91"/>
  <c r="G94"/>
  <c r="G97"/>
  <c r="G99"/>
  <c r="G100"/>
  <c r="G105"/>
  <c r="G107"/>
  <c r="G109"/>
  <c r="G111"/>
  <c r="G112"/>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B116" i="25"/>
  <c r="B106"/>
  <c r="B107"/>
  <c r="B108"/>
  <c r="B109"/>
  <c r="B110"/>
  <c r="B111"/>
  <c r="B112"/>
  <c r="B113"/>
  <c r="B114"/>
  <c r="B115"/>
  <c r="AD8" i="21"/>
  <c r="AG8"/>
  <c r="AD9"/>
  <c r="AG9"/>
  <c r="AD10"/>
  <c r="AG10"/>
  <c r="AD11"/>
  <c r="AG11"/>
  <c r="AD12"/>
  <c r="AG12"/>
  <c r="AD13"/>
  <c r="AG13"/>
  <c r="AD14"/>
  <c r="AG14"/>
  <c r="AD15"/>
  <c r="AG15"/>
  <c r="AD16"/>
  <c r="AG16"/>
  <c r="AD17"/>
  <c r="AG17"/>
  <c r="AD18"/>
  <c r="AG18"/>
  <c r="AD19"/>
  <c r="AG19"/>
  <c r="AD20"/>
  <c r="AG20"/>
  <c r="AD21"/>
  <c r="AG21"/>
  <c r="AD22"/>
  <c r="AG22"/>
  <c r="AD23"/>
  <c r="AG23"/>
  <c r="AD24"/>
  <c r="AG24"/>
  <c r="AD25"/>
  <c r="AG25"/>
  <c r="AD26"/>
  <c r="AG26"/>
  <c r="AD27"/>
  <c r="AG27"/>
  <c r="AD28"/>
  <c r="AG28"/>
  <c r="AD29"/>
  <c r="AG29"/>
  <c r="AD30"/>
  <c r="AG30"/>
  <c r="AD31"/>
  <c r="AG31"/>
  <c r="AD32"/>
  <c r="AG32"/>
  <c r="AD35"/>
  <c r="AG35"/>
  <c r="AD36"/>
  <c r="AG36"/>
  <c r="AD37"/>
  <c r="AG37"/>
  <c r="AD38"/>
  <c r="AG38"/>
  <c r="AD39"/>
  <c r="AG39"/>
  <c r="AD40"/>
  <c r="AG40"/>
  <c r="AD41"/>
  <c r="AG41"/>
  <c r="AD42"/>
  <c r="AG42"/>
  <c r="AD43"/>
  <c r="AG43"/>
  <c r="AD44"/>
  <c r="AG44"/>
  <c r="AD45"/>
  <c r="AG45"/>
  <c r="AD46"/>
  <c r="AG46"/>
  <c r="AD47"/>
  <c r="AG47"/>
  <c r="AD48"/>
  <c r="AG48"/>
  <c r="AD49"/>
  <c r="AG49"/>
  <c r="AD50"/>
  <c r="AG50"/>
  <c r="AD51"/>
  <c r="AG51"/>
  <c r="AD52"/>
  <c r="AG52"/>
  <c r="AD53"/>
  <c r="AG53"/>
  <c r="AD54"/>
  <c r="AG54"/>
  <c r="AD55"/>
  <c r="AG55"/>
  <c r="AD56"/>
  <c r="AG56"/>
  <c r="AD57"/>
  <c r="AG57"/>
  <c r="AD58"/>
  <c r="AG58"/>
  <c r="AD59"/>
  <c r="AG59"/>
  <c r="AD60"/>
  <c r="AG60"/>
  <c r="AD61"/>
  <c r="AG61"/>
  <c r="AD62"/>
  <c r="AG62"/>
  <c r="AD63"/>
  <c r="AG63"/>
  <c r="AD64"/>
  <c r="AG64"/>
  <c r="AD65"/>
  <c r="AG65"/>
  <c r="AD66"/>
  <c r="AG66"/>
  <c r="AD67"/>
  <c r="AG67"/>
  <c r="AD68"/>
  <c r="AG68"/>
  <c r="AD69"/>
  <c r="AG69"/>
  <c r="AD70"/>
  <c r="AG70"/>
  <c r="AD71"/>
  <c r="AG71"/>
  <c r="AD72"/>
  <c r="AG72"/>
  <c r="AD73"/>
  <c r="AG73"/>
  <c r="AD74"/>
  <c r="AG74"/>
  <c r="AD75"/>
  <c r="AG75"/>
  <c r="AD76"/>
  <c r="AG76"/>
  <c r="AD77"/>
  <c r="AG77"/>
  <c r="AD78"/>
  <c r="AG78"/>
  <c r="AD79"/>
  <c r="AG79"/>
  <c r="AD80"/>
  <c r="AG80"/>
  <c r="AD81"/>
  <c r="AG81"/>
  <c r="AD82"/>
  <c r="AG82"/>
  <c r="AD83"/>
  <c r="AG83"/>
  <c r="AD84"/>
  <c r="AG84"/>
  <c r="AD85"/>
  <c r="AG85"/>
  <c r="AD86"/>
  <c r="AG86"/>
  <c r="AD87"/>
  <c r="AG87"/>
  <c r="AD88"/>
  <c r="AG88"/>
  <c r="AD89"/>
  <c r="AG89"/>
  <c r="AD90"/>
  <c r="AG90"/>
  <c r="AD91"/>
  <c r="AG91"/>
  <c r="AD92"/>
  <c r="AG92"/>
  <c r="AD93"/>
  <c r="AG93"/>
  <c r="AD94"/>
  <c r="AG94"/>
  <c r="AD95"/>
  <c r="AG95"/>
  <c r="AD96"/>
  <c r="AG96"/>
  <c r="AD97"/>
  <c r="AG97"/>
  <c r="AD98"/>
  <c r="AG98"/>
  <c r="AD99"/>
  <c r="AG99"/>
  <c r="AD100"/>
  <c r="AG100"/>
  <c r="AD101"/>
  <c r="AG101"/>
  <c r="AD102"/>
  <c r="AG102"/>
  <c r="AD103"/>
  <c r="AG103"/>
  <c r="AD104"/>
  <c r="AG104"/>
  <c r="AD105"/>
  <c r="AG105"/>
  <c r="AD106"/>
  <c r="AG106"/>
  <c r="AD107"/>
  <c r="AG107"/>
  <c r="AG7"/>
  <c r="AD7"/>
  <c r="E7"/>
  <c r="AC8" i="7"/>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16"/>
  <c r="AC7"/>
  <c r="B7" i="25"/>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F79" i="43"/>
  <c r="K57" i="21"/>
  <c r="K56"/>
  <c r="K54"/>
  <c r="K53"/>
  <c r="K50"/>
  <c r="K49"/>
  <c r="K46"/>
  <c r="K45"/>
  <c r="K44"/>
  <c r="K42"/>
  <c r="K41"/>
  <c r="K40"/>
  <c r="K38"/>
  <c r="K37"/>
  <c r="K34"/>
  <c r="K33"/>
  <c r="K30"/>
  <c r="K29"/>
  <c r="K28"/>
  <c r="K26"/>
  <c r="K22"/>
  <c r="K21"/>
  <c r="K9"/>
  <c r="K8"/>
  <c r="J7" i="25"/>
  <c r="K57" i="37"/>
  <c r="K54"/>
  <c r="K53"/>
  <c r="K50"/>
  <c r="K49"/>
  <c r="K48"/>
  <c r="K46"/>
  <c r="K45"/>
  <c r="K44"/>
  <c r="K42"/>
  <c r="K41"/>
  <c r="K40"/>
  <c r="K38"/>
  <c r="K37"/>
  <c r="K36"/>
  <c r="K34"/>
  <c r="K33"/>
  <c r="K32"/>
  <c r="K30"/>
  <c r="K29"/>
  <c r="K28"/>
  <c r="K26"/>
  <c r="K25"/>
  <c r="K24"/>
  <c r="K22"/>
  <c r="K21"/>
  <c r="K20"/>
  <c r="K8"/>
  <c r="K116" i="21"/>
  <c r="K114"/>
  <c r="K113"/>
  <c r="K110"/>
  <c r="K109"/>
  <c r="K107"/>
  <c r="K106"/>
  <c r="K105"/>
  <c r="K102"/>
  <c r="K101"/>
  <c r="K98"/>
  <c r="K97"/>
  <c r="K94"/>
  <c r="K93"/>
  <c r="K90"/>
  <c r="K89"/>
  <c r="K86"/>
  <c r="K85"/>
  <c r="K84"/>
  <c r="K83"/>
  <c r="K82"/>
  <c r="K81"/>
  <c r="K78"/>
  <c r="K77"/>
  <c r="K77" i="37"/>
  <c r="K74" i="21"/>
  <c r="K74" i="37"/>
  <c r="K73" i="21"/>
  <c r="K73" i="37"/>
  <c r="K70" i="21"/>
  <c r="K70" i="37"/>
  <c r="K69"/>
  <c r="K68" i="21"/>
  <c r="K67"/>
  <c r="K66"/>
  <c r="K66" i="37"/>
  <c r="K65" i="21"/>
  <c r="K65" i="37"/>
  <c r="K64" i="21"/>
  <c r="K62"/>
  <c r="K62" i="37"/>
  <c r="K61" i="21"/>
  <c r="K61" i="37"/>
  <c r="K58" i="21"/>
  <c r="K58" i="37"/>
  <c r="K116"/>
  <c r="K114"/>
  <c r="K113"/>
  <c r="K110"/>
  <c r="K109"/>
  <c r="K107"/>
  <c r="K106"/>
  <c r="K105"/>
  <c r="K102"/>
  <c r="K101"/>
  <c r="K98"/>
  <c r="K97"/>
  <c r="K94"/>
  <c r="K93"/>
  <c r="K90"/>
  <c r="K89"/>
  <c r="K86"/>
  <c r="K85"/>
  <c r="K82"/>
  <c r="K81"/>
  <c r="K78"/>
  <c r="J116" i="21"/>
  <c r="E116" i="25"/>
  <c r="CK113" i="10"/>
  <c r="I110" i="37"/>
  <c r="I110" i="21"/>
  <c r="BE110" s="1"/>
  <c r="BC110"/>
  <c r="E97" i="25"/>
  <c r="E96"/>
  <c r="I100" i="37"/>
  <c r="H100" i="25"/>
  <c r="H110"/>
  <c r="E104"/>
  <c r="J114" i="37"/>
  <c r="J110" i="21"/>
  <c r="G108"/>
  <c r="I94" i="37"/>
  <c r="E115" i="25"/>
  <c r="G95" i="37"/>
  <c r="E92" i="25"/>
  <c r="I112" i="37"/>
  <c r="CI110" i="10"/>
  <c r="CK110" s="1"/>
  <c r="CH110"/>
  <c r="CI104"/>
  <c r="E105" i="25"/>
  <c r="P98" i="10"/>
  <c r="G100" i="37"/>
  <c r="E99" i="25"/>
  <c r="J94" i="37"/>
  <c r="H106" i="25"/>
  <c r="CJ99" i="10"/>
  <c r="CL99" s="1"/>
  <c r="G95" i="21"/>
  <c r="CK95" i="10"/>
  <c r="CM95" s="1"/>
  <c r="CM100"/>
  <c r="CH77"/>
  <c r="H42" i="25"/>
  <c r="H53"/>
  <c r="I53" i="21"/>
  <c r="BE53" s="1"/>
  <c r="I53" i="37"/>
  <c r="I10" i="25"/>
  <c r="J10" i="21"/>
  <c r="I39"/>
  <c r="BE39" s="1"/>
  <c r="I39" i="37"/>
  <c r="H39" i="25"/>
  <c r="I48" i="21"/>
  <c r="BE48" s="1"/>
  <c r="I48" i="37"/>
  <c r="H48" i="25"/>
  <c r="CH88" i="10"/>
  <c r="CJ88" s="1"/>
  <c r="CL88" s="1"/>
  <c r="I52" i="25"/>
  <c r="J52" i="37"/>
  <c r="J52" i="21"/>
  <c r="K25"/>
  <c r="CI77" i="10"/>
  <c r="CK77"/>
  <c r="G68" i="37"/>
  <c r="J22" i="21"/>
  <c r="I22" i="25"/>
  <c r="H56"/>
  <c r="J82" i="37"/>
  <c r="G76" i="21"/>
  <c r="E76" i="25"/>
  <c r="J71" i="37"/>
  <c r="I71" i="25"/>
  <c r="CI66" i="10"/>
  <c r="CK66" s="1"/>
  <c r="E61" i="25"/>
  <c r="G61" i="21"/>
  <c r="J58" i="37"/>
  <c r="J58" i="21"/>
  <c r="CJ51" i="10"/>
  <c r="I48" i="25"/>
  <c r="CH21" i="10"/>
  <c r="CI21"/>
  <c r="CK21"/>
  <c r="H88" i="25"/>
  <c r="I88" i="37"/>
  <c r="E68" i="25"/>
  <c r="E71"/>
  <c r="CH25" i="10"/>
  <c r="H85" i="25"/>
  <c r="CJ74" i="10"/>
  <c r="CL74" s="1"/>
  <c r="G90" i="37"/>
  <c r="E90" i="25"/>
  <c r="G73" i="37"/>
  <c r="CH67" i="10"/>
  <c r="CM67" s="1"/>
  <c r="D70" i="25" s="1"/>
  <c r="CJ67" i="10"/>
  <c r="CL67"/>
  <c r="G59" i="21"/>
  <c r="G39" i="37"/>
  <c r="G30" i="21"/>
  <c r="J13" i="37"/>
  <c r="I11" i="25"/>
  <c r="K69" i="21"/>
  <c r="K76"/>
  <c r="H80" i="25"/>
  <c r="G71" i="37"/>
  <c r="CL64" i="10"/>
  <c r="CH59"/>
  <c r="CI49"/>
  <c r="CK49"/>
  <c r="CH49"/>
  <c r="CJ49" s="1"/>
  <c r="CL49" s="1"/>
  <c r="CI42"/>
  <c r="CK42" s="1"/>
  <c r="CJ42"/>
  <c r="CL42" s="1"/>
  <c r="I44" i="25"/>
  <c r="J39" i="37"/>
  <c r="I38" i="25"/>
  <c r="J32" i="37"/>
  <c r="I21" i="25"/>
  <c r="J21" i="21"/>
  <c r="CK31" i="10"/>
  <c r="P108"/>
  <c r="J74" i="21"/>
  <c r="CI71" i="10"/>
  <c r="CK71"/>
  <c r="CH71"/>
  <c r="J64" i="21"/>
  <c r="I54" i="25"/>
  <c r="J47" i="37"/>
  <c r="CH43" i="10"/>
  <c r="CK43"/>
  <c r="J33" i="37"/>
  <c r="J33" i="21"/>
  <c r="CK68" i="10"/>
  <c r="CJ18"/>
  <c r="CL18"/>
  <c r="CM81"/>
  <c r="CK63"/>
  <c r="I86" i="25"/>
  <c r="I68"/>
  <c r="CK38" i="10"/>
  <c r="CH38"/>
  <c r="CL38"/>
  <c r="CM38"/>
  <c r="I8" i="25"/>
  <c r="CK46" i="10"/>
  <c r="CK79"/>
  <c r="CK74"/>
  <c r="CK58"/>
  <c r="CK53"/>
  <c r="CM53"/>
  <c r="CK30"/>
  <c r="CK18"/>
  <c r="CM18"/>
  <c r="AN10" i="36"/>
  <c r="J113" i="37"/>
  <c r="J113" i="21"/>
  <c r="J89" i="37"/>
  <c r="J53"/>
  <c r="J53" i="21"/>
  <c r="I53" i="25"/>
  <c r="P100" i="10"/>
  <c r="Q100"/>
  <c r="I70" i="25"/>
  <c r="CH35" i="10"/>
  <c r="BD35" i="21"/>
  <c r="I115" i="25"/>
  <c r="J115" i="21"/>
  <c r="J115" i="37"/>
  <c r="CH92" i="10"/>
  <c r="CI92"/>
  <c r="CK92" s="1"/>
  <c r="CK57"/>
  <c r="I58" i="25"/>
  <c r="I31"/>
  <c r="J31" i="37"/>
  <c r="I33" i="21"/>
  <c r="BE33" s="1"/>
  <c r="I37"/>
  <c r="BE37" s="1"/>
  <c r="I40"/>
  <c r="I46"/>
  <c r="BE46" s="1"/>
  <c r="I52"/>
  <c r="BE52" s="1"/>
  <c r="I56"/>
  <c r="BD56" s="1"/>
  <c r="I66"/>
  <c r="BD66" s="1"/>
  <c r="I70"/>
  <c r="BD70" s="1"/>
  <c r="I72"/>
  <c r="BE72" s="1"/>
  <c r="I80"/>
  <c r="BE80" s="1"/>
  <c r="I82"/>
  <c r="BE82" s="1"/>
  <c r="I88"/>
  <c r="BE88" s="1"/>
  <c r="I94"/>
  <c r="I98"/>
  <c r="BE98" s="1"/>
  <c r="I102"/>
  <c r="BE102" s="1"/>
  <c r="I108"/>
  <c r="BE108" s="1"/>
  <c r="I112"/>
  <c r="BE112" s="1"/>
  <c r="BC112"/>
  <c r="BC114"/>
  <c r="H56" i="37"/>
  <c r="AN84" i="36"/>
  <c r="CK35" i="10"/>
  <c r="C56" i="25"/>
  <c r="G116" i="37"/>
  <c r="G103"/>
  <c r="BC106" i="21"/>
  <c r="J70" i="37"/>
  <c r="I46" i="25"/>
  <c r="J46" i="37"/>
  <c r="J46" i="21"/>
  <c r="I66" i="25"/>
  <c r="J66" i="37"/>
  <c r="CH52" i="10"/>
  <c r="CI52"/>
  <c r="CK52" s="1"/>
  <c r="I47" i="25"/>
  <c r="CH97" i="10"/>
  <c r="J97" i="37"/>
  <c r="J97" i="21"/>
  <c r="I97" i="25"/>
  <c r="J78" i="37"/>
  <c r="N5" i="44"/>
  <c r="N5" i="42"/>
  <c r="G116" i="21"/>
  <c r="AN79" i="36"/>
  <c r="AN71"/>
  <c r="K103" i="37"/>
  <c r="K51" i="21"/>
  <c r="G54"/>
  <c r="G50"/>
  <c r="CH101" i="10"/>
  <c r="J109" i="37"/>
  <c r="CI89" i="10"/>
  <c r="I90" i="25"/>
  <c r="J85" i="37"/>
  <c r="J77"/>
  <c r="CK60" i="10"/>
  <c r="CH60"/>
  <c r="CM60" s="1"/>
  <c r="J57" i="37"/>
  <c r="J57" i="21"/>
  <c r="CI44" i="10"/>
  <c r="CK44" s="1"/>
  <c r="CH44"/>
  <c r="CJ44" s="1"/>
  <c r="CL44"/>
  <c r="I102" i="25"/>
  <c r="CH84" i="10"/>
  <c r="CH69"/>
  <c r="CJ69" s="1"/>
  <c r="CL69" s="1"/>
  <c r="CK45"/>
  <c r="CH45"/>
  <c r="CJ45" s="1"/>
  <c r="CL45" s="1"/>
  <c r="I34" i="25"/>
  <c r="CK84" i="10"/>
  <c r="I116" i="25"/>
  <c r="J116" i="37"/>
  <c r="I112" i="25"/>
  <c r="J112" i="37"/>
  <c r="I108" i="25"/>
  <c r="J108" i="37"/>
  <c r="J101"/>
  <c r="CK88" i="10"/>
  <c r="J69" i="37"/>
  <c r="CK56" i="10"/>
  <c r="I36" i="25"/>
  <c r="J36" i="37"/>
  <c r="CH28" i="10"/>
  <c r="CJ28" s="1"/>
  <c r="CL28" s="1"/>
  <c r="CI19"/>
  <c r="CK19" s="1"/>
  <c r="CH19"/>
  <c r="J21" i="37"/>
  <c r="I16" i="25"/>
  <c r="J93" i="37"/>
  <c r="J81"/>
  <c r="CK41" i="10"/>
  <c r="CM41"/>
  <c r="I43" i="25"/>
  <c r="I39"/>
  <c r="I35"/>
  <c r="CI20" i="10"/>
  <c r="CH20"/>
  <c r="CJ20"/>
  <c r="CL20"/>
  <c r="CK20"/>
  <c r="CH32"/>
  <c r="CJ101"/>
  <c r="H70" i="21"/>
  <c r="C70" i="25"/>
  <c r="CM35" i="10"/>
  <c r="CM52"/>
  <c r="CM59"/>
  <c r="D56" i="25"/>
  <c r="M94" i="21"/>
  <c r="D41" i="25"/>
  <c r="CJ71" i="10"/>
  <c r="CL71"/>
  <c r="CM71" s="1"/>
  <c r="H45" i="37"/>
  <c r="F56" i="21"/>
  <c r="CJ43" i="10"/>
  <c r="CL43" s="1"/>
  <c r="CJ84"/>
  <c r="CL84"/>
  <c r="F56" i="37"/>
  <c r="CJ35" i="10"/>
  <c r="CL35" s="1"/>
  <c r="CM49"/>
  <c r="F21" i="37"/>
  <c r="D84" i="25"/>
  <c r="F84" i="21"/>
  <c r="C84" i="25"/>
  <c r="O12" i="10"/>
  <c r="Q12" s="1"/>
  <c r="M15" i="50" s="1"/>
  <c r="O18" i="10"/>
  <c r="Q18" s="1"/>
  <c r="M21" i="50" s="1"/>
  <c r="O24" i="10"/>
  <c r="P24" s="1"/>
  <c r="B27" i="50" s="1"/>
  <c r="O25" i="10"/>
  <c r="Q25" s="1"/>
  <c r="M28" i="50" s="1"/>
  <c r="O27" i="10"/>
  <c r="P27" s="1"/>
  <c r="B30" i="50" s="1"/>
  <c r="O39" i="10"/>
  <c r="O44"/>
  <c r="O45"/>
  <c r="Q45" s="1"/>
  <c r="M48" i="50" s="1"/>
  <c r="O47" i="10"/>
  <c r="Q47" s="1"/>
  <c r="O48"/>
  <c r="Q48" s="1"/>
  <c r="O49"/>
  <c r="P49" s="1"/>
  <c r="B52" i="50" s="1"/>
  <c r="O50" i="10"/>
  <c r="O55"/>
  <c r="P55" s="1"/>
  <c r="B58" i="50" s="1"/>
  <c r="O56" i="10"/>
  <c r="Q56" s="1"/>
  <c r="O58"/>
  <c r="O61"/>
  <c r="O66"/>
  <c r="Q66" s="1"/>
  <c r="O79"/>
  <c r="P79" s="1"/>
  <c r="B82" i="50" s="1"/>
  <c r="O80" i="10"/>
  <c r="O81"/>
  <c r="Q81" s="1"/>
  <c r="M84" i="50" s="1"/>
  <c r="O86" i="10"/>
  <c r="P86" s="1"/>
  <c r="B89" i="50" s="1"/>
  <c r="O88" i="10"/>
  <c r="Q88" s="1"/>
  <c r="O8"/>
  <c r="O17"/>
  <c r="Q17" s="1"/>
  <c r="M20" i="50" s="1"/>
  <c r="O19" i="10"/>
  <c r="P19" s="1"/>
  <c r="B22" i="50" s="1"/>
  <c r="O23" i="10"/>
  <c r="O46"/>
  <c r="Q46" s="1"/>
  <c r="O63"/>
  <c r="Q63" s="1"/>
  <c r="M66" i="50" s="1"/>
  <c r="O69" i="10"/>
  <c r="Q69" s="1"/>
  <c r="M72" i="50" s="1"/>
  <c r="O72" i="10"/>
  <c r="Q72" s="1"/>
  <c r="M75" i="50" s="1"/>
  <c r="O74" i="10"/>
  <c r="O82"/>
  <c r="P82" s="1"/>
  <c r="O20"/>
  <c r="P20" s="1"/>
  <c r="F23" i="25" s="1"/>
  <c r="O21" i="10"/>
  <c r="O22"/>
  <c r="Q22" s="1"/>
  <c r="M25" i="50" s="1"/>
  <c r="O26" i="10"/>
  <c r="O28"/>
  <c r="Q28" s="1"/>
  <c r="G31" i="25" s="1"/>
  <c r="O31" i="10"/>
  <c r="O34"/>
  <c r="P34" s="1"/>
  <c r="B37" i="50" s="1"/>
  <c r="O43" i="10"/>
  <c r="P43" s="1"/>
  <c r="O51"/>
  <c r="P51" s="1"/>
  <c r="O52"/>
  <c r="Q52" s="1"/>
  <c r="M55" i="50" s="1"/>
  <c r="O59" i="10"/>
  <c r="P59" s="1"/>
  <c r="B62" i="50" s="1"/>
  <c r="O64" i="10"/>
  <c r="P64" s="1"/>
  <c r="B67" i="50" s="1"/>
  <c r="O65" i="10"/>
  <c r="Q65" s="1"/>
  <c r="O75"/>
  <c r="O77"/>
  <c r="Q77" s="1"/>
  <c r="M80" i="50" s="1"/>
  <c r="O83" i="10"/>
  <c r="P83" s="1"/>
  <c r="O40"/>
  <c r="O53"/>
  <c r="Q53" s="1"/>
  <c r="M56" i="50" s="1"/>
  <c r="O60" i="10"/>
  <c r="P60" s="1"/>
  <c r="O62"/>
  <c r="P62" s="1"/>
  <c r="O70"/>
  <c r="P70" s="1"/>
  <c r="O76"/>
  <c r="O78"/>
  <c r="P78" s="1"/>
  <c r="B81" i="50" s="1"/>
  <c r="O85" i="10"/>
  <c r="Q85" s="1"/>
  <c r="O87"/>
  <c r="Q87" s="1"/>
  <c r="M90" i="50" s="1"/>
  <c r="O14" i="10"/>
  <c r="Q14" s="1"/>
  <c r="M17" i="50" s="1"/>
  <c r="O29" i="10"/>
  <c r="P29" s="1"/>
  <c r="B32" i="50" s="1"/>
  <c r="O35" i="10"/>
  <c r="Q35" s="1"/>
  <c r="M38" i="50" s="1"/>
  <c r="O36" i="10"/>
  <c r="P36" s="1"/>
  <c r="O41"/>
  <c r="Q41" s="1"/>
  <c r="M44" i="50" s="1"/>
  <c r="O67" i="10"/>
  <c r="P67" s="1"/>
  <c r="B70" i="50" s="1"/>
  <c r="O73" i="10"/>
  <c r="P73" s="1"/>
  <c r="O11"/>
  <c r="O42"/>
  <c r="P42" s="1"/>
  <c r="B45" i="50" s="1"/>
  <c r="O57" i="10"/>
  <c r="Q57" s="1"/>
  <c r="M60" i="50" s="1"/>
  <c r="O71" i="10"/>
  <c r="Q71" s="1"/>
  <c r="M74" i="50" s="1"/>
  <c r="O32" i="10"/>
  <c r="O33"/>
  <c r="P33" s="1"/>
  <c r="O37"/>
  <c r="Q37" s="1"/>
  <c r="O38"/>
  <c r="P38" s="1"/>
  <c r="B41" i="50" s="1"/>
  <c r="O54" i="10"/>
  <c r="P54" s="1"/>
  <c r="B57" i="50" s="1"/>
  <c r="O68" i="10"/>
  <c r="Q68" s="1"/>
  <c r="O30"/>
  <c r="P30" s="1"/>
  <c r="B33" i="50" s="1"/>
  <c r="O84" i="10"/>
  <c r="Q84" s="1"/>
  <c r="M87" i="50" s="1"/>
  <c r="CJ77" i="10"/>
  <c r="CL77" s="1"/>
  <c r="CM77" s="1"/>
  <c r="H56" i="21"/>
  <c r="CK40" i="10"/>
  <c r="CM40"/>
  <c r="F43" i="21" s="1"/>
  <c r="BE94"/>
  <c r="C44" i="25"/>
  <c r="H44" i="21"/>
  <c r="H44" i="37"/>
  <c r="F44"/>
  <c r="D44" i="25"/>
  <c r="F44" i="21"/>
  <c r="D43" i="25"/>
  <c r="H43" i="37"/>
  <c r="H55"/>
  <c r="Q33" i="10"/>
  <c r="M36" i="50" s="1"/>
  <c r="F55" i="37"/>
  <c r="P72" i="10"/>
  <c r="B75" i="50" s="1"/>
  <c r="P66" i="10"/>
  <c r="B69" i="37" s="1"/>
  <c r="P41" i="10"/>
  <c r="C52" i="25"/>
  <c r="F52" i="37"/>
  <c r="H52" i="21"/>
  <c r="F52"/>
  <c r="H52" i="37"/>
  <c r="D52" i="25"/>
  <c r="F62" i="21"/>
  <c r="D62" i="25"/>
  <c r="C55"/>
  <c r="M75" i="21"/>
  <c r="B48" i="40"/>
  <c r="R50" s="1"/>
  <c r="I24"/>
  <c r="S26" s="1"/>
  <c r="I48"/>
  <c r="S50" s="1"/>
  <c r="B24"/>
  <c r="R26" s="1"/>
  <c r="B12"/>
  <c r="R14" s="1"/>
  <c r="N4" i="25"/>
  <c r="N3"/>
  <c r="I8" i="36"/>
  <c r="K8"/>
  <c r="J9"/>
  <c r="K9" i="7"/>
  <c r="J10"/>
  <c r="J11"/>
  <c r="K11" i="36"/>
  <c r="J12"/>
  <c r="J13" i="7"/>
  <c r="K13" i="36"/>
  <c r="J14"/>
  <c r="J15" i="7"/>
  <c r="J15" i="36"/>
  <c r="J16"/>
  <c r="J17" i="7"/>
  <c r="K17" i="36"/>
  <c r="J18" i="7"/>
  <c r="J18" i="36"/>
  <c r="J20" i="7"/>
  <c r="I21"/>
  <c r="AX21" s="1"/>
  <c r="J21"/>
  <c r="J21" i="36"/>
  <c r="J22" i="7"/>
  <c r="J22" i="36"/>
  <c r="K22" i="7"/>
  <c r="J23"/>
  <c r="J23" i="36"/>
  <c r="I24"/>
  <c r="J24" i="7"/>
  <c r="J24" i="36"/>
  <c r="K24"/>
  <c r="I25" i="7"/>
  <c r="G25"/>
  <c r="J25"/>
  <c r="J25" i="36"/>
  <c r="K25" i="7"/>
  <c r="K25" i="36"/>
  <c r="G26"/>
  <c r="J26" i="7"/>
  <c r="J26" i="36"/>
  <c r="K26"/>
  <c r="G27" i="7"/>
  <c r="J27"/>
  <c r="J27" i="36"/>
  <c r="I28" i="7"/>
  <c r="G28" i="36"/>
  <c r="J28" i="7"/>
  <c r="J28" i="36"/>
  <c r="K28"/>
  <c r="J29" i="7"/>
  <c r="J29" i="36"/>
  <c r="K29" i="7"/>
  <c r="K29" i="36"/>
  <c r="J30" i="7"/>
  <c r="J30" i="36"/>
  <c r="K30" i="7"/>
  <c r="J31"/>
  <c r="J31" i="36"/>
  <c r="J32" i="7"/>
  <c r="J32" i="36"/>
  <c r="K32"/>
  <c r="J33" i="7"/>
  <c r="J33" i="36"/>
  <c r="K33" i="7"/>
  <c r="K33" i="36"/>
  <c r="J34" i="7"/>
  <c r="J34" i="36"/>
  <c r="K34"/>
  <c r="J35" i="7"/>
  <c r="J35" i="36"/>
  <c r="J36" i="7"/>
  <c r="J36" i="36"/>
  <c r="K36"/>
  <c r="G37"/>
  <c r="J37" i="7"/>
  <c r="J37" i="36"/>
  <c r="K37" i="7"/>
  <c r="K37" i="36"/>
  <c r="J38" i="7"/>
  <c r="J38" i="36"/>
  <c r="J39" i="7"/>
  <c r="J39" i="36"/>
  <c r="J40" i="7"/>
  <c r="J40" i="36"/>
  <c r="K40"/>
  <c r="J41" i="7"/>
  <c r="J41" i="36"/>
  <c r="K41" i="7"/>
  <c r="K41" i="36"/>
  <c r="J42" i="7"/>
  <c r="J42" i="36"/>
  <c r="J43" i="7"/>
  <c r="J43" i="36"/>
  <c r="J44" i="7"/>
  <c r="J44" i="36"/>
  <c r="K44"/>
  <c r="J45" i="7"/>
  <c r="J45" i="36"/>
  <c r="K45" i="7"/>
  <c r="K45" i="36"/>
  <c r="I46" i="7"/>
  <c r="J46"/>
  <c r="J46" i="36"/>
  <c r="J47" i="7"/>
  <c r="J47" i="36"/>
  <c r="J48" i="7"/>
  <c r="J48" i="36"/>
  <c r="K48"/>
  <c r="J49" i="7"/>
  <c r="J49" i="36"/>
  <c r="K49" i="7"/>
  <c r="K49" i="36"/>
  <c r="J50" i="7"/>
  <c r="J50" i="36"/>
  <c r="J51" i="7"/>
  <c r="J51" i="36"/>
  <c r="J52" i="7"/>
  <c r="J52" i="36"/>
  <c r="K52"/>
  <c r="J53" i="7"/>
  <c r="J53" i="36"/>
  <c r="K53" i="7"/>
  <c r="K53" i="36"/>
  <c r="J54" i="7"/>
  <c r="J54" i="36"/>
  <c r="J55" i="7"/>
  <c r="J55" i="36"/>
  <c r="J56" i="7"/>
  <c r="J56" i="36"/>
  <c r="K56"/>
  <c r="J57" i="7"/>
  <c r="J57" i="36"/>
  <c r="K57" i="7"/>
  <c r="K57" i="36"/>
  <c r="J58" i="7"/>
  <c r="J58" i="36"/>
  <c r="J59" i="7"/>
  <c r="J59" i="36"/>
  <c r="J60" i="7"/>
  <c r="J60" i="36"/>
  <c r="K60"/>
  <c r="J61" i="7"/>
  <c r="J61" i="36"/>
  <c r="K61" i="7"/>
  <c r="K61" i="36"/>
  <c r="I62" i="7"/>
  <c r="J62"/>
  <c r="J62" i="36"/>
  <c r="J63" i="7"/>
  <c r="J63" i="36"/>
  <c r="J64" i="7"/>
  <c r="J64" i="36"/>
  <c r="K64"/>
  <c r="J65" i="7"/>
  <c r="J65" i="36"/>
  <c r="K65" i="7"/>
  <c r="K65" i="36"/>
  <c r="J66" i="7"/>
  <c r="J66" i="36"/>
  <c r="J67" i="7"/>
  <c r="J67" i="36"/>
  <c r="J68" i="7"/>
  <c r="J68" i="36"/>
  <c r="K68"/>
  <c r="J69" i="7"/>
  <c r="J69" i="36"/>
  <c r="K69" i="7"/>
  <c r="K69" i="36"/>
  <c r="J70" i="7"/>
  <c r="J70" i="36"/>
  <c r="K70" i="7"/>
  <c r="J71"/>
  <c r="J71" i="36"/>
  <c r="I72"/>
  <c r="J72" i="7"/>
  <c r="J72" i="36"/>
  <c r="K72"/>
  <c r="I73" i="7"/>
  <c r="J73"/>
  <c r="J73" i="36"/>
  <c r="K73" i="7"/>
  <c r="K73" i="36"/>
  <c r="J74" i="7"/>
  <c r="J74" i="36"/>
  <c r="K74" i="7"/>
  <c r="K74" i="36"/>
  <c r="I75" i="7"/>
  <c r="J75"/>
  <c r="J75" i="36"/>
  <c r="K75" i="7"/>
  <c r="J76"/>
  <c r="J76" i="36"/>
  <c r="J77" i="7"/>
  <c r="J77" i="36"/>
  <c r="K77" i="7"/>
  <c r="K77" i="36"/>
  <c r="I78" i="7"/>
  <c r="AX78" s="1"/>
  <c r="J78"/>
  <c r="J78" i="36"/>
  <c r="K78" i="7"/>
  <c r="K78" i="36"/>
  <c r="J79" i="7"/>
  <c r="J79" i="36"/>
  <c r="I80" i="7"/>
  <c r="J80"/>
  <c r="J80" i="36"/>
  <c r="I81" i="7"/>
  <c r="AX81" s="1"/>
  <c r="G81"/>
  <c r="J81"/>
  <c r="J81" i="36"/>
  <c r="K81" i="7"/>
  <c r="K81" i="36"/>
  <c r="I82"/>
  <c r="G82"/>
  <c r="J82" i="7"/>
  <c r="J82" i="36"/>
  <c r="K82" i="7"/>
  <c r="K82" i="36"/>
  <c r="G83" i="7"/>
  <c r="J83"/>
  <c r="J83" i="36"/>
  <c r="K83"/>
  <c r="G84"/>
  <c r="J84" i="7"/>
  <c r="J84" i="36"/>
  <c r="G85" i="7"/>
  <c r="J85"/>
  <c r="J85" i="36"/>
  <c r="K85" i="7"/>
  <c r="K85" i="36"/>
  <c r="G86"/>
  <c r="J86" i="7"/>
  <c r="J86" i="36"/>
  <c r="K86" i="7"/>
  <c r="K86" i="36"/>
  <c r="I87" i="7"/>
  <c r="G87"/>
  <c r="J87"/>
  <c r="J87" i="36"/>
  <c r="I88"/>
  <c r="G88"/>
  <c r="J88" i="7"/>
  <c r="J88" i="36"/>
  <c r="K88"/>
  <c r="J89" i="7"/>
  <c r="J89" i="36"/>
  <c r="K89" i="7"/>
  <c r="K89" i="36"/>
  <c r="I90"/>
  <c r="J90" i="7"/>
  <c r="J90" i="36"/>
  <c r="K90" i="7"/>
  <c r="K90" i="36"/>
  <c r="J91" i="7"/>
  <c r="J91" i="36"/>
  <c r="I92"/>
  <c r="J92" i="7"/>
  <c r="J92" i="36"/>
  <c r="I93"/>
  <c r="J93" i="7"/>
  <c r="J93" i="36"/>
  <c r="K93" i="7"/>
  <c r="K93" i="36"/>
  <c r="J94" i="7"/>
  <c r="J94" i="36"/>
  <c r="K94" i="7"/>
  <c r="K94" i="36"/>
  <c r="I95"/>
  <c r="J95" i="7"/>
  <c r="J95" i="36"/>
  <c r="K95"/>
  <c r="J96" i="7"/>
  <c r="J96" i="36"/>
  <c r="G97" i="7"/>
  <c r="J97"/>
  <c r="J97" i="36"/>
  <c r="K97" i="7"/>
  <c r="K97" i="36"/>
  <c r="I98" i="7"/>
  <c r="G98" i="36"/>
  <c r="J98" i="7"/>
  <c r="J98" i="36"/>
  <c r="K98" i="7"/>
  <c r="K98" i="36"/>
  <c r="I99"/>
  <c r="G99" i="7"/>
  <c r="J99"/>
  <c r="J99" i="36"/>
  <c r="K99" i="7"/>
  <c r="G100" i="36"/>
  <c r="J100" i="7"/>
  <c r="J100" i="36"/>
  <c r="I101"/>
  <c r="G101" i="7"/>
  <c r="J101"/>
  <c r="J101" i="36"/>
  <c r="K101" i="7"/>
  <c r="K101" i="36"/>
  <c r="G102"/>
  <c r="J102" i="7"/>
  <c r="J102" i="36"/>
  <c r="K102" i="7"/>
  <c r="K102" i="36"/>
  <c r="G103" i="7"/>
  <c r="J103"/>
  <c r="J103" i="36"/>
  <c r="I104" i="7"/>
  <c r="AX104" s="1"/>
  <c r="G104" i="36"/>
  <c r="J104" i="7"/>
  <c r="J104" i="36"/>
  <c r="K104"/>
  <c r="J105" i="7"/>
  <c r="J105" i="36"/>
  <c r="K105" i="7"/>
  <c r="K105" i="36"/>
  <c r="I106" i="7"/>
  <c r="AX106" s="1"/>
  <c r="J106"/>
  <c r="J106" i="36"/>
  <c r="K106" i="7"/>
  <c r="K106" i="36"/>
  <c r="J107" i="7"/>
  <c r="J107" i="36"/>
  <c r="I108" i="7"/>
  <c r="AX108" s="1"/>
  <c r="J108"/>
  <c r="J108" i="36"/>
  <c r="I109" i="7"/>
  <c r="AX109" s="1"/>
  <c r="J109"/>
  <c r="J109" i="36"/>
  <c r="K109" i="7"/>
  <c r="K109" i="36"/>
  <c r="J110" i="7"/>
  <c r="J110" i="36"/>
  <c r="K110" i="7"/>
  <c r="K110" i="36"/>
  <c r="I111" i="7"/>
  <c r="J111"/>
  <c r="J111" i="36"/>
  <c r="K111" i="7"/>
  <c r="J112"/>
  <c r="J112" i="36"/>
  <c r="G113" i="7"/>
  <c r="J113"/>
  <c r="J113" i="36"/>
  <c r="K113" i="7"/>
  <c r="K113" i="36"/>
  <c r="G114"/>
  <c r="J114" i="7"/>
  <c r="J114" i="36"/>
  <c r="K114" i="7"/>
  <c r="K114" i="36"/>
  <c r="I115" i="7"/>
  <c r="AX115" s="1"/>
  <c r="G115"/>
  <c r="J115"/>
  <c r="J115" i="36"/>
  <c r="I116" i="7"/>
  <c r="AX116" s="1"/>
  <c r="I116" i="36"/>
  <c r="G116" i="7"/>
  <c r="J116"/>
  <c r="J116" i="36"/>
  <c r="K116" i="7"/>
  <c r="AD113" i="49"/>
  <c r="AF113" s="1"/>
  <c r="AD110"/>
  <c r="AE110" s="1"/>
  <c r="B113" i="7" s="1"/>
  <c r="AD106" i="49"/>
  <c r="AE106" s="1"/>
  <c r="B109" i="7" s="1"/>
  <c r="AD102" i="49"/>
  <c r="AF102" s="1"/>
  <c r="M105" i="36" s="1"/>
  <c r="AD98" i="49"/>
  <c r="AE98" s="1"/>
  <c r="B101" i="7" s="1"/>
  <c r="AD94" i="49"/>
  <c r="AF94" s="1"/>
  <c r="M97" i="36" s="1"/>
  <c r="AD90" i="49"/>
  <c r="AF90" s="1"/>
  <c r="M93" i="36" s="1"/>
  <c r="AD86" i="49"/>
  <c r="AE86" s="1"/>
  <c r="B89" i="7" s="1"/>
  <c r="AD82" i="49"/>
  <c r="AE82" s="1"/>
  <c r="B85" i="7" s="1"/>
  <c r="AD78" i="49"/>
  <c r="AE78" s="1"/>
  <c r="B81" i="7" s="1"/>
  <c r="AD74" i="49"/>
  <c r="AE74" s="1"/>
  <c r="B77" i="7" s="1"/>
  <c r="AD70" i="49"/>
  <c r="AF70" s="1"/>
  <c r="M73" i="36" s="1"/>
  <c r="AD66" i="49"/>
  <c r="AF66" s="1"/>
  <c r="M69" i="36" s="1"/>
  <c r="AD62" i="49"/>
  <c r="AF62" s="1"/>
  <c r="M65" i="36" s="1"/>
  <c r="AD58" i="49"/>
  <c r="AF58" s="1"/>
  <c r="M61" i="36" s="1"/>
  <c r="AD54" i="49"/>
  <c r="AE54" s="1"/>
  <c r="B57" i="7" s="1"/>
  <c r="AD50" i="49"/>
  <c r="AE50" s="1"/>
  <c r="B53" i="7" s="1"/>
  <c r="AD46" i="49"/>
  <c r="AE46" s="1"/>
  <c r="B49" i="7" s="1"/>
  <c r="AD42" i="49"/>
  <c r="AE42" s="1"/>
  <c r="B45" i="7" s="1"/>
  <c r="AD38" i="49"/>
  <c r="AF38" s="1"/>
  <c r="M41" i="36" s="1"/>
  <c r="AD34" i="49"/>
  <c r="AE34" s="1"/>
  <c r="B37" i="7" s="1"/>
  <c r="AD6" i="49"/>
  <c r="AE6" s="1"/>
  <c r="AD10"/>
  <c r="AF10" s="1"/>
  <c r="M13" i="36" s="1"/>
  <c r="AD14" i="49"/>
  <c r="AE14" s="1"/>
  <c r="AD18"/>
  <c r="AF18" s="1"/>
  <c r="M21" i="36" s="1"/>
  <c r="CZ19" i="49"/>
  <c r="AD21"/>
  <c r="AF21" s="1"/>
  <c r="AD25"/>
  <c r="AF25" s="1"/>
  <c r="AD29"/>
  <c r="AF29" s="1"/>
  <c r="CW34"/>
  <c r="CX45"/>
  <c r="CZ47"/>
  <c r="CW50"/>
  <c r="CZ56"/>
  <c r="CW62"/>
  <c r="CW71"/>
  <c r="CX72"/>
  <c r="CW75"/>
  <c r="CW76"/>
  <c r="CX77"/>
  <c r="CX79"/>
  <c r="CZ79" s="1"/>
  <c r="CW82"/>
  <c r="CX83"/>
  <c r="CW85"/>
  <c r="CW86"/>
  <c r="CX86"/>
  <c r="CY86" s="1"/>
  <c r="CW87"/>
  <c r="CZ88"/>
  <c r="CX89"/>
  <c r="CW90"/>
  <c r="CZ90"/>
  <c r="CX91"/>
  <c r="CW92"/>
  <c r="CZ93"/>
  <c r="CX95"/>
  <c r="CW96"/>
  <c r="CX97"/>
  <c r="CW98"/>
  <c r="CZ99"/>
  <c r="CW101"/>
  <c r="CZ102"/>
  <c r="CX103"/>
  <c r="CW104"/>
  <c r="CZ104"/>
  <c r="CW106"/>
  <c r="CX107"/>
  <c r="CW108"/>
  <c r="CZ109"/>
  <c r="CX111"/>
  <c r="CW112"/>
  <c r="CX112"/>
  <c r="CY112"/>
  <c r="CW113"/>
  <c r="DB113"/>
  <c r="H116" i="7" s="1"/>
  <c r="CX113" i="49"/>
  <c r="CY113"/>
  <c r="CZ113"/>
  <c r="DA113"/>
  <c r="E1" i="25"/>
  <c r="H63" i="37"/>
  <c r="F116" i="21"/>
  <c r="H116" i="37"/>
  <c r="D116" i="25"/>
  <c r="H116" i="21"/>
  <c r="F116" i="37"/>
  <c r="C116" i="25"/>
  <c r="CM43" i="10"/>
  <c r="C46" i="25"/>
  <c r="F46" i="37"/>
  <c r="F46" i="21"/>
  <c r="D46" i="25"/>
  <c r="H46" i="37"/>
  <c r="H46" i="21"/>
  <c r="AM108" i="36"/>
  <c r="AM97"/>
  <c r="AN97" s="1"/>
  <c r="AM74"/>
  <c r="AN74" s="1"/>
  <c r="AM69"/>
  <c r="AN69" s="1"/>
  <c r="AM40"/>
  <c r="AN40" s="1"/>
  <c r="AM92"/>
  <c r="AM89"/>
  <c r="AN89" s="1"/>
  <c r="AM86"/>
  <c r="AN86" s="1"/>
  <c r="AM58"/>
  <c r="AN58" s="1"/>
  <c r="AM56"/>
  <c r="AN56" s="1"/>
  <c r="AM53"/>
  <c r="AN53" s="1"/>
  <c r="AM26"/>
  <c r="AN26" s="1"/>
  <c r="AM24"/>
  <c r="AM110"/>
  <c r="AN110" s="1"/>
  <c r="AN103"/>
  <c r="AM64"/>
  <c r="AN64" s="1"/>
  <c r="AM48"/>
  <c r="AN48"/>
  <c r="AN24"/>
  <c r="BD12" i="7"/>
  <c r="BE16"/>
  <c r="BE9"/>
  <c r="BD10"/>
  <c r="BE13"/>
  <c r="BF24"/>
  <c r="BD18"/>
  <c r="BD24"/>
  <c r="BF20"/>
  <c r="BC21"/>
  <c r="BD16"/>
  <c r="BF9"/>
  <c r="BC17"/>
  <c r="BC10"/>
  <c r="BE10"/>
  <c r="BC28"/>
  <c r="BF11"/>
  <c r="BC26"/>
  <c r="BC25"/>
  <c r="BD13"/>
  <c r="BC19"/>
  <c r="BE11"/>
  <c r="BC9"/>
  <c r="BC8"/>
  <c r="BD11"/>
  <c r="BE20"/>
  <c r="BE17"/>
  <c r="BF18"/>
  <c r="BD27"/>
  <c r="BE18"/>
  <c r="BD8"/>
  <c r="BF10"/>
  <c r="BD26"/>
  <c r="BF17"/>
  <c r="BF12"/>
  <c r="BF21"/>
  <c r="BF8"/>
  <c r="BE8"/>
  <c r="BF27"/>
  <c r="BE12"/>
  <c r="BC24"/>
  <c r="BF25"/>
  <c r="BC12"/>
  <c r="BD17"/>
  <c r="BE29"/>
  <c r="BC29"/>
  <c r="BF28"/>
  <c r="BD20"/>
  <c r="BE25"/>
  <c r="BD19"/>
  <c r="BD21"/>
  <c r="BF29"/>
  <c r="BD28"/>
  <c r="BF13"/>
  <c r="BE21"/>
  <c r="BF19"/>
  <c r="BD9"/>
  <c r="BC18"/>
  <c r="BE19"/>
  <c r="BF26"/>
  <c r="BE26"/>
  <c r="BE27"/>
  <c r="BE24"/>
  <c r="BC16"/>
  <c r="BC13"/>
  <c r="BD25"/>
  <c r="BD29"/>
  <c r="BF16"/>
  <c r="BC27"/>
  <c r="BC11"/>
  <c r="BE28"/>
  <c r="BC20"/>
  <c r="I36" i="40" l="1"/>
  <c r="S38" s="1"/>
  <c r="I12"/>
  <c r="S14" s="1"/>
  <c r="CH111" i="10"/>
  <c r="CJ111" s="1"/>
  <c r="CL111" s="1"/>
  <c r="CI111"/>
  <c r="CK111"/>
  <c r="CH108"/>
  <c r="CI108"/>
  <c r="CK108"/>
  <c r="G106" i="50"/>
  <c r="G96"/>
  <c r="G66"/>
  <c r="G66" i="37"/>
  <c r="J65" i="50"/>
  <c r="J65" i="21"/>
  <c r="J61" i="50"/>
  <c r="I61" i="25"/>
  <c r="J61" i="21"/>
  <c r="F54" i="50"/>
  <c r="H54"/>
  <c r="G53"/>
  <c r="G53" i="21"/>
  <c r="E53" i="25"/>
  <c r="H45" i="50"/>
  <c r="F45"/>
  <c r="F45" i="37"/>
  <c r="F45" i="21"/>
  <c r="G26" i="50"/>
  <c r="G26" i="21"/>
  <c r="I16" i="50"/>
  <c r="I20"/>
  <c r="I20" i="37"/>
  <c r="I23" i="50"/>
  <c r="I23" i="37"/>
  <c r="I60" i="50"/>
  <c r="I60" i="37"/>
  <c r="H60" i="25"/>
  <c r="H80" i="50"/>
  <c r="F80"/>
  <c r="M50"/>
  <c r="G50" i="25"/>
  <c r="F38" i="50"/>
  <c r="H38"/>
  <c r="H38" i="37"/>
  <c r="C38" i="25"/>
  <c r="F38" i="21"/>
  <c r="D38" i="25"/>
  <c r="M103" i="50"/>
  <c r="M103" i="21"/>
  <c r="I26" i="50"/>
  <c r="I26" i="37"/>
  <c r="I34" i="50"/>
  <c r="I41"/>
  <c r="I64"/>
  <c r="I67"/>
  <c r="I67" i="37"/>
  <c r="H67" i="25"/>
  <c r="I86" i="50"/>
  <c r="I111"/>
  <c r="I111" i="21"/>
  <c r="BE111" s="1"/>
  <c r="H111" i="25"/>
  <c r="K115" i="50"/>
  <c r="K115" i="37"/>
  <c r="K111" i="50"/>
  <c r="K111" i="21"/>
  <c r="J103" i="25"/>
  <c r="K103" i="50"/>
  <c r="K103" i="21"/>
  <c r="K87" i="50"/>
  <c r="K79"/>
  <c r="K79" i="21"/>
  <c r="K59" i="50"/>
  <c r="K59" i="37"/>
  <c r="K51" i="50"/>
  <c r="K43"/>
  <c r="K43" i="37"/>
  <c r="K35" i="50"/>
  <c r="K35" i="37"/>
  <c r="K27" i="50"/>
  <c r="K27" i="37"/>
  <c r="K23" i="50"/>
  <c r="K23" i="37"/>
  <c r="K23" i="21"/>
  <c r="K11" i="50"/>
  <c r="K11" i="37"/>
  <c r="F74" i="50"/>
  <c r="H74"/>
  <c r="F55"/>
  <c r="H55"/>
  <c r="H55" i="21"/>
  <c r="F55"/>
  <c r="F62" i="50"/>
  <c r="H62"/>
  <c r="F62" i="37"/>
  <c r="C62" i="25"/>
  <c r="H62" i="21"/>
  <c r="H62" i="37"/>
  <c r="J113" i="50"/>
  <c r="I113" i="25"/>
  <c r="G112" i="50"/>
  <c r="G112" i="37"/>
  <c r="CK96" i="10"/>
  <c r="CH96"/>
  <c r="CJ96" s="1"/>
  <c r="CL96" s="1"/>
  <c r="CM96"/>
  <c r="J98" i="50"/>
  <c r="I98" i="25"/>
  <c r="CJ93" i="10"/>
  <c r="CL93" s="1"/>
  <c r="CK93"/>
  <c r="G93" i="50"/>
  <c r="G93" i="37"/>
  <c r="E93" i="25"/>
  <c r="G93" i="21"/>
  <c r="J92" i="50"/>
  <c r="G90"/>
  <c r="J89"/>
  <c r="J89" i="21"/>
  <c r="I89" i="25"/>
  <c r="G88" i="50"/>
  <c r="G88" i="21"/>
  <c r="G81" i="50"/>
  <c r="E81" i="25"/>
  <c r="G81" i="21"/>
  <c r="H72" i="50"/>
  <c r="F72"/>
  <c r="CH68" i="10"/>
  <c r="CI68"/>
  <c r="J64" i="50"/>
  <c r="J64" i="37"/>
  <c r="J63" i="50"/>
  <c r="I63" i="25"/>
  <c r="J63" i="21"/>
  <c r="J63" i="37"/>
  <c r="J55" i="50"/>
  <c r="I55" i="25"/>
  <c r="G52" i="50"/>
  <c r="G51"/>
  <c r="G51" i="37"/>
  <c r="G51" i="21"/>
  <c r="J50" i="50"/>
  <c r="I50" i="25"/>
  <c r="J50" i="21"/>
  <c r="G46" i="50"/>
  <c r="G46" i="21"/>
  <c r="J18" i="50"/>
  <c r="J16"/>
  <c r="J16" i="37"/>
  <c r="G15" i="50"/>
  <c r="G15" i="21"/>
  <c r="F11" i="50"/>
  <c r="H11"/>
  <c r="G8"/>
  <c r="G8" i="21"/>
  <c r="I10" i="50"/>
  <c r="I13"/>
  <c r="I13" i="21"/>
  <c r="BD13" s="1"/>
  <c r="I25" i="50"/>
  <c r="I25" i="21"/>
  <c r="BD25" s="1"/>
  <c r="I44" i="50"/>
  <c r="I44" i="21"/>
  <c r="BE44" s="1"/>
  <c r="I44" i="37"/>
  <c r="I46" i="50"/>
  <c r="H54" i="25"/>
  <c r="I54" i="50"/>
  <c r="I54" i="37"/>
  <c r="I54" i="21"/>
  <c r="BE54" s="1"/>
  <c r="I79" i="50"/>
  <c r="I79" i="37"/>
  <c r="I102" i="50"/>
  <c r="I102" i="37"/>
  <c r="H102" i="25"/>
  <c r="I107" i="50"/>
  <c r="I107" i="21"/>
  <c r="G96"/>
  <c r="H43"/>
  <c r="CH40" i="10"/>
  <c r="M31" i="21"/>
  <c r="D55" i="25"/>
  <c r="C80"/>
  <c r="F70" i="21"/>
  <c r="J61" i="37"/>
  <c r="J65"/>
  <c r="CI51" i="10"/>
  <c r="CK51" s="1"/>
  <c r="G60" i="37"/>
  <c r="K115" i="21"/>
  <c r="G66"/>
  <c r="G36"/>
  <c r="H41" i="25"/>
  <c r="I67" i="21"/>
  <c r="BD67" s="1"/>
  <c r="I20"/>
  <c r="BE20" s="1"/>
  <c r="J60"/>
  <c r="I65" i="25"/>
  <c r="I26"/>
  <c r="F98" i="50"/>
  <c r="H98"/>
  <c r="J107"/>
  <c r="J107" i="37"/>
  <c r="I107" i="25"/>
  <c r="J95" i="37"/>
  <c r="J95" i="50"/>
  <c r="J95" i="21"/>
  <c r="J88" i="50"/>
  <c r="J88" i="37"/>
  <c r="I88" i="25"/>
  <c r="G79" i="50"/>
  <c r="G79" i="37"/>
  <c r="G77" i="50"/>
  <c r="G77" i="37"/>
  <c r="CI64" i="10"/>
  <c r="CH64"/>
  <c r="CK64"/>
  <c r="CM64" s="1"/>
  <c r="G62" i="50"/>
  <c r="G62" i="21"/>
  <c r="CH54" i="10"/>
  <c r="CI54"/>
  <c r="G42" i="50"/>
  <c r="E42" i="25"/>
  <c r="CH26" i="10"/>
  <c r="CK26"/>
  <c r="CH24"/>
  <c r="CJ24" s="1"/>
  <c r="CL24" s="1"/>
  <c r="CM24" s="1"/>
  <c r="CI24"/>
  <c r="CK24"/>
  <c r="I18" i="37"/>
  <c r="I18" i="50"/>
  <c r="I18" i="21"/>
  <c r="BE18" s="1"/>
  <c r="I27" i="50"/>
  <c r="I27" i="21"/>
  <c r="BD27" s="1"/>
  <c r="H27" i="25"/>
  <c r="I51" i="50"/>
  <c r="H51" i="25"/>
  <c r="I58" i="50"/>
  <c r="I58" i="21"/>
  <c r="BD58" s="1"/>
  <c r="I109" i="50"/>
  <c r="I109" i="21"/>
  <c r="BD109" s="1"/>
  <c r="F43" i="50"/>
  <c r="H43"/>
  <c r="F43" i="37"/>
  <c r="C43" i="25"/>
  <c r="F70" i="50"/>
  <c r="H70"/>
  <c r="H70" i="37"/>
  <c r="F70"/>
  <c r="F103" i="50"/>
  <c r="H103"/>
  <c r="F103" i="21"/>
  <c r="G111" i="50"/>
  <c r="G111" i="37"/>
  <c r="E111" i="25"/>
  <c r="G110" i="50"/>
  <c r="G110" i="21"/>
  <c r="J106" i="50"/>
  <c r="I106" i="25"/>
  <c r="J106" i="21"/>
  <c r="CI102" i="10"/>
  <c r="CH102"/>
  <c r="CI101"/>
  <c r="CM101"/>
  <c r="CK101"/>
  <c r="CH100"/>
  <c r="CL100"/>
  <c r="CK100"/>
  <c r="J102" i="50"/>
  <c r="G101"/>
  <c r="G101" i="37"/>
  <c r="J100" i="50"/>
  <c r="I100" i="25"/>
  <c r="J100" i="21"/>
  <c r="J99" i="50"/>
  <c r="I99" i="25"/>
  <c r="J87" i="50"/>
  <c r="I87" i="25"/>
  <c r="G85" i="50"/>
  <c r="G84"/>
  <c r="E84" i="25"/>
  <c r="J79" i="50"/>
  <c r="I79" i="25"/>
  <c r="J76" i="50"/>
  <c r="J76" i="21"/>
  <c r="G74" i="50"/>
  <c r="E74" i="25"/>
  <c r="G74" i="21"/>
  <c r="J73" i="50"/>
  <c r="I73" i="25"/>
  <c r="J73" i="37"/>
  <c r="J72" i="50"/>
  <c r="I72" i="25"/>
  <c r="J72" i="37"/>
  <c r="G56" i="50"/>
  <c r="E56" i="25"/>
  <c r="G49" i="50"/>
  <c r="E49" i="25"/>
  <c r="G48" i="50"/>
  <c r="E48" i="25"/>
  <c r="G48" i="21"/>
  <c r="G47" i="50"/>
  <c r="CJ40" i="10"/>
  <c r="CL40"/>
  <c r="G40" i="50"/>
  <c r="G40" i="21"/>
  <c r="J37" i="50"/>
  <c r="J37" i="21"/>
  <c r="G36" i="50"/>
  <c r="CJ29" i="10"/>
  <c r="CL29" s="1"/>
  <c r="CK29"/>
  <c r="CM29"/>
  <c r="CI28"/>
  <c r="CK28"/>
  <c r="CM28"/>
  <c r="J30" i="50"/>
  <c r="J30" i="37"/>
  <c r="G27" i="50"/>
  <c r="E27" i="25"/>
  <c r="G27" i="37"/>
  <c r="G24" i="50"/>
  <c r="G24" i="37"/>
  <c r="J20" i="50"/>
  <c r="J20" i="37"/>
  <c r="CH6" i="10"/>
  <c r="CI6"/>
  <c r="I32" i="50"/>
  <c r="I32" i="21"/>
  <c r="BE32" s="1"/>
  <c r="I43" i="50"/>
  <c r="I43" i="37"/>
  <c r="H43" i="25"/>
  <c r="I62" i="50"/>
  <c r="H62" i="25"/>
  <c r="I69" i="50"/>
  <c r="I69" i="21"/>
  <c r="BD69" s="1"/>
  <c r="I84" i="50"/>
  <c r="I84" i="37"/>
  <c r="H84" i="25"/>
  <c r="I84" i="21"/>
  <c r="BE84" s="1"/>
  <c r="I98" i="50"/>
  <c r="H98" i="25"/>
  <c r="I98" i="37"/>
  <c r="I114" i="50"/>
  <c r="I114" i="37"/>
  <c r="K91" i="50"/>
  <c r="K83"/>
  <c r="K75"/>
  <c r="K75" i="37"/>
  <c r="K47" i="50"/>
  <c r="K47" i="37"/>
  <c r="K39" i="50"/>
  <c r="K39" i="37"/>
  <c r="K31" i="50"/>
  <c r="K31" i="37"/>
  <c r="Q39" i="10"/>
  <c r="P39"/>
  <c r="H41" i="50"/>
  <c r="F41"/>
  <c r="H41" i="21"/>
  <c r="H96" i="50"/>
  <c r="F96"/>
  <c r="J114"/>
  <c r="J114" i="21"/>
  <c r="I114" i="25"/>
  <c r="G103" i="50"/>
  <c r="G103" i="21"/>
  <c r="E103" i="25"/>
  <c r="CH99" i="10"/>
  <c r="CM99" s="1"/>
  <c r="H102" i="37" s="1"/>
  <c r="CI99" i="10"/>
  <c r="CK99" s="1"/>
  <c r="J101" i="50"/>
  <c r="G98"/>
  <c r="G98" i="37"/>
  <c r="G92" i="50"/>
  <c r="G92" i="37"/>
  <c r="G92" i="21"/>
  <c r="J91" i="50"/>
  <c r="J91" i="21"/>
  <c r="CH87" i="10"/>
  <c r="CI87"/>
  <c r="CK87"/>
  <c r="G89" i="50"/>
  <c r="E89" i="25"/>
  <c r="G89" i="21"/>
  <c r="G86" i="50"/>
  <c r="J83"/>
  <c r="J83" i="37"/>
  <c r="J83" i="21"/>
  <c r="G70" i="50"/>
  <c r="J68"/>
  <c r="J68" i="21"/>
  <c r="J67" i="50"/>
  <c r="G55"/>
  <c r="G55" i="21"/>
  <c r="J54" i="50"/>
  <c r="J54" i="21"/>
  <c r="J49" i="50"/>
  <c r="J49" i="21"/>
  <c r="I49" i="25"/>
  <c r="J49" i="37"/>
  <c r="J47" i="50"/>
  <c r="J47" i="21"/>
  <c r="J40" i="50"/>
  <c r="G39"/>
  <c r="E39" i="25"/>
  <c r="G39" i="21"/>
  <c r="J38" i="50"/>
  <c r="J38" i="21"/>
  <c r="J38" i="37"/>
  <c r="J35" i="50"/>
  <c r="CJ32" i="10"/>
  <c r="CL32" s="1"/>
  <c r="CI32"/>
  <c r="G31" i="50"/>
  <c r="G31" i="37"/>
  <c r="G31" i="21"/>
  <c r="J29" i="50"/>
  <c r="J29" i="37"/>
  <c r="J29" i="21"/>
  <c r="G23" i="50"/>
  <c r="J22"/>
  <c r="J22" i="37"/>
  <c r="G21" i="50"/>
  <c r="J19"/>
  <c r="J19" i="21"/>
  <c r="G18" i="50"/>
  <c r="J17"/>
  <c r="I17" i="25"/>
  <c r="CI12" i="10"/>
  <c r="CK12"/>
  <c r="J12" i="50"/>
  <c r="G9" i="21"/>
  <c r="G9" i="50"/>
  <c r="I11"/>
  <c r="I28"/>
  <c r="I28" i="37"/>
  <c r="H30" i="25"/>
  <c r="I30" i="50"/>
  <c r="I50"/>
  <c r="I50" i="37"/>
  <c r="H50" i="25"/>
  <c r="I50" i="21"/>
  <c r="BE50" s="1"/>
  <c r="I71" i="50"/>
  <c r="H71" i="25"/>
  <c r="I73" i="50"/>
  <c r="I77"/>
  <c r="I77" i="21"/>
  <c r="BE77" s="1"/>
  <c r="H77" i="25"/>
  <c r="I77" i="37"/>
  <c r="I90" i="50"/>
  <c r="I90" i="21"/>
  <c r="BE90" s="1"/>
  <c r="I90" i="37"/>
  <c r="I100" i="50"/>
  <c r="I100" i="21"/>
  <c r="BE100" s="1"/>
  <c r="H45"/>
  <c r="CJ108" i="10"/>
  <c r="E66" i="25"/>
  <c r="CH51" i="10"/>
  <c r="J107" i="21"/>
  <c r="J41" i="37"/>
  <c r="H38" i="21"/>
  <c r="Q70" i="10"/>
  <c r="M73" i="21" s="1"/>
  <c r="Q55" i="10"/>
  <c r="CL101"/>
  <c r="I60" i="21"/>
  <c r="BD60" s="1"/>
  <c r="G53" i="37"/>
  <c r="G38"/>
  <c r="CL108" i="10"/>
  <c r="G77" i="21"/>
  <c r="G42"/>
  <c r="H26" i="25"/>
  <c r="E24"/>
  <c r="H20"/>
  <c r="G96" i="37"/>
  <c r="G84"/>
  <c r="I69"/>
  <c r="I51"/>
  <c r="G42"/>
  <c r="G40"/>
  <c r="I41" i="21"/>
  <c r="BD41" s="1"/>
  <c r="I51"/>
  <c r="BE51" s="1"/>
  <c r="CI26" i="10"/>
  <c r="CH47"/>
  <c r="CM47" s="1"/>
  <c r="CI30"/>
  <c r="J87" i="21"/>
  <c r="J79"/>
  <c r="J87" i="37"/>
  <c r="J76"/>
  <c r="J26"/>
  <c r="I76" i="25"/>
  <c r="I20"/>
  <c r="J37" i="37"/>
  <c r="CH29" i="10"/>
  <c r="I80" i="50"/>
  <c r="I113"/>
  <c r="F46"/>
  <c r="H46"/>
  <c r="H52"/>
  <c r="F52"/>
  <c r="F63" i="21"/>
  <c r="F63" i="50"/>
  <c r="H63"/>
  <c r="F84" i="37"/>
  <c r="H84" i="50"/>
  <c r="F84"/>
  <c r="J105"/>
  <c r="G100"/>
  <c r="J75"/>
  <c r="J71"/>
  <c r="G69"/>
  <c r="G64"/>
  <c r="G19"/>
  <c r="G12"/>
  <c r="G11"/>
  <c r="J7" i="37"/>
  <c r="J7" i="50"/>
  <c r="I29"/>
  <c r="I31"/>
  <c r="I40"/>
  <c r="I45"/>
  <c r="I52"/>
  <c r="I72"/>
  <c r="I76"/>
  <c r="I83"/>
  <c r="H87" i="25"/>
  <c r="I87" i="50"/>
  <c r="I97"/>
  <c r="I105"/>
  <c r="H112" i="25"/>
  <c r="I112" i="50"/>
  <c r="J114" i="25"/>
  <c r="K114" i="50"/>
  <c r="J110" i="25"/>
  <c r="K110" i="50"/>
  <c r="J106" i="25"/>
  <c r="K106" i="50"/>
  <c r="J102" i="25"/>
  <c r="K102" i="50"/>
  <c r="J98" i="25"/>
  <c r="K98" i="50"/>
  <c r="J94" i="25"/>
  <c r="K94" i="50"/>
  <c r="J90" i="25"/>
  <c r="K90" i="50"/>
  <c r="J86" i="25"/>
  <c r="K86" i="50"/>
  <c r="J82" i="25"/>
  <c r="K82" i="50"/>
  <c r="J78" i="25"/>
  <c r="K78" i="50"/>
  <c r="J74" i="25"/>
  <c r="K74" i="50"/>
  <c r="J70" i="25"/>
  <c r="K70" i="50"/>
  <c r="J66" i="25"/>
  <c r="K66" i="50"/>
  <c r="J62" i="25"/>
  <c r="K62" i="50"/>
  <c r="J58" i="25"/>
  <c r="K58" i="50"/>
  <c r="J54" i="25"/>
  <c r="K54" i="50"/>
  <c r="J50" i="25"/>
  <c r="K50" i="50"/>
  <c r="J46" i="25"/>
  <c r="K46" i="50"/>
  <c r="J42" i="25"/>
  <c r="K42" i="50"/>
  <c r="J38" i="25"/>
  <c r="K38" i="50"/>
  <c r="J34" i="25"/>
  <c r="K34" i="50"/>
  <c r="J30" i="25"/>
  <c r="K30" i="50"/>
  <c r="J26" i="25"/>
  <c r="K26" i="50"/>
  <c r="J22" i="25"/>
  <c r="K22" i="50"/>
  <c r="J18" i="25"/>
  <c r="K18" i="50"/>
  <c r="J14" i="25"/>
  <c r="K14" i="50"/>
  <c r="J10" i="25"/>
  <c r="K10" i="50"/>
  <c r="I96" i="21"/>
  <c r="BE96" s="1"/>
  <c r="K72"/>
  <c r="K80" i="37"/>
  <c r="K60" i="21"/>
  <c r="K56" i="37"/>
  <c r="K36" i="21"/>
  <c r="K52"/>
  <c r="H99" i="25"/>
  <c r="I101" i="21"/>
  <c r="CU56" i="10"/>
  <c r="L59" i="50" s="1"/>
  <c r="CU44" i="10"/>
  <c r="L47" i="50" s="1"/>
  <c r="CU41" i="10"/>
  <c r="L44" i="50" s="1"/>
  <c r="CU24" i="10"/>
  <c r="L27" i="50" s="1"/>
  <c r="CU17" i="10"/>
  <c r="L20" i="50" s="1"/>
  <c r="CU15" i="10"/>
  <c r="L18" i="50" s="1"/>
  <c r="CU13" i="10"/>
  <c r="L16" i="50" s="1"/>
  <c r="CU11" i="10"/>
  <c r="L14" i="50" s="1"/>
  <c r="CU5" i="10"/>
  <c r="L8" i="50" s="1"/>
  <c r="I82"/>
  <c r="I92"/>
  <c r="J76" i="25"/>
  <c r="K76" i="50"/>
  <c r="H44"/>
  <c r="F44"/>
  <c r="H21"/>
  <c r="F21"/>
  <c r="H56"/>
  <c r="F56"/>
  <c r="G109"/>
  <c r="G105"/>
  <c r="J84" i="21"/>
  <c r="J84" i="50"/>
  <c r="G82" i="21"/>
  <c r="G82" i="50"/>
  <c r="J81"/>
  <c r="J80"/>
  <c r="G78"/>
  <c r="G75"/>
  <c r="J70" i="21"/>
  <c r="J70" i="50"/>
  <c r="G32" i="21"/>
  <c r="G32" i="50"/>
  <c r="G28"/>
  <c r="J23"/>
  <c r="H17"/>
  <c r="F17"/>
  <c r="J15"/>
  <c r="J14" i="37"/>
  <c r="J14" i="50"/>
  <c r="J13"/>
  <c r="G10"/>
  <c r="G7"/>
  <c r="I7"/>
  <c r="P7" s="1"/>
  <c r="I12"/>
  <c r="I33"/>
  <c r="I35"/>
  <c r="I70"/>
  <c r="I103"/>
  <c r="I115"/>
  <c r="I38"/>
  <c r="K7"/>
  <c r="J113" i="25"/>
  <c r="K113" i="50"/>
  <c r="J109" i="25"/>
  <c r="K109" i="50"/>
  <c r="J105" i="25"/>
  <c r="K105" i="50"/>
  <c r="J101" i="25"/>
  <c r="K101" i="50"/>
  <c r="J97" i="25"/>
  <c r="K97" i="50"/>
  <c r="J93" i="25"/>
  <c r="K93" i="50"/>
  <c r="J89" i="25"/>
  <c r="K89" i="50"/>
  <c r="J85" i="25"/>
  <c r="K85" i="50"/>
  <c r="J81" i="25"/>
  <c r="K81" i="50"/>
  <c r="J77" i="25"/>
  <c r="K77" i="50"/>
  <c r="J73" i="25"/>
  <c r="K73" i="50"/>
  <c r="J69" i="25"/>
  <c r="K69" i="50"/>
  <c r="J65" i="25"/>
  <c r="K65" i="50"/>
  <c r="J61" i="25"/>
  <c r="K61" i="50"/>
  <c r="J57" i="25"/>
  <c r="K57" i="50"/>
  <c r="J53" i="25"/>
  <c r="K53" i="50"/>
  <c r="J49" i="25"/>
  <c r="K49" i="50"/>
  <c r="J45" i="25"/>
  <c r="K45" i="50"/>
  <c r="J41" i="25"/>
  <c r="K41" i="50"/>
  <c r="J37" i="25"/>
  <c r="K37" i="50"/>
  <c r="J33" i="25"/>
  <c r="K33" i="50"/>
  <c r="J29" i="25"/>
  <c r="K29" i="50"/>
  <c r="J25" i="25"/>
  <c r="K25" i="50"/>
  <c r="J21" i="25"/>
  <c r="K21" i="50"/>
  <c r="J17" i="25"/>
  <c r="K17" i="50"/>
  <c r="J13" i="25"/>
  <c r="K13" i="50"/>
  <c r="J9" i="25"/>
  <c r="K9" i="50"/>
  <c r="CU38" i="10"/>
  <c r="L41" i="50" s="1"/>
  <c r="H94" i="25"/>
  <c r="K72" i="37"/>
  <c r="K76"/>
  <c r="K88" i="21"/>
  <c r="K16" i="37"/>
  <c r="K52"/>
  <c r="K16" i="21"/>
  <c r="K32"/>
  <c r="K48"/>
  <c r="I82" i="37"/>
  <c r="I99" i="21"/>
  <c r="BD99" s="1"/>
  <c r="CU96" i="10"/>
  <c r="L99" i="50" s="1"/>
  <c r="CU93" i="10"/>
  <c r="L96" i="50" s="1"/>
  <c r="CU88" i="10"/>
  <c r="L91" i="50" s="1"/>
  <c r="CU85" i="10"/>
  <c r="L88" i="50" s="1"/>
  <c r="CU80" i="10"/>
  <c r="L83" i="50" s="1"/>
  <c r="CU77" i="10"/>
  <c r="L80" i="50" s="1"/>
  <c r="CU72" i="10"/>
  <c r="L75" i="50" s="1"/>
  <c r="CU64" i="10"/>
  <c r="L67" i="50" s="1"/>
  <c r="CU62" i="10"/>
  <c r="L65" i="50" s="1"/>
  <c r="CU52" i="10"/>
  <c r="L55" i="50" s="1"/>
  <c r="CU49" i="10"/>
  <c r="L52" i="50" s="1"/>
  <c r="CU32" i="10"/>
  <c r="L35" i="50" s="1"/>
  <c r="CU30" i="10"/>
  <c r="L33" i="50" s="1"/>
  <c r="CU20" i="10"/>
  <c r="L23" i="50" s="1"/>
  <c r="CU16" i="10"/>
  <c r="L19" i="50" s="1"/>
  <c r="Q102" i="10"/>
  <c r="F45" i="25"/>
  <c r="P84" i="10"/>
  <c r="B87" i="50" s="1"/>
  <c r="P99" i="10"/>
  <c r="B102" i="50" s="1"/>
  <c r="P91" i="10"/>
  <c r="M44" i="37"/>
  <c r="P47" i="10"/>
  <c r="P28"/>
  <c r="Q20"/>
  <c r="M23" i="50" s="1"/>
  <c r="Q54" i="10"/>
  <c r="M57" i="50" s="1"/>
  <c r="P53" i="10"/>
  <c r="B56" i="50" s="1"/>
  <c r="P104" i="10"/>
  <c r="B107" i="50" s="1"/>
  <c r="B44" i="21"/>
  <c r="B44" i="50"/>
  <c r="B73"/>
  <c r="M71"/>
  <c r="M49" i="37"/>
  <c r="M49" i="50"/>
  <c r="M40" i="21"/>
  <c r="M40" i="50"/>
  <c r="F76" i="25"/>
  <c r="B76" i="50"/>
  <c r="M88"/>
  <c r="B86"/>
  <c r="B46" i="21"/>
  <c r="B46" i="50"/>
  <c r="F111" i="25"/>
  <c r="B111" i="50"/>
  <c r="B95"/>
  <c r="M69"/>
  <c r="M73"/>
  <c r="M91"/>
  <c r="M59"/>
  <c r="M51"/>
  <c r="F42" i="25"/>
  <c r="B103" i="21"/>
  <c r="B103" i="50"/>
  <c r="M104" i="21"/>
  <c r="M104" i="50"/>
  <c r="M102"/>
  <c r="Q59" i="10"/>
  <c r="M62" i="50" s="1"/>
  <c r="B73" i="21"/>
  <c r="Q49" i="10"/>
  <c r="M52" i="21" s="1"/>
  <c r="P81" i="10"/>
  <c r="B84" i="37" s="1"/>
  <c r="B111"/>
  <c r="Q110" i="10"/>
  <c r="M113" i="37" s="1"/>
  <c r="B69" i="50"/>
  <c r="B36"/>
  <c r="B63"/>
  <c r="B101"/>
  <c r="B50" i="37"/>
  <c r="B50" i="50"/>
  <c r="M58"/>
  <c r="B65"/>
  <c r="B85"/>
  <c r="B94"/>
  <c r="B112" i="21"/>
  <c r="B112" i="50"/>
  <c r="F39" i="25"/>
  <c r="B39" i="50"/>
  <c r="M68"/>
  <c r="B54" i="37"/>
  <c r="B54" i="50"/>
  <c r="M31"/>
  <c r="B23"/>
  <c r="M42" i="37"/>
  <c r="M111" i="21"/>
  <c r="M111" i="50"/>
  <c r="M96" i="37"/>
  <c r="M96" i="50"/>
  <c r="P17" i="10"/>
  <c r="P25"/>
  <c r="B28" i="37" s="1"/>
  <c r="P85" i="10"/>
  <c r="B88" i="50" s="1"/>
  <c r="K115" i="7"/>
  <c r="I114"/>
  <c r="AX114" s="1"/>
  <c r="I103"/>
  <c r="AX103" s="1"/>
  <c r="I97"/>
  <c r="AX97" s="1"/>
  <c r="I96"/>
  <c r="I94"/>
  <c r="AX94" s="1"/>
  <c r="K91"/>
  <c r="I91"/>
  <c r="I89"/>
  <c r="AX89" s="1"/>
  <c r="K87"/>
  <c r="I86"/>
  <c r="AX86" s="1"/>
  <c r="I84"/>
  <c r="AX84" s="1"/>
  <c r="K67"/>
  <c r="K59"/>
  <c r="K55"/>
  <c r="K51"/>
  <c r="K43"/>
  <c r="K39" i="36"/>
  <c r="K31"/>
  <c r="I29" i="7"/>
  <c r="I19" i="36"/>
  <c r="I16" i="7"/>
  <c r="AW16" s="1"/>
  <c r="I11"/>
  <c r="AX11" s="1"/>
  <c r="DJ111" i="49"/>
  <c r="L114" i="7" s="1"/>
  <c r="DJ107" i="49"/>
  <c r="L110" i="7" s="1"/>
  <c r="DJ105" i="49"/>
  <c r="L108" i="7" s="1"/>
  <c r="DJ87" i="49"/>
  <c r="L90" i="7" s="1"/>
  <c r="DJ80" i="49"/>
  <c r="L83" i="7" s="1"/>
  <c r="DJ72" i="49"/>
  <c r="L75" i="7" s="1"/>
  <c r="DJ64" i="49"/>
  <c r="L67" i="7" s="1"/>
  <c r="DJ58" i="49"/>
  <c r="L61" i="7" s="1"/>
  <c r="DJ54" i="49"/>
  <c r="L57" i="7" s="1"/>
  <c r="DJ43" i="49"/>
  <c r="L46" i="7" s="1"/>
  <c r="DJ41" i="49"/>
  <c r="L44" i="7" s="1"/>
  <c r="DJ39" i="49"/>
  <c r="L42" i="7" s="1"/>
  <c r="DJ37" i="49"/>
  <c r="L40" i="7" s="1"/>
  <c r="I113"/>
  <c r="AX113" s="1"/>
  <c r="I112"/>
  <c r="AX112" s="1"/>
  <c r="I110"/>
  <c r="AX110" s="1"/>
  <c r="K107"/>
  <c r="I107"/>
  <c r="AX107" s="1"/>
  <c r="I105"/>
  <c r="AX105" s="1"/>
  <c r="K103"/>
  <c r="I102"/>
  <c r="AX102" s="1"/>
  <c r="I100"/>
  <c r="AX100" s="1"/>
  <c r="I85"/>
  <c r="AX85" s="1"/>
  <c r="I83"/>
  <c r="AW83" s="1"/>
  <c r="K79"/>
  <c r="I79"/>
  <c r="AX79" s="1"/>
  <c r="I77"/>
  <c r="AX77" s="1"/>
  <c r="I76"/>
  <c r="I74"/>
  <c r="K71"/>
  <c r="I69" i="36"/>
  <c r="I68"/>
  <c r="I67"/>
  <c r="I65"/>
  <c r="I64" i="7"/>
  <c r="AW64" s="1"/>
  <c r="I59" i="36"/>
  <c r="I57" i="7"/>
  <c r="AW57" s="1"/>
  <c r="I56" i="36"/>
  <c r="I55" i="7"/>
  <c r="AW55" s="1"/>
  <c r="I53" i="36"/>
  <c r="I52"/>
  <c r="I51"/>
  <c r="I49"/>
  <c r="I48" i="7"/>
  <c r="AX48" s="1"/>
  <c r="I43" i="36"/>
  <c r="I41"/>
  <c r="I40" i="7"/>
  <c r="AW40" s="1"/>
  <c r="I39" i="36"/>
  <c r="I36" i="7"/>
  <c r="I33" i="36"/>
  <c r="I32" i="7"/>
  <c r="I31" i="36"/>
  <c r="I30"/>
  <c r="I26" i="7"/>
  <c r="K23"/>
  <c r="I20"/>
  <c r="AX20" s="1"/>
  <c r="I18"/>
  <c r="I15"/>
  <c r="I13"/>
  <c r="AX13" s="1"/>
  <c r="DJ96" i="49"/>
  <c r="L99" i="7" s="1"/>
  <c r="DJ88" i="49"/>
  <c r="L91" i="7" s="1"/>
  <c r="DJ59" i="49"/>
  <c r="L62" i="7" s="1"/>
  <c r="DJ57" i="49"/>
  <c r="L60" i="7" s="1"/>
  <c r="DJ55" i="49"/>
  <c r="L58" i="7" s="1"/>
  <c r="DJ53" i="49"/>
  <c r="L56" i="7" s="1"/>
  <c r="DJ28" i="49"/>
  <c r="L31" i="7" s="1"/>
  <c r="I71" i="36"/>
  <c r="I70"/>
  <c r="I66"/>
  <c r="I63" i="7"/>
  <c r="I61"/>
  <c r="AX61" s="1"/>
  <c r="I60" i="36"/>
  <c r="I58" i="7"/>
  <c r="I54"/>
  <c r="I50" i="36"/>
  <c r="I47" i="7"/>
  <c r="AW47" s="1"/>
  <c r="I45"/>
  <c r="I44" i="36"/>
  <c r="I42" i="7"/>
  <c r="AX42" s="1"/>
  <c r="I38"/>
  <c r="AX38" s="1"/>
  <c r="I35"/>
  <c r="AW35" s="1"/>
  <c r="I34" i="36"/>
  <c r="K27"/>
  <c r="I27" i="7"/>
  <c r="AW27" s="1"/>
  <c r="I23" i="36"/>
  <c r="I22"/>
  <c r="I17" i="7"/>
  <c r="AX17" s="1"/>
  <c r="DJ112" i="49"/>
  <c r="L115" i="7" s="1"/>
  <c r="DJ104" i="49"/>
  <c r="L107" i="7" s="1"/>
  <c r="DJ81" i="49"/>
  <c r="L84" i="7" s="1"/>
  <c r="DJ79" i="49"/>
  <c r="L82" i="7" s="1"/>
  <c r="DJ75" i="49"/>
  <c r="L78" i="7" s="1"/>
  <c r="DJ73" i="49"/>
  <c r="L76" i="7" s="1"/>
  <c r="DJ69" i="49"/>
  <c r="L72" i="7" s="1"/>
  <c r="DJ44" i="49"/>
  <c r="L47" i="7" s="1"/>
  <c r="DJ32" i="49"/>
  <c r="L35" i="7" s="1"/>
  <c r="AD26" i="49"/>
  <c r="AD19"/>
  <c r="AF19" s="1"/>
  <c r="M22" i="36" s="1"/>
  <c r="AD11" i="49"/>
  <c r="AD33"/>
  <c r="AF33" s="1"/>
  <c r="M36" i="36" s="1"/>
  <c r="AD41" i="49"/>
  <c r="AD53"/>
  <c r="AF53" s="1"/>
  <c r="AD69"/>
  <c r="AF69" s="1"/>
  <c r="AD31"/>
  <c r="AE31" s="1"/>
  <c r="B34" i="36" s="1"/>
  <c r="AD27" i="49"/>
  <c r="AE27" s="1"/>
  <c r="B30" i="7" s="1"/>
  <c r="AD23" i="49"/>
  <c r="AD16"/>
  <c r="AF16" s="1"/>
  <c r="M19" i="36" s="1"/>
  <c r="AD12" i="49"/>
  <c r="AE12" s="1"/>
  <c r="B15" i="36" s="1"/>
  <c r="AD8" i="49"/>
  <c r="AE8" s="1"/>
  <c r="B11" i="36" s="1"/>
  <c r="AD32" i="49"/>
  <c r="AE32" s="1"/>
  <c r="B35" i="36" s="1"/>
  <c r="AD36" i="49"/>
  <c r="AD40"/>
  <c r="AE40" s="1"/>
  <c r="B43" i="7" s="1"/>
  <c r="AD44" i="49"/>
  <c r="AE44" s="1"/>
  <c r="B47" i="7" s="1"/>
  <c r="AD48" i="49"/>
  <c r="AD52"/>
  <c r="AE52" s="1"/>
  <c r="B55" i="36" s="1"/>
  <c r="AD56" i="49"/>
  <c r="AD60"/>
  <c r="AE60" s="1"/>
  <c r="B63" i="7" s="1"/>
  <c r="AD64" i="49"/>
  <c r="AD68"/>
  <c r="AE68" s="1"/>
  <c r="B71" i="36" s="1"/>
  <c r="AD72" i="49"/>
  <c r="AD76"/>
  <c r="AF76" s="1"/>
  <c r="M79" i="36" s="1"/>
  <c r="AD80" i="49"/>
  <c r="AD84"/>
  <c r="AE84" s="1"/>
  <c r="B87" i="36" s="1"/>
  <c r="AD88" i="49"/>
  <c r="AD92"/>
  <c r="AE92" s="1"/>
  <c r="B95" i="7" s="1"/>
  <c r="AD96" i="49"/>
  <c r="AD100"/>
  <c r="AE100" s="1"/>
  <c r="B103" i="36" s="1"/>
  <c r="AD104" i="49"/>
  <c r="AD108"/>
  <c r="AE108" s="1"/>
  <c r="B111" i="7" s="1"/>
  <c r="AD112" i="49"/>
  <c r="AD30"/>
  <c r="AE30" s="1"/>
  <c r="B33" i="7" s="1"/>
  <c r="AD22" i="49"/>
  <c r="AE22" s="1"/>
  <c r="B25" i="36" s="1"/>
  <c r="AD15" i="49"/>
  <c r="AE15" s="1"/>
  <c r="B18" i="7" s="1"/>
  <c r="AD7" i="49"/>
  <c r="AE7" s="1"/>
  <c r="AD37"/>
  <c r="AF37" s="1"/>
  <c r="M40" i="36" s="1"/>
  <c r="AD45" i="49"/>
  <c r="AF45" s="1"/>
  <c r="M48" i="36" s="1"/>
  <c r="AD49" i="49"/>
  <c r="AF49" s="1"/>
  <c r="M52" i="36" s="1"/>
  <c r="AD57" i="49"/>
  <c r="AF57" s="1"/>
  <c r="AD61"/>
  <c r="AF61" s="1"/>
  <c r="AD65"/>
  <c r="AF65" s="1"/>
  <c r="M68" i="36" s="1"/>
  <c r="AD73" i="49"/>
  <c r="AF73" s="1"/>
  <c r="AD77"/>
  <c r="AF77" s="1"/>
  <c r="AD81"/>
  <c r="AF81" s="1"/>
  <c r="AD85"/>
  <c r="AF85" s="1"/>
  <c r="AD89"/>
  <c r="AD93"/>
  <c r="AF93" s="1"/>
  <c r="AD97"/>
  <c r="AF97" s="1"/>
  <c r="M100" i="36" s="1"/>
  <c r="AD101" i="49"/>
  <c r="AF101" s="1"/>
  <c r="M104" i="36" s="1"/>
  <c r="AD105" i="49"/>
  <c r="AF105" s="1"/>
  <c r="AD109"/>
  <c r="AF109" s="1"/>
  <c r="AD28"/>
  <c r="AF28" s="1"/>
  <c r="M31" i="36" s="1"/>
  <c r="AD24" i="49"/>
  <c r="AE24" s="1"/>
  <c r="B27" i="36" s="1"/>
  <c r="AD20" i="49"/>
  <c r="AE20" s="1"/>
  <c r="B23" i="36" s="1"/>
  <c r="AD17" i="49"/>
  <c r="AE17" s="1"/>
  <c r="B20" i="36" s="1"/>
  <c r="AD13" i="49"/>
  <c r="AF13" s="1"/>
  <c r="M16" i="36" s="1"/>
  <c r="AD9" i="49"/>
  <c r="AF9" s="1"/>
  <c r="M12" i="36" s="1"/>
  <c r="AD5" i="49"/>
  <c r="AD35"/>
  <c r="AE35" s="1"/>
  <c r="AD39"/>
  <c r="AE39" s="1"/>
  <c r="B42" i="7" s="1"/>
  <c r="AD43" i="49"/>
  <c r="AE43" s="1"/>
  <c r="AD47"/>
  <c r="AE47" s="1"/>
  <c r="B50" i="7" s="1"/>
  <c r="AD51" i="49"/>
  <c r="AE51" s="1"/>
  <c r="AD55"/>
  <c r="AE55" s="1"/>
  <c r="B58" i="36" s="1"/>
  <c r="AD59" i="49"/>
  <c r="AE59" s="1"/>
  <c r="AD63"/>
  <c r="AE63" s="1"/>
  <c r="B66" i="7" s="1"/>
  <c r="AD67" i="49"/>
  <c r="AE67" s="1"/>
  <c r="AD71"/>
  <c r="AE71" s="1"/>
  <c r="B74" i="7" s="1"/>
  <c r="AD75" i="49"/>
  <c r="AE75" s="1"/>
  <c r="AD79"/>
  <c r="AE79" s="1"/>
  <c r="B82" i="7" s="1"/>
  <c r="AD83" i="49"/>
  <c r="AE83" s="1"/>
  <c r="AD87"/>
  <c r="AE87" s="1"/>
  <c r="B90" i="36" s="1"/>
  <c r="AD91" i="49"/>
  <c r="AE91" s="1"/>
  <c r="AD95"/>
  <c r="AE95" s="1"/>
  <c r="B98" i="7" s="1"/>
  <c r="AD99" i="49"/>
  <c r="AE99" s="1"/>
  <c r="AD103"/>
  <c r="AE103" s="1"/>
  <c r="B106" i="7" s="1"/>
  <c r="AD107" i="49"/>
  <c r="AE107" s="1"/>
  <c r="B110" i="36" s="1"/>
  <c r="AD111" i="49"/>
  <c r="AE111" s="1"/>
  <c r="B114" i="36" s="1"/>
  <c r="BC92" i="21"/>
  <c r="BC98"/>
  <c r="BD98" s="1"/>
  <c r="BC40"/>
  <c r="BC77"/>
  <c r="BC70"/>
  <c r="BE70" s="1"/>
  <c r="BC58"/>
  <c r="BE58" s="1"/>
  <c r="BC46"/>
  <c r="BC67"/>
  <c r="BE67" s="1"/>
  <c r="BC115"/>
  <c r="BD115" s="1"/>
  <c r="BC34"/>
  <c r="BE34" s="1"/>
  <c r="BC102"/>
  <c r="BD102" s="1"/>
  <c r="BC94"/>
  <c r="BD94" s="1"/>
  <c r="BC61"/>
  <c r="BC48"/>
  <c r="BD48" s="1"/>
  <c r="BC103"/>
  <c r="BD103" s="1"/>
  <c r="BC24"/>
  <c r="BD24" s="1"/>
  <c r="BC82"/>
  <c r="BD82" s="1"/>
  <c r="BC78"/>
  <c r="BD46"/>
  <c r="BC53"/>
  <c r="BD53" s="1"/>
  <c r="BD116"/>
  <c r="BC59"/>
  <c r="BC74"/>
  <c r="BD74" s="1"/>
  <c r="BC104"/>
  <c r="BD36"/>
  <c r="BC55"/>
  <c r="BD55" s="1"/>
  <c r="BC35"/>
  <c r="BE35" s="1"/>
  <c r="BC31"/>
  <c r="BD31" s="1"/>
  <c r="BC105"/>
  <c r="BD105" s="1"/>
  <c r="BC25"/>
  <c r="BE25" s="1"/>
  <c r="BC27"/>
  <c r="BD112"/>
  <c r="BE40"/>
  <c r="BC32"/>
  <c r="BD32" s="1"/>
  <c r="BC51"/>
  <c r="BD51" s="1"/>
  <c r="BC83"/>
  <c r="BD83" s="1"/>
  <c r="BC91"/>
  <c r="BD91" s="1"/>
  <c r="BD93"/>
  <c r="BC111"/>
  <c r="BE31"/>
  <c r="BD110"/>
  <c r="BC39"/>
  <c r="BD39" s="1"/>
  <c r="BC43"/>
  <c r="BC81"/>
  <c r="BD81" s="1"/>
  <c r="BC42"/>
  <c r="BC56"/>
  <c r="BE56" s="1"/>
  <c r="BC64"/>
  <c r="BC101"/>
  <c r="BC107"/>
  <c r="BD107" s="1"/>
  <c r="BC66"/>
  <c r="BE66" s="1"/>
  <c r="BC33"/>
  <c r="BD33" s="1"/>
  <c r="BC37"/>
  <c r="BD37" s="1"/>
  <c r="BC45"/>
  <c r="BD45" s="1"/>
  <c r="AH117"/>
  <c r="BD40"/>
  <c r="BD97"/>
  <c r="BC44"/>
  <c r="BD44" s="1"/>
  <c r="BC73"/>
  <c r="BD73" s="1"/>
  <c r="BC75"/>
  <c r="BC88"/>
  <c r="BD88" s="1"/>
  <c r="BC96"/>
  <c r="A12" i="37"/>
  <c r="AU60"/>
  <c r="A8"/>
  <c r="AU59"/>
  <c r="A9"/>
  <c r="AZ32" i="7"/>
  <c r="AY32"/>
  <c r="AY53"/>
  <c r="AY52"/>
  <c r="AY51"/>
  <c r="AY50"/>
  <c r="AY49"/>
  <c r="AY48"/>
  <c r="AY45"/>
  <c r="AY44"/>
  <c r="AY43"/>
  <c r="AY42"/>
  <c r="AY41"/>
  <c r="AY40"/>
  <c r="AY37"/>
  <c r="AY36"/>
  <c r="AY35"/>
  <c r="AY34"/>
  <c r="AY33"/>
  <c r="AQ16"/>
  <c r="AW87"/>
  <c r="AW39"/>
  <c r="AX65"/>
  <c r="AW85"/>
  <c r="AW46"/>
  <c r="AW93"/>
  <c r="AW29"/>
  <c r="AN92" i="36"/>
  <c r="AN68"/>
  <c r="AN109"/>
  <c r="AN101"/>
  <c r="AN93"/>
  <c r="AN25"/>
  <c r="AN108"/>
  <c r="AN39"/>
  <c r="AM32"/>
  <c r="AN32" s="1"/>
  <c r="AN51"/>
  <c r="AM85"/>
  <c r="AN85" s="1"/>
  <c r="AM114"/>
  <c r="AN114" s="1"/>
  <c r="AM78"/>
  <c r="AN78" s="1"/>
  <c r="AM66"/>
  <c r="AN66" s="1"/>
  <c r="AM63"/>
  <c r="AN63" s="1"/>
  <c r="AM45"/>
  <c r="AN45" s="1"/>
  <c r="AF117"/>
  <c r="AM37"/>
  <c r="AN37" s="1"/>
  <c r="AM42"/>
  <c r="AN42" s="1"/>
  <c r="AM72"/>
  <c r="AN72" s="1"/>
  <c r="AM95"/>
  <c r="AN95" s="1"/>
  <c r="AM102"/>
  <c r="AN102" s="1"/>
  <c r="AN21"/>
  <c r="AN23"/>
  <c r="AN47"/>
  <c r="AN29"/>
  <c r="AN8"/>
  <c r="AN106"/>
  <c r="AM100"/>
  <c r="AN100" s="1"/>
  <c r="AN90"/>
  <c r="AM62"/>
  <c r="AN62" s="1"/>
  <c r="AN54"/>
  <c r="AM50"/>
  <c r="AN50" s="1"/>
  <c r="AM38"/>
  <c r="AN38" s="1"/>
  <c r="AM17"/>
  <c r="AN17" s="1"/>
  <c r="AM15"/>
  <c r="AN15" s="1"/>
  <c r="AM11"/>
  <c r="AN11" s="1"/>
  <c r="AM39"/>
  <c r="F96" i="37"/>
  <c r="H96" i="21"/>
  <c r="D96" i="25"/>
  <c r="H96" i="37"/>
  <c r="C96" i="25"/>
  <c r="F96" i="21"/>
  <c r="H80" i="37"/>
  <c r="D80" i="25"/>
  <c r="H80" i="21"/>
  <c r="F80" i="37"/>
  <c r="F102" i="21"/>
  <c r="Q75" i="10"/>
  <c r="M78" i="50" s="1"/>
  <c r="P75" i="10"/>
  <c r="B78" i="50" s="1"/>
  <c r="H98" i="21"/>
  <c r="D98" i="25"/>
  <c r="F98" i="37"/>
  <c r="C98" i="25"/>
  <c r="F98" i="21"/>
  <c r="H98" i="37"/>
  <c r="P74" i="10"/>
  <c r="B77" i="50" s="1"/>
  <c r="Q74" i="10"/>
  <c r="M77" i="50" s="1"/>
  <c r="P80" i="10"/>
  <c r="B83" i="50" s="1"/>
  <c r="Q80" i="10"/>
  <c r="M83" i="50" s="1"/>
  <c r="F80" i="21"/>
  <c r="BE87"/>
  <c r="BE99"/>
  <c r="G115"/>
  <c r="G115" i="37"/>
  <c r="E113" i="25"/>
  <c r="J111" i="21"/>
  <c r="J111" i="37"/>
  <c r="I111" i="25"/>
  <c r="J109" i="21"/>
  <c r="CH103" i="10"/>
  <c r="I104" i="25"/>
  <c r="J104" i="37"/>
  <c r="CH98" i="10"/>
  <c r="CJ98" s="1"/>
  <c r="CL98" s="1"/>
  <c r="CM98" s="1"/>
  <c r="CK98"/>
  <c r="Q96"/>
  <c r="M99" i="50" s="1"/>
  <c r="P96" i="10"/>
  <c r="B99" i="50" s="1"/>
  <c r="I96" i="25"/>
  <c r="CH89" i="10"/>
  <c r="CJ89"/>
  <c r="CL89" s="1"/>
  <c r="G89" i="37"/>
  <c r="G85" i="21"/>
  <c r="G85" i="37"/>
  <c r="CI78" i="10"/>
  <c r="CK78" s="1"/>
  <c r="CH78"/>
  <c r="G80" i="37"/>
  <c r="E80" i="25"/>
  <c r="G80" i="21"/>
  <c r="I77" i="25"/>
  <c r="J77" i="21"/>
  <c r="CH73" i="10"/>
  <c r="I85" i="21"/>
  <c r="H108" i="25"/>
  <c r="I108" i="37"/>
  <c r="I114" i="21"/>
  <c r="J115" i="25"/>
  <c r="J111"/>
  <c r="J107"/>
  <c r="J99"/>
  <c r="K99" i="37"/>
  <c r="J95" i="25"/>
  <c r="K95" i="37"/>
  <c r="J91" i="25"/>
  <c r="K91" i="37"/>
  <c r="K91" i="21"/>
  <c r="J87" i="25"/>
  <c r="K87" i="37"/>
  <c r="K87" i="21"/>
  <c r="J83" i="25"/>
  <c r="K83" i="37"/>
  <c r="J79" i="25"/>
  <c r="K79" i="37"/>
  <c r="J75" i="25"/>
  <c r="K75" i="21"/>
  <c r="G114" i="37"/>
  <c r="G114" i="21"/>
  <c r="CI107" i="10"/>
  <c r="CK107" s="1"/>
  <c r="CH107"/>
  <c r="G106" i="21"/>
  <c r="G106" i="37"/>
  <c r="E101" i="25"/>
  <c r="G101" i="21"/>
  <c r="J100" i="37"/>
  <c r="J99" i="21"/>
  <c r="J99" i="37"/>
  <c r="G98" i="21"/>
  <c r="E98" i="25"/>
  <c r="E95"/>
  <c r="I91"/>
  <c r="J91" i="37"/>
  <c r="CJ87" i="10"/>
  <c r="CL87" s="1"/>
  <c r="CM87" s="1"/>
  <c r="J88" i="21"/>
  <c r="E86" i="25"/>
  <c r="G86" i="37"/>
  <c r="G86" i="21"/>
  <c r="I85" i="25"/>
  <c r="J85" i="21"/>
  <c r="CI76" i="10"/>
  <c r="CK76" s="1"/>
  <c r="CH76"/>
  <c r="J78" i="21"/>
  <c r="I78" i="25"/>
  <c r="H75"/>
  <c r="I75" i="21"/>
  <c r="BD75" s="1"/>
  <c r="I75" i="37"/>
  <c r="I78" i="21"/>
  <c r="H90" i="25"/>
  <c r="I96" i="37"/>
  <c r="I99"/>
  <c r="I107"/>
  <c r="H107" i="25"/>
  <c r="I111" i="37"/>
  <c r="J112" i="25"/>
  <c r="K112" i="21"/>
  <c r="K112" i="37"/>
  <c r="J108" i="25"/>
  <c r="K108" i="21"/>
  <c r="K108" i="37"/>
  <c r="J104" i="25"/>
  <c r="K104" i="21"/>
  <c r="K104" i="37"/>
  <c r="J100" i="25"/>
  <c r="K100" i="21"/>
  <c r="K100" i="37"/>
  <c r="J96" i="25"/>
  <c r="K96" i="21"/>
  <c r="K96" i="37"/>
  <c r="J92" i="25"/>
  <c r="K92" i="21"/>
  <c r="K92" i="37"/>
  <c r="J88" i="25"/>
  <c r="K88" i="37"/>
  <c r="J84" i="25"/>
  <c r="K84" i="37"/>
  <c r="J80" i="25"/>
  <c r="K80" i="21"/>
  <c r="G88" i="25"/>
  <c r="C99"/>
  <c r="F104" i="37"/>
  <c r="F104" i="21"/>
  <c r="H84"/>
  <c r="CM111" i="10"/>
  <c r="D103" i="25"/>
  <c r="H103" i="37"/>
  <c r="CM84" i="10"/>
  <c r="I109" i="25"/>
  <c r="BE107" i="21"/>
  <c r="CK82" i="10"/>
  <c r="CM108"/>
  <c r="CI103"/>
  <c r="CK103" s="1"/>
  <c r="K111" i="37"/>
  <c r="K99" i="21"/>
  <c r="I106" i="37"/>
  <c r="I85"/>
  <c r="BE75" i="21"/>
  <c r="CI83" i="10"/>
  <c r="CK83" s="1"/>
  <c r="CI73"/>
  <c r="CJ73" s="1"/>
  <c r="CL73" s="1"/>
  <c r="CJ109"/>
  <c r="CL109" s="1"/>
  <c r="CM109" s="1"/>
  <c r="CM82"/>
  <c r="CM74"/>
  <c r="BE105" i="21"/>
  <c r="CK86" i="10"/>
  <c r="CJ86"/>
  <c r="CL86" s="1"/>
  <c r="CI106"/>
  <c r="CK106" s="1"/>
  <c r="CJ105"/>
  <c r="CL105" s="1"/>
  <c r="CI105"/>
  <c r="CJ102"/>
  <c r="CL102" s="1"/>
  <c r="CK102"/>
  <c r="CM102" s="1"/>
  <c r="J98" i="21"/>
  <c r="CI94" i="10"/>
  <c r="CK94" s="1"/>
  <c r="CM94" s="1"/>
  <c r="CH94"/>
  <c r="I95" i="25"/>
  <c r="CI91" i="10"/>
  <c r="CK91" s="1"/>
  <c r="CJ91"/>
  <c r="CL91" s="1"/>
  <c r="CM91" s="1"/>
  <c r="J93" i="21"/>
  <c r="I84" i="25"/>
  <c r="CI80" i="10"/>
  <c r="CK80" s="1"/>
  <c r="G82" i="37"/>
  <c r="E82" i="25"/>
  <c r="I86" i="21"/>
  <c r="I86" i="37"/>
  <c r="H92" i="25"/>
  <c r="I92" i="21"/>
  <c r="BE79"/>
  <c r="BE109"/>
  <c r="CJ79" i="10"/>
  <c r="CL79" s="1"/>
  <c r="CM79" s="1"/>
  <c r="CI112"/>
  <c r="CJ112" s="1"/>
  <c r="CL112" s="1"/>
  <c r="I110" i="25"/>
  <c r="E108"/>
  <c r="G108" i="37"/>
  <c r="CH104" i="10"/>
  <c r="CJ104" s="1"/>
  <c r="CL104" s="1"/>
  <c r="CM104" s="1"/>
  <c r="CK104"/>
  <c r="G104" i="37"/>
  <c r="G104" i="21"/>
  <c r="J103"/>
  <c r="I103" i="25"/>
  <c r="G102" i="21"/>
  <c r="G102" i="37"/>
  <c r="CI97" i="10"/>
  <c r="CK97" s="1"/>
  <c r="G94" i="37"/>
  <c r="E94" i="25"/>
  <c r="CH90" i="10"/>
  <c r="CJ90" s="1"/>
  <c r="CL90" s="1"/>
  <c r="CK90"/>
  <c r="CH85"/>
  <c r="CJ85" s="1"/>
  <c r="CL85" s="1"/>
  <c r="CM85" s="1"/>
  <c r="CK85"/>
  <c r="G87" i="21"/>
  <c r="E83" i="25"/>
  <c r="J82" i="21"/>
  <c r="I82" i="25"/>
  <c r="CI75" i="10"/>
  <c r="CJ75" s="1"/>
  <c r="CL75" s="1"/>
  <c r="J74" i="37"/>
  <c r="CJ70" i="10"/>
  <c r="CL70" s="1"/>
  <c r="CM70" s="1"/>
  <c r="CK70"/>
  <c r="H74" i="25"/>
  <c r="I81" i="37"/>
  <c r="I91"/>
  <c r="I93"/>
  <c r="H93" i="25"/>
  <c r="I104" i="37"/>
  <c r="I104" i="21"/>
  <c r="H104" i="25"/>
  <c r="H104" i="21"/>
  <c r="F103" i="37"/>
  <c r="C103" i="25"/>
  <c r="CJ110" i="10"/>
  <c r="CL110" s="1"/>
  <c r="CM110" s="1"/>
  <c r="J96" i="37"/>
  <c r="F99" i="21"/>
  <c r="D104" i="25"/>
  <c r="H104" i="37"/>
  <c r="H84"/>
  <c r="CM88" i="10"/>
  <c r="H103" i="21"/>
  <c r="J105" i="37"/>
  <c r="J98"/>
  <c r="CH80" i="10"/>
  <c r="CJ80" s="1"/>
  <c r="CL80" s="1"/>
  <c r="CK89"/>
  <c r="CM89" s="1"/>
  <c r="BE74" i="21"/>
  <c r="BC108"/>
  <c r="BD108" s="1"/>
  <c r="I106"/>
  <c r="CJ92" i="10"/>
  <c r="CL92" s="1"/>
  <c r="CM92" s="1"/>
  <c r="BE91" i="21"/>
  <c r="E85" i="25"/>
  <c r="CK105" i="10"/>
  <c r="CM105" s="1"/>
  <c r="CJ94"/>
  <c r="CL94" s="1"/>
  <c r="K95" i="21"/>
  <c r="G113"/>
  <c r="G79"/>
  <c r="H86" i="25"/>
  <c r="E79"/>
  <c r="BC76" i="21"/>
  <c r="BC86"/>
  <c r="BE101"/>
  <c r="BD113"/>
  <c r="CH106" i="10"/>
  <c r="CJ106" s="1"/>
  <c r="CL106" s="1"/>
  <c r="J104" i="21"/>
  <c r="J96"/>
  <c r="J84" i="37"/>
  <c r="I93" i="25"/>
  <c r="CI72" i="10"/>
  <c r="CK72" s="1"/>
  <c r="BC87" i="21"/>
  <c r="BD87" s="1"/>
  <c r="BC90"/>
  <c r="BD90" s="1"/>
  <c r="BC80"/>
  <c r="BD80" s="1"/>
  <c r="BC84"/>
  <c r="BC85"/>
  <c r="BC95"/>
  <c r="BD95" s="1"/>
  <c r="BC89"/>
  <c r="BD89" s="1"/>
  <c r="BC79"/>
  <c r="BD79" s="1"/>
  <c r="BC100"/>
  <c r="J106" i="37"/>
  <c r="AF68" i="49"/>
  <c r="M71" i="36" s="1"/>
  <c r="AF52" i="49"/>
  <c r="M55" i="36" s="1"/>
  <c r="AE76" i="49"/>
  <c r="B79" i="7" s="1"/>
  <c r="AF32" i="49"/>
  <c r="M35" i="36" s="1"/>
  <c r="AF84" i="49"/>
  <c r="M87" i="36" s="1"/>
  <c r="AF100" i="49"/>
  <c r="M103" i="36" s="1"/>
  <c r="AF40" i="49"/>
  <c r="M43" i="36" s="1"/>
  <c r="B113" i="37"/>
  <c r="F113" i="25"/>
  <c r="F67"/>
  <c r="G107"/>
  <c r="M107" i="21"/>
  <c r="M107" i="37"/>
  <c r="M87" i="21"/>
  <c r="G87" i="25"/>
  <c r="M87" i="37"/>
  <c r="F82" i="25"/>
  <c r="B82" i="37"/>
  <c r="B83" i="21"/>
  <c r="B85" i="37"/>
  <c r="P57" i="10"/>
  <c r="B60" i="37" s="1"/>
  <c r="Q29" i="10"/>
  <c r="M32" i="50" s="1"/>
  <c r="Q79" i="10"/>
  <c r="M82" i="50" s="1"/>
  <c r="P68" i="10"/>
  <c r="B111" i="21"/>
  <c r="P101" i="10"/>
  <c r="B104" i="50" s="1"/>
  <c r="F95" i="25"/>
  <c r="B46" i="37"/>
  <c r="M88" i="21"/>
  <c r="F73" i="25"/>
  <c r="Q62" i="10"/>
  <c r="G65" i="25" s="1"/>
  <c r="P56" i="10"/>
  <c r="P37"/>
  <c r="F40" i="25" s="1"/>
  <c r="Q92" i="10"/>
  <c r="Q109"/>
  <c r="M112" i="50" s="1"/>
  <c r="P111" i="10"/>
  <c r="B114" i="50" s="1"/>
  <c r="Q105" i="10"/>
  <c r="M108" i="50" s="1"/>
  <c r="P94" i="10"/>
  <c r="B97" i="21" s="1"/>
  <c r="P93" i="10"/>
  <c r="B96" i="50" s="1"/>
  <c r="Q64" i="10"/>
  <c r="M67" i="50" s="1"/>
  <c r="B65" i="37"/>
  <c r="Q51" i="10"/>
  <c r="M54" i="50" s="1"/>
  <c r="C27" i="25"/>
  <c r="D27"/>
  <c r="F72" i="21"/>
  <c r="C72" i="25"/>
  <c r="H72" i="37"/>
  <c r="F72"/>
  <c r="D72" i="25"/>
  <c r="H72" i="21"/>
  <c r="Q32" i="10"/>
  <c r="P32"/>
  <c r="B35" i="50" s="1"/>
  <c r="P8" i="10"/>
  <c r="Q8"/>
  <c r="P50"/>
  <c r="B53" i="50" s="1"/>
  <c r="Q50" i="10"/>
  <c r="M53" i="50" s="1"/>
  <c r="CM19" i="10"/>
  <c r="CJ19"/>
  <c r="CL19" s="1"/>
  <c r="G57" i="37"/>
  <c r="E57" i="25"/>
  <c r="I51"/>
  <c r="J51" i="21"/>
  <c r="CI33" i="10"/>
  <c r="CK33" s="1"/>
  <c r="G33" i="21"/>
  <c r="G33" i="37"/>
  <c r="E33" i="25"/>
  <c r="H31" i="21"/>
  <c r="D31" i="25"/>
  <c r="F31" i="37"/>
  <c r="CM57" i="10"/>
  <c r="CJ57"/>
  <c r="CL57" s="1"/>
  <c r="CH48"/>
  <c r="CM48" s="1"/>
  <c r="CH37"/>
  <c r="CJ37" s="1"/>
  <c r="CL37" s="1"/>
  <c r="CI37"/>
  <c r="CK37" s="1"/>
  <c r="H23" i="25"/>
  <c r="I23" i="21"/>
  <c r="I59"/>
  <c r="I59" i="37"/>
  <c r="H59" i="25"/>
  <c r="M57" i="37"/>
  <c r="M31"/>
  <c r="Q44" i="10"/>
  <c r="P44"/>
  <c r="BE43" i="21"/>
  <c r="BD43"/>
  <c r="CJ47" i="10"/>
  <c r="CL47" s="1"/>
  <c r="CK47"/>
  <c r="CJ68"/>
  <c r="CL68" s="1"/>
  <c r="CM68"/>
  <c r="G70" i="21"/>
  <c r="G70" i="37"/>
  <c r="E70" i="25"/>
  <c r="I69"/>
  <c r="J69" i="21"/>
  <c r="CH63" i="10"/>
  <c r="I64" i="25"/>
  <c r="E60"/>
  <c r="G60" i="21"/>
  <c r="I59" i="25"/>
  <c r="J59" i="21"/>
  <c r="J59" i="37"/>
  <c r="G45" i="21"/>
  <c r="G45" i="37"/>
  <c r="E45" i="25"/>
  <c r="G44" i="21"/>
  <c r="E44" i="25"/>
  <c r="G44" i="37"/>
  <c r="J35"/>
  <c r="J35" i="21"/>
  <c r="CM32" i="10"/>
  <c r="CK32"/>
  <c r="E34" i="25"/>
  <c r="G34" i="21"/>
  <c r="CM30" i="10"/>
  <c r="CJ30"/>
  <c r="CL30" s="1"/>
  <c r="CI27"/>
  <c r="CK27" s="1"/>
  <c r="CM27" s="1"/>
  <c r="CH27"/>
  <c r="CJ27" s="1"/>
  <c r="CL27" s="1"/>
  <c r="CI17"/>
  <c r="CJ17" s="1"/>
  <c r="CL17" s="1"/>
  <c r="I18" i="25"/>
  <c r="J18" i="37"/>
  <c r="J18" i="21"/>
  <c r="G15" i="37"/>
  <c r="E15" i="25"/>
  <c r="E14"/>
  <c r="G14" i="21"/>
  <c r="G14" i="37"/>
  <c r="G13" i="21"/>
  <c r="I9" i="37"/>
  <c r="I15" i="21"/>
  <c r="H15" i="25"/>
  <c r="I17" i="21"/>
  <c r="I19"/>
  <c r="BD19" s="1"/>
  <c r="I49" i="37"/>
  <c r="H49" i="25"/>
  <c r="I49" i="21"/>
  <c r="BE49" s="1"/>
  <c r="I68" i="37"/>
  <c r="H68" i="25"/>
  <c r="I68" i="21"/>
  <c r="J71" i="25"/>
  <c r="K71" i="37"/>
  <c r="K71" i="21"/>
  <c r="J67" i="25"/>
  <c r="K67" i="37"/>
  <c r="J63" i="25"/>
  <c r="K63" i="37"/>
  <c r="K63" i="21"/>
  <c r="J59" i="25"/>
  <c r="K59" i="21"/>
  <c r="J55" i="25"/>
  <c r="K55" i="21"/>
  <c r="K55" i="37"/>
  <c r="J51" i="25"/>
  <c r="K51" i="37"/>
  <c r="J47" i="25"/>
  <c r="K47" i="21"/>
  <c r="J43" i="25"/>
  <c r="K43" i="21"/>
  <c r="J39" i="25"/>
  <c r="K39" i="21"/>
  <c r="J35" i="25"/>
  <c r="K35" i="21"/>
  <c r="J31" i="25"/>
  <c r="K31" i="21"/>
  <c r="J27" i="25"/>
  <c r="K27" i="21"/>
  <c r="J23" i="25"/>
  <c r="J19"/>
  <c r="K19" i="21"/>
  <c r="J15" i="25"/>
  <c r="K15" i="37"/>
  <c r="J11" i="25"/>
  <c r="K11" i="21"/>
  <c r="CJ60" i="10"/>
  <c r="CL60" s="1"/>
  <c r="CJ52"/>
  <c r="CL52" s="1"/>
  <c r="P65"/>
  <c r="P46"/>
  <c r="Q38"/>
  <c r="M41" i="50" s="1"/>
  <c r="H31" i="37"/>
  <c r="CJ33" i="10"/>
  <c r="CL33" s="1"/>
  <c r="H21" i="37"/>
  <c r="CK16" i="10"/>
  <c r="CM56"/>
  <c r="CM44"/>
  <c r="CI48"/>
  <c r="CK48" s="1"/>
  <c r="I45" i="37"/>
  <c r="BC38" i="21"/>
  <c r="BD38" s="1"/>
  <c r="BC54"/>
  <c r="BD54" s="1"/>
  <c r="CU57" i="10"/>
  <c r="CU25"/>
  <c r="L28" i="50" s="1"/>
  <c r="P40" i="10"/>
  <c r="Q40"/>
  <c r="P21"/>
  <c r="Q21"/>
  <c r="G24" i="25" s="1"/>
  <c r="D63"/>
  <c r="F41" i="21"/>
  <c r="C41" i="25"/>
  <c r="H41" i="37"/>
  <c r="BD34" i="21"/>
  <c r="I60" i="25"/>
  <c r="J60" i="37"/>
  <c r="CH55" i="10"/>
  <c r="CJ55"/>
  <c r="CL55" s="1"/>
  <c r="CI55"/>
  <c r="CK55" s="1"/>
  <c r="G43" i="37"/>
  <c r="E43" i="25"/>
  <c r="G43" i="21"/>
  <c r="J42"/>
  <c r="I42" i="25"/>
  <c r="J42" i="37"/>
  <c r="E32" i="25"/>
  <c r="G32" i="37"/>
  <c r="I23" i="25"/>
  <c r="J23" i="21"/>
  <c r="J23" i="37"/>
  <c r="I8" i="21"/>
  <c r="I8" i="37"/>
  <c r="H21" i="21"/>
  <c r="D21" i="25"/>
  <c r="C21"/>
  <c r="F21" i="21"/>
  <c r="BE57"/>
  <c r="BD57"/>
  <c r="CL39" i="10"/>
  <c r="CI39"/>
  <c r="CK39" s="1"/>
  <c r="CM39" s="1"/>
  <c r="CH39"/>
  <c r="I30" i="37"/>
  <c r="I33"/>
  <c r="I64"/>
  <c r="H64" i="25"/>
  <c r="I64" i="21"/>
  <c r="B67" i="37"/>
  <c r="F38"/>
  <c r="G49" i="21"/>
  <c r="G49" i="37"/>
  <c r="G47"/>
  <c r="E47" i="25"/>
  <c r="G47" i="21"/>
  <c r="C45" i="25"/>
  <c r="D45"/>
  <c r="I41"/>
  <c r="J41" i="21"/>
  <c r="CI36" i="10"/>
  <c r="CH36"/>
  <c r="CJ36" s="1"/>
  <c r="CL36" s="1"/>
  <c r="CK36"/>
  <c r="E38" i="25"/>
  <c r="G38" i="21"/>
  <c r="I37" i="25"/>
  <c r="CM34" i="10"/>
  <c r="CI34"/>
  <c r="CK34" s="1"/>
  <c r="CI25"/>
  <c r="CJ25" s="1"/>
  <c r="CL25" s="1"/>
  <c r="CM25"/>
  <c r="G26" i="37"/>
  <c r="E26" i="25"/>
  <c r="J25" i="37"/>
  <c r="J25" i="21"/>
  <c r="I25" i="25"/>
  <c r="CI22" i="10"/>
  <c r="CK22" s="1"/>
  <c r="CH22"/>
  <c r="I42" i="37"/>
  <c r="I42" i="21"/>
  <c r="H47" i="25"/>
  <c r="I47" i="37"/>
  <c r="I61" i="21"/>
  <c r="I61" i="37"/>
  <c r="I71"/>
  <c r="I71" i="21"/>
  <c r="F63" i="37"/>
  <c r="M68"/>
  <c r="CH33" i="10"/>
  <c r="CM45"/>
  <c r="BC60" i="21"/>
  <c r="BE60" s="1"/>
  <c r="CM46" i="10"/>
  <c r="H63" i="21"/>
  <c r="C63" i="25"/>
  <c r="F31" i="21"/>
  <c r="C31" i="25"/>
  <c r="F41" i="37"/>
  <c r="CK62" i="10"/>
  <c r="G57" i="21"/>
  <c r="H45" i="25"/>
  <c r="H33"/>
  <c r="I30" i="21"/>
  <c r="BD30" s="1"/>
  <c r="CJ39" i="10"/>
  <c r="J51" i="37"/>
  <c r="CU33" i="10"/>
  <c r="L36" i="50" s="1"/>
  <c r="CJ54" i="10"/>
  <c r="CL54" s="1"/>
  <c r="CM54" s="1"/>
  <c r="G63" i="21"/>
  <c r="CI59" i="10"/>
  <c r="CK59" s="1"/>
  <c r="CJ59"/>
  <c r="CL59" s="1"/>
  <c r="G61" i="37"/>
  <c r="CJ53" i="10"/>
  <c r="CL53" s="1"/>
  <c r="G55" i="37"/>
  <c r="E55" i="25"/>
  <c r="J54" i="37"/>
  <c r="CH50" i="10"/>
  <c r="CM50" s="1"/>
  <c r="G52" i="37"/>
  <c r="E52" i="25"/>
  <c r="G52" i="21"/>
  <c r="J48"/>
  <c r="J48" i="37"/>
  <c r="CM31" i="10"/>
  <c r="CJ31"/>
  <c r="CL31" s="1"/>
  <c r="J28" i="37"/>
  <c r="J27" i="21"/>
  <c r="J20"/>
  <c r="E16" i="25"/>
  <c r="CH11" i="10"/>
  <c r="CI11"/>
  <c r="CK11" s="1"/>
  <c r="J11" i="21"/>
  <c r="J11" i="37"/>
  <c r="I9" i="25"/>
  <c r="J9" i="37"/>
  <c r="J8"/>
  <c r="I24"/>
  <c r="BC49" i="21"/>
  <c r="BD49" s="1"/>
  <c r="BC72"/>
  <c r="BD72" s="1"/>
  <c r="BC21"/>
  <c r="BE21" s="1"/>
  <c r="BC23"/>
  <c r="CM62" i="10"/>
  <c r="CU18"/>
  <c r="L21" i="50" s="1"/>
  <c r="CU10" i="10"/>
  <c r="CU6"/>
  <c r="E72" i="25"/>
  <c r="CH66" i="10"/>
  <c r="CJ66" s="1"/>
  <c r="CL66" s="1"/>
  <c r="CH65"/>
  <c r="CJ65" s="1"/>
  <c r="CL65"/>
  <c r="CM65" s="1"/>
  <c r="G67" i="21"/>
  <c r="CI61" i="10"/>
  <c r="CK61" s="1"/>
  <c r="CH61"/>
  <c r="CM61" s="1"/>
  <c r="J62" i="21"/>
  <c r="J62" i="37"/>
  <c r="CH58" i="10"/>
  <c r="CJ58" s="1"/>
  <c r="CL58" s="1"/>
  <c r="J56" i="21"/>
  <c r="J44" i="37"/>
  <c r="I40" i="25"/>
  <c r="J40" i="21"/>
  <c r="J40" i="37"/>
  <c r="J36" i="21"/>
  <c r="I32" i="25"/>
  <c r="I30"/>
  <c r="J30" i="21"/>
  <c r="I24" i="25"/>
  <c r="J24" i="37"/>
  <c r="G22"/>
  <c r="E22" i="25"/>
  <c r="G17" i="37"/>
  <c r="G17" i="21"/>
  <c r="E17" i="25"/>
  <c r="H29"/>
  <c r="I29" i="21"/>
  <c r="I34" i="37"/>
  <c r="H34" i="25"/>
  <c r="I46" i="37"/>
  <c r="H46" i="25"/>
  <c r="I52" i="37"/>
  <c r="H52" i="25"/>
  <c r="I65" i="21"/>
  <c r="J72" i="25"/>
  <c r="J68"/>
  <c r="K68" i="37"/>
  <c r="J64" i="25"/>
  <c r="K64" i="37"/>
  <c r="J60" i="25"/>
  <c r="K60" i="37"/>
  <c r="J56" i="25"/>
  <c r="J52"/>
  <c r="J48"/>
  <c r="J44"/>
  <c r="J40"/>
  <c r="J36"/>
  <c r="J32"/>
  <c r="J28"/>
  <c r="J24"/>
  <c r="K24" i="21"/>
  <c r="J20" i="25"/>
  <c r="K20" i="21"/>
  <c r="J16" i="25"/>
  <c r="J12"/>
  <c r="K12" i="21"/>
  <c r="K12" i="37"/>
  <c r="J8" i="25"/>
  <c r="CM20" i="10"/>
  <c r="CM58"/>
  <c r="BC65" i="21"/>
  <c r="BC69"/>
  <c r="BE27"/>
  <c r="BC22"/>
  <c r="BD22" s="1"/>
  <c r="CJ26" i="10"/>
  <c r="CL26" s="1"/>
  <c r="CM26" s="1"/>
  <c r="CU69"/>
  <c r="CU61"/>
  <c r="CU53"/>
  <c r="L56" i="50" s="1"/>
  <c r="CU45" i="10"/>
  <c r="L48" i="50" s="1"/>
  <c r="CU37" i="10"/>
  <c r="CU29"/>
  <c r="CU21"/>
  <c r="L24" i="50" s="1"/>
  <c r="CJ21" i="10"/>
  <c r="CL21" s="1"/>
  <c r="CM21" s="1"/>
  <c r="BC52" i="21"/>
  <c r="BD52" s="1"/>
  <c r="BE36"/>
  <c r="BC68"/>
  <c r="BC30"/>
  <c r="BC10"/>
  <c r="BC18"/>
  <c r="CU9" i="10"/>
  <c r="L12" i="50" s="1"/>
  <c r="BC47" i="21"/>
  <c r="BD47" s="1"/>
  <c r="BC50"/>
  <c r="BC62"/>
  <c r="BE62" s="1"/>
  <c r="BC63"/>
  <c r="BE63" s="1"/>
  <c r="BC71"/>
  <c r="BC26"/>
  <c r="BD26" s="1"/>
  <c r="BC28"/>
  <c r="BD28" s="1"/>
  <c r="BC29"/>
  <c r="BC8"/>
  <c r="BC20"/>
  <c r="CY106" i="49"/>
  <c r="DA106" s="1"/>
  <c r="DB90"/>
  <c r="H93" i="7" s="1"/>
  <c r="K100" i="36"/>
  <c r="K84"/>
  <c r="AW73" i="7"/>
  <c r="DJ109" i="49"/>
  <c r="L112" i="7" s="1"/>
  <c r="DJ100" i="49"/>
  <c r="L103" i="7" s="1"/>
  <c r="DJ98" i="49"/>
  <c r="L101" i="7" s="1"/>
  <c r="DJ93" i="49"/>
  <c r="L96" i="7" s="1"/>
  <c r="DJ84" i="49"/>
  <c r="L87" i="7" s="1"/>
  <c r="DJ82" i="49"/>
  <c r="L85" i="7" s="1"/>
  <c r="DJ77" i="49"/>
  <c r="L80" i="7" s="1"/>
  <c r="AF82" i="49"/>
  <c r="M85" i="36" s="1"/>
  <c r="K112"/>
  <c r="K96"/>
  <c r="K80"/>
  <c r="DA76" i="49"/>
  <c r="CZ91"/>
  <c r="CZ95"/>
  <c r="CZ97"/>
  <c r="CZ107"/>
  <c r="CZ111"/>
  <c r="K108" i="36"/>
  <c r="K92"/>
  <c r="K76"/>
  <c r="DJ108" i="49"/>
  <c r="L111" i="7" s="1"/>
  <c r="DJ106" i="49"/>
  <c r="L109" i="7" s="1"/>
  <c r="DJ101" i="49"/>
  <c r="L104" i="7" s="1"/>
  <c r="DJ92" i="49"/>
  <c r="L95" i="7" s="1"/>
  <c r="DJ90" i="49"/>
  <c r="L93" i="7" s="1"/>
  <c r="DJ85" i="49"/>
  <c r="L88" i="7" s="1"/>
  <c r="DJ76" i="49"/>
  <c r="L79" i="7" s="1"/>
  <c r="DJ74" i="49"/>
  <c r="L77" i="7" s="1"/>
  <c r="CZ29" i="49"/>
  <c r="DA27"/>
  <c r="CZ20"/>
  <c r="CZ42"/>
  <c r="CZ67"/>
  <c r="CX65"/>
  <c r="CZ60"/>
  <c r="CW57"/>
  <c r="CY57" s="1"/>
  <c r="DA57" s="1"/>
  <c r="CW54"/>
  <c r="CY54" s="1"/>
  <c r="DA54" s="1"/>
  <c r="DB54" s="1"/>
  <c r="CX51"/>
  <c r="CZ51" s="1"/>
  <c r="DB51" s="1"/>
  <c r="CW48"/>
  <c r="CY48" s="1"/>
  <c r="DA48" s="1"/>
  <c r="CZ45"/>
  <c r="CW43"/>
  <c r="DB43" s="1"/>
  <c r="CZ31"/>
  <c r="G72" i="36"/>
  <c r="G71" i="7"/>
  <c r="G70" i="36"/>
  <c r="G69" i="7"/>
  <c r="K66"/>
  <c r="K58"/>
  <c r="K50"/>
  <c r="K42"/>
  <c r="G24" i="36"/>
  <c r="G23" i="7"/>
  <c r="G22" i="36"/>
  <c r="DJ62" i="49"/>
  <c r="L65" i="7" s="1"/>
  <c r="DJ46" i="49"/>
  <c r="L49" i="7" s="1"/>
  <c r="DJ30" i="49"/>
  <c r="L33" i="7" s="1"/>
  <c r="CZ65" i="49"/>
  <c r="DA60"/>
  <c r="CX55"/>
  <c r="CZ55" s="1"/>
  <c r="CX29"/>
  <c r="CZ18"/>
  <c r="CW11"/>
  <c r="G68" i="36"/>
  <c r="G67" i="7"/>
  <c r="G66" i="36"/>
  <c r="G65" i="7"/>
  <c r="K63"/>
  <c r="K62"/>
  <c r="AX57"/>
  <c r="K54"/>
  <c r="G52" i="36"/>
  <c r="G51" i="7"/>
  <c r="G50" i="36"/>
  <c r="G49" i="7"/>
  <c r="K47"/>
  <c r="K46"/>
  <c r="K38" i="36"/>
  <c r="I37" i="7"/>
  <c r="K35"/>
  <c r="AX35"/>
  <c r="AX25"/>
  <c r="K19"/>
  <c r="K18"/>
  <c r="K15"/>
  <c r="I14"/>
  <c r="I12"/>
  <c r="I10"/>
  <c r="I9"/>
  <c r="AW9" s="1"/>
  <c r="DJ68" i="49"/>
  <c r="L71" i="7" s="1"/>
  <c r="DJ66" i="49"/>
  <c r="L69" i="7" s="1"/>
  <c r="DJ61" i="49"/>
  <c r="L64" i="7" s="1"/>
  <c r="DJ52" i="49"/>
  <c r="L55" i="7" s="1"/>
  <c r="DJ50" i="49"/>
  <c r="L53" i="7" s="1"/>
  <c r="DJ45" i="49"/>
  <c r="L48" i="7" s="1"/>
  <c r="DJ36" i="49"/>
  <c r="L39" i="7" s="1"/>
  <c r="DJ34" i="49"/>
  <c r="L37" i="7" s="1"/>
  <c r="DJ29" i="49"/>
  <c r="L32" i="7" s="1"/>
  <c r="DJ20" i="49"/>
  <c r="L23" i="7" s="1"/>
  <c r="DA24" i="49"/>
  <c r="CZ37"/>
  <c r="CZ53"/>
  <c r="AE10"/>
  <c r="B13" i="7" s="1"/>
  <c r="AE18" i="49"/>
  <c r="B21" i="7" s="1"/>
  <c r="CZ61" i="49"/>
  <c r="DB49"/>
  <c r="CY36"/>
  <c r="DA36" s="1"/>
  <c r="CW23"/>
  <c r="CY23" s="1"/>
  <c r="DA23" s="1"/>
  <c r="AX69" i="7"/>
  <c r="G64" i="36"/>
  <c r="G63" i="7"/>
  <c r="G62" i="36"/>
  <c r="G61" i="7"/>
  <c r="G48" i="36"/>
  <c r="G47" i="7"/>
  <c r="G46" i="36"/>
  <c r="G45" i="7"/>
  <c r="G40" i="36"/>
  <c r="AW31" i="7"/>
  <c r="G21"/>
  <c r="G13" i="36"/>
  <c r="DJ65" i="49"/>
  <c r="L68" i="7" s="1"/>
  <c r="DJ56" i="49"/>
  <c r="L59" i="7" s="1"/>
  <c r="DJ49" i="49"/>
  <c r="L52" i="7" s="1"/>
  <c r="DJ40" i="49"/>
  <c r="L43" i="7" s="1"/>
  <c r="DJ33" i="49"/>
  <c r="L36" i="7" s="1"/>
  <c r="DJ24" i="49"/>
  <c r="L27" i="7" s="1"/>
  <c r="AE66" i="49"/>
  <c r="B69" i="7" s="1"/>
  <c r="AF24" i="49"/>
  <c r="M27" i="36" s="1"/>
  <c r="AF78" i="49"/>
  <c r="M81" i="36" s="1"/>
  <c r="AE62" i="49"/>
  <c r="B65" i="7" s="1"/>
  <c r="AE16" i="49"/>
  <c r="B19" i="36" s="1"/>
  <c r="AF4" i="49"/>
  <c r="M7" i="36" s="1"/>
  <c r="AF86" i="49"/>
  <c r="M89" i="36" s="1"/>
  <c r="AE70" i="49"/>
  <c r="B73" i="7" s="1"/>
  <c r="AF27" i="49"/>
  <c r="M30" i="36" s="1"/>
  <c r="AE25" i="49"/>
  <c r="B28" i="36" s="1"/>
  <c r="F1" i="7"/>
  <c r="AF74" i="49"/>
  <c r="M77" i="36" s="1"/>
  <c r="AE58" i="49"/>
  <c r="B61" i="7" s="1"/>
  <c r="AE9" i="49"/>
  <c r="B12" i="7" s="1"/>
  <c r="AF31" i="49"/>
  <c r="M34" i="36" s="1"/>
  <c r="F1"/>
  <c r="K16"/>
  <c r="AF14" i="49"/>
  <c r="M17" i="36" s="1"/>
  <c r="K21" i="7"/>
  <c r="J19"/>
  <c r="J8"/>
  <c r="K7"/>
  <c r="K12" i="36"/>
  <c r="K20"/>
  <c r="DJ16" i="49"/>
  <c r="L19" i="7" s="1"/>
  <c r="B27" i="37"/>
  <c r="B27" i="21"/>
  <c r="F27" i="25"/>
  <c r="F71"/>
  <c r="M90" i="21"/>
  <c r="M90" i="37"/>
  <c r="F62" i="25"/>
  <c r="B62" i="21"/>
  <c r="M66"/>
  <c r="G66" i="25"/>
  <c r="B94" i="37"/>
  <c r="B94" i="21"/>
  <c r="M101" i="37"/>
  <c r="M101" i="21"/>
  <c r="G62" i="25"/>
  <c r="B50" i="21"/>
  <c r="M36"/>
  <c r="M25"/>
  <c r="B52"/>
  <c r="F52" i="25"/>
  <c r="B52" i="37"/>
  <c r="M116" i="21"/>
  <c r="M116" i="37"/>
  <c r="G115" i="25"/>
  <c r="P97" i="10"/>
  <c r="Q97"/>
  <c r="G94" i="25"/>
  <c r="M93" i="21"/>
  <c r="O7" i="10"/>
  <c r="F1" i="37"/>
  <c r="Q4" i="10"/>
  <c r="M83" i="21"/>
  <c r="B75" i="37"/>
  <c r="M32" i="21"/>
  <c r="Q11" i="10"/>
  <c r="G14" i="25" s="1"/>
  <c r="P11" i="10"/>
  <c r="Q76"/>
  <c r="M79" i="50" s="1"/>
  <c r="P76" i="10"/>
  <c r="B79" i="50" s="1"/>
  <c r="P26" i="10"/>
  <c r="B29" i="50" s="1"/>
  <c r="Q26" i="10"/>
  <c r="F85" i="25"/>
  <c r="B85" i="21"/>
  <c r="Q58" i="10"/>
  <c r="G61" i="25" s="1"/>
  <c r="P58" i="10"/>
  <c r="B61" i="50" s="1"/>
  <c r="G103" i="25"/>
  <c r="M103" i="37"/>
  <c r="G99" i="25"/>
  <c r="F92"/>
  <c r="F44"/>
  <c r="G69"/>
  <c r="M69" i="21"/>
  <c r="B56" i="37"/>
  <c r="F56" i="25"/>
  <c r="B45" i="37"/>
  <c r="B45" i="21"/>
  <c r="M44"/>
  <c r="B86" i="37"/>
  <c r="B86" i="21"/>
  <c r="B54"/>
  <c r="F54" i="25"/>
  <c r="G75"/>
  <c r="Q23" i="10"/>
  <c r="M26" i="50" s="1"/>
  <c r="P23" i="10"/>
  <c r="B26" i="21" s="1"/>
  <c r="Q61" i="10"/>
  <c r="G64" i="25" s="1"/>
  <c r="P61" i="10"/>
  <c r="B64" i="50" s="1"/>
  <c r="M102" i="37"/>
  <c r="M102" i="21"/>
  <c r="B112" i="37"/>
  <c r="G71" i="25"/>
  <c r="F36"/>
  <c r="M60" i="21"/>
  <c r="G68" i="25"/>
  <c r="M68" i="21"/>
  <c r="Q31" i="10"/>
  <c r="M34" i="50" s="1"/>
  <c r="P31" i="10"/>
  <c r="B34" i="50" s="1"/>
  <c r="M50" i="37"/>
  <c r="M50" i="21"/>
  <c r="B101" i="37"/>
  <c r="P103" i="10"/>
  <c r="Q103"/>
  <c r="M106" i="50" s="1"/>
  <c r="M96" i="21"/>
  <c r="B95" i="37"/>
  <c r="B95" i="21"/>
  <c r="G40" i="25"/>
  <c r="G90"/>
  <c r="P22" i="10"/>
  <c r="P48"/>
  <c r="B51" i="50" s="1"/>
  <c r="Q73" i="10"/>
  <c r="G76" i="25" s="1"/>
  <c r="Q36" i="10"/>
  <c r="M39" i="50" s="1"/>
  <c r="B96" i="37"/>
  <c r="P113" i="10"/>
  <c r="B116" i="50" s="1"/>
  <c r="M59" i="21"/>
  <c r="B39"/>
  <c r="G51" i="25"/>
  <c r="Q24" i="10"/>
  <c r="Q82"/>
  <c r="M85" i="50" s="1"/>
  <c r="P87" i="10"/>
  <c r="B90" i="50" s="1"/>
  <c r="Q19" i="10"/>
  <c r="P88"/>
  <c r="M115" i="37"/>
  <c r="G116" i="25"/>
  <c r="P112" i="10"/>
  <c r="B115" i="50" s="1"/>
  <c r="P90" i="10"/>
  <c r="B93" i="50" s="1"/>
  <c r="B42" i="21"/>
  <c r="B44" i="37"/>
  <c r="F86" i="25"/>
  <c r="F50"/>
  <c r="M75" i="37"/>
  <c r="M40"/>
  <c r="M83"/>
  <c r="F63" i="25"/>
  <c r="P63" i="10"/>
  <c r="B66" i="50" s="1"/>
  <c r="Q60" i="10"/>
  <c r="G102" i="25"/>
  <c r="Q83" i="10"/>
  <c r="M86" i="50" s="1"/>
  <c r="F94" i="25"/>
  <c r="B104" i="21"/>
  <c r="M115"/>
  <c r="G101" i="25"/>
  <c r="Q89" i="10"/>
  <c r="M92" i="50" s="1"/>
  <c r="B23" i="21"/>
  <c r="B73" i="37"/>
  <c r="B23"/>
  <c r="Q42" i="10"/>
  <c r="M45" i="50" s="1"/>
  <c r="Q43" i="10"/>
  <c r="M46" i="50" s="1"/>
  <c r="O15" i="40"/>
  <c r="O58" s="1"/>
  <c r="G21" i="25"/>
  <c r="M20" i="37"/>
  <c r="G20" i="25"/>
  <c r="F20"/>
  <c r="CJ12" i="10"/>
  <c r="CL12" s="1"/>
  <c r="E18" i="25"/>
  <c r="G18" i="37"/>
  <c r="I11" i="21"/>
  <c r="BE11" s="1"/>
  <c r="CI13" i="10"/>
  <c r="CH12"/>
  <c r="J12" i="21"/>
  <c r="J19" i="37"/>
  <c r="K18"/>
  <c r="H19" i="25"/>
  <c r="H10"/>
  <c r="I19" i="37"/>
  <c r="I10"/>
  <c r="H8" i="25"/>
  <c r="I10" i="21"/>
  <c r="BC13"/>
  <c r="I16"/>
  <c r="BD16" s="1"/>
  <c r="CI9" i="10"/>
  <c r="CK9" s="1"/>
  <c r="CU14"/>
  <c r="CU12"/>
  <c r="CU7"/>
  <c r="J17" i="21"/>
  <c r="K10" i="37"/>
  <c r="CI7" i="10"/>
  <c r="CK7" s="1"/>
  <c r="J14" i="21"/>
  <c r="P18" i="10"/>
  <c r="J12" i="37"/>
  <c r="K14"/>
  <c r="K19"/>
  <c r="K15" i="21"/>
  <c r="G21"/>
  <c r="E21" i="25"/>
  <c r="H18"/>
  <c r="E13"/>
  <c r="E10"/>
  <c r="G21" i="37"/>
  <c r="G13"/>
  <c r="G10"/>
  <c r="BC12" i="21"/>
  <c r="BE12" s="1"/>
  <c r="BC19"/>
  <c r="BE19" s="1"/>
  <c r="CI14" i="10"/>
  <c r="CK14" s="1"/>
  <c r="CU8"/>
  <c r="AG117" i="21"/>
  <c r="I19" i="25"/>
  <c r="B41" i="37"/>
  <c r="B41" i="21"/>
  <c r="F41" i="25"/>
  <c r="B32" i="21"/>
  <c r="B32" i="37"/>
  <c r="F32" i="25"/>
  <c r="G78"/>
  <c r="M15" i="21"/>
  <c r="B105" i="37"/>
  <c r="F105" i="25"/>
  <c r="B105" i="21"/>
  <c r="P7" i="10"/>
  <c r="B10" i="50" s="1"/>
  <c r="Q7" i="10"/>
  <c r="M10" i="21" s="1"/>
  <c r="B70" i="37"/>
  <c r="B70" i="21"/>
  <c r="M80"/>
  <c r="M80" i="37"/>
  <c r="G80" i="25"/>
  <c r="B89" i="21"/>
  <c r="B30"/>
  <c r="F30" i="25"/>
  <c r="B108" i="37"/>
  <c r="B108" i="21"/>
  <c r="F108" i="25"/>
  <c r="M79" i="21"/>
  <c r="B22"/>
  <c r="F22" i="25"/>
  <c r="G97"/>
  <c r="M97" i="37"/>
  <c r="M97" i="21"/>
  <c r="B33"/>
  <c r="F33" i="25"/>
  <c r="B33" i="37"/>
  <c r="G84" i="25"/>
  <c r="M84" i="21"/>
  <c r="M28" i="37"/>
  <c r="G28" i="25"/>
  <c r="M28" i="21"/>
  <c r="B57" i="37"/>
  <c r="F57" i="25"/>
  <c r="M38" i="21"/>
  <c r="M48"/>
  <c r="M48" i="37"/>
  <c r="G48" i="25"/>
  <c r="F98"/>
  <c r="B98" i="37"/>
  <c r="B98" i="21"/>
  <c r="M74" i="37"/>
  <c r="G74" i="25"/>
  <c r="F81"/>
  <c r="B81" i="37"/>
  <c r="B81" i="21"/>
  <c r="G55" i="25"/>
  <c r="M55" i="37"/>
  <c r="M55" i="21"/>
  <c r="B37"/>
  <c r="B37" i="37"/>
  <c r="F37" i="25"/>
  <c r="G72"/>
  <c r="M72" i="21"/>
  <c r="M72" i="37"/>
  <c r="F58" i="25"/>
  <c r="B58" i="37"/>
  <c r="B58" i="21"/>
  <c r="F110" i="25"/>
  <c r="B110" i="21"/>
  <c r="M109"/>
  <c r="M109" i="37"/>
  <c r="G109" i="25"/>
  <c r="M51" i="21"/>
  <c r="B82"/>
  <c r="M67"/>
  <c r="M36" i="37"/>
  <c r="M58"/>
  <c r="A7" i="44"/>
  <c r="B5" i="41"/>
  <c r="C5" i="27"/>
  <c r="G58" i="25"/>
  <c r="G91"/>
  <c r="G36"/>
  <c r="M21" i="37"/>
  <c r="M57" i="21"/>
  <c r="B66" i="37"/>
  <c r="F66" i="25"/>
  <c r="P71" i="10"/>
  <c r="B74" i="21" s="1"/>
  <c r="Q27" i="10"/>
  <c r="Q86"/>
  <c r="P45"/>
  <c r="F48" i="25" s="1"/>
  <c r="Q67" i="10"/>
  <c r="F103" i="25"/>
  <c r="M111" i="37"/>
  <c r="Q30" i="10"/>
  <c r="O15"/>
  <c r="P52"/>
  <c r="P69"/>
  <c r="B72" i="50" s="1"/>
  <c r="P12" i="10"/>
  <c r="M93" i="37"/>
  <c r="M114" i="21"/>
  <c r="G104" i="25"/>
  <c r="P106" i="10"/>
  <c r="B92" i="37"/>
  <c r="M51"/>
  <c r="B65" i="21"/>
  <c r="M58"/>
  <c r="M91"/>
  <c r="A48" i="42"/>
  <c r="A48" i="44"/>
  <c r="C69" i="40"/>
  <c r="C1" i="25"/>
  <c r="P4" i="10"/>
  <c r="F65" i="25"/>
  <c r="M21" i="21"/>
  <c r="M69" i="37"/>
  <c r="B66" i="21"/>
  <c r="Q34" i="10"/>
  <c r="M37" i="50" s="1"/>
  <c r="P77" i="10"/>
  <c r="Q78"/>
  <c r="M81" i="50" s="1"/>
  <c r="P35" i="10"/>
  <c r="B38" i="50" s="1"/>
  <c r="B103" i="37"/>
  <c r="O6" i="10"/>
  <c r="O9"/>
  <c r="Q9" s="1"/>
  <c r="O13"/>
  <c r="G93" i="25"/>
  <c r="G114"/>
  <c r="M114" i="37"/>
  <c r="Q107" i="10"/>
  <c r="M110" i="50" s="1"/>
  <c r="B92" i="21"/>
  <c r="G67" i="25"/>
  <c r="B5" i="40"/>
  <c r="A7" i="42"/>
  <c r="F1" i="21"/>
  <c r="G60" i="25"/>
  <c r="G73"/>
  <c r="B62" i="37"/>
  <c r="O10" i="10"/>
  <c r="O5"/>
  <c r="O16"/>
  <c r="Q95"/>
  <c r="M98" i="50" s="1"/>
  <c r="H11" i="37"/>
  <c r="D11" i="25"/>
  <c r="F11" i="21"/>
  <c r="H11"/>
  <c r="C11" i="25"/>
  <c r="F11" i="37"/>
  <c r="CJ7" i="10"/>
  <c r="CL7" s="1"/>
  <c r="CM7"/>
  <c r="CJ13"/>
  <c r="CL13" s="1"/>
  <c r="CM13" s="1"/>
  <c r="G17" i="25"/>
  <c r="M17" i="37"/>
  <c r="H17" i="21"/>
  <c r="F17" i="37"/>
  <c r="H17"/>
  <c r="C17" i="25"/>
  <c r="F17" i="21"/>
  <c r="D17" i="25"/>
  <c r="BC9" i="21"/>
  <c r="CK6" i="10"/>
  <c r="BD17" i="21"/>
  <c r="CK13" i="10"/>
  <c r="J13" i="21"/>
  <c r="K7"/>
  <c r="H16" i="25"/>
  <c r="I16" i="37"/>
  <c r="BC14" i="21"/>
  <c r="P14" i="10"/>
  <c r="B17" i="50" s="1"/>
  <c r="CH5" i="10"/>
  <c r="CJ5" s="1"/>
  <c r="CM6"/>
  <c r="E8" i="25"/>
  <c r="G8" i="37"/>
  <c r="CH15" i="10"/>
  <c r="I9" i="21"/>
  <c r="I13" i="25"/>
  <c r="I12"/>
  <c r="E9"/>
  <c r="K13" i="21"/>
  <c r="K17"/>
  <c r="G19"/>
  <c r="G10"/>
  <c r="H17" i="25"/>
  <c r="H13"/>
  <c r="H11"/>
  <c r="H9"/>
  <c r="I17" i="37"/>
  <c r="I13"/>
  <c r="I11"/>
  <c r="BC11" i="21"/>
  <c r="BD11" s="1"/>
  <c r="BC16"/>
  <c r="BE16" s="1"/>
  <c r="BC17"/>
  <c r="BE17" s="1"/>
  <c r="J15" i="37"/>
  <c r="CI8" i="10"/>
  <c r="CK8" s="1"/>
  <c r="CL5"/>
  <c r="CH16"/>
  <c r="CJ16" s="1"/>
  <c r="CL16" s="1"/>
  <c r="E7" i="25"/>
  <c r="G7" i="37"/>
  <c r="CH10" i="10"/>
  <c r="CJ10" s="1"/>
  <c r="CL10" s="1"/>
  <c r="CM10" s="1"/>
  <c r="CJ6"/>
  <c r="CL6" s="1"/>
  <c r="CM5"/>
  <c r="CK5"/>
  <c r="CJ15"/>
  <c r="CL15" s="1"/>
  <c r="CM9"/>
  <c r="CJ8"/>
  <c r="CL8" s="1"/>
  <c r="J17" i="37"/>
  <c r="G9"/>
  <c r="K9"/>
  <c r="K13"/>
  <c r="K17"/>
  <c r="K7"/>
  <c r="K10" i="21"/>
  <c r="K14"/>
  <c r="K18"/>
  <c r="G7"/>
  <c r="E19" i="25"/>
  <c r="E11"/>
  <c r="G19" i="37"/>
  <c r="G11"/>
  <c r="BC15" i="21"/>
  <c r="CJ14" i="10"/>
  <c r="CL14" s="1"/>
  <c r="CU4"/>
  <c r="AT117" i="7"/>
  <c r="AF117"/>
  <c r="O5" s="1"/>
  <c r="B42" i="37"/>
  <c r="M56" i="21"/>
  <c r="G38" i="25"/>
  <c r="M47" i="21"/>
  <c r="G49" i="25"/>
  <c r="G59"/>
  <c r="M49" i="21"/>
  <c r="M56" i="37"/>
  <c r="M74" i="21"/>
  <c r="B36"/>
  <c r="G15" i="25"/>
  <c r="B39" i="37"/>
  <c r="M71" i="21"/>
  <c r="B67"/>
  <c r="M38" i="37"/>
  <c r="B75" i="21"/>
  <c r="B69"/>
  <c r="B57"/>
  <c r="B63"/>
  <c r="G25" i="25"/>
  <c r="AF5" i="49"/>
  <c r="M8" i="36" s="1"/>
  <c r="M15" i="37"/>
  <c r="B76"/>
  <c r="B30"/>
  <c r="F69" i="25"/>
  <c r="M62" i="21"/>
  <c r="M88" i="37"/>
  <c r="G86" i="25"/>
  <c r="M17" i="21"/>
  <c r="G56" i="25"/>
  <c r="M59" i="37"/>
  <c r="G35" i="25"/>
  <c r="G44"/>
  <c r="M20" i="21"/>
  <c r="B89" i="37"/>
  <c r="B63"/>
  <c r="B36"/>
  <c r="F99" i="25"/>
  <c r="G111"/>
  <c r="M94" i="37"/>
  <c r="B110"/>
  <c r="B101" i="21"/>
  <c r="G96" i="25"/>
  <c r="F75"/>
  <c r="M25" i="37"/>
  <c r="B56" i="21"/>
  <c r="M105"/>
  <c r="F101" i="25"/>
  <c r="B53" i="37"/>
  <c r="M84"/>
  <c r="B22"/>
  <c r="F46" i="25"/>
  <c r="F70"/>
  <c r="B76" i="21"/>
  <c r="F89" i="25"/>
  <c r="M71" i="37"/>
  <c r="M91"/>
  <c r="M62"/>
  <c r="M66"/>
  <c r="B71" i="7"/>
  <c r="M60" i="37"/>
  <c r="M95" i="21"/>
  <c r="B113"/>
  <c r="M104" i="37"/>
  <c r="G9" i="36"/>
  <c r="DJ12" i="49"/>
  <c r="L15" i="7" s="1"/>
  <c r="DJ9" i="49"/>
  <c r="L12" i="7" s="1"/>
  <c r="CW6" i="49"/>
  <c r="K14" i="7"/>
  <c r="K10"/>
  <c r="DJ13" i="49"/>
  <c r="L16" i="7" s="1"/>
  <c r="G10" i="36"/>
  <c r="DJ8" i="49"/>
  <c r="L11" i="7" s="1"/>
  <c r="G7"/>
  <c r="M28" i="36"/>
  <c r="AF98" i="49"/>
  <c r="M101" i="36" s="1"/>
  <c r="AF34" i="49"/>
  <c r="M37" i="36" s="1"/>
  <c r="AF17" i="49"/>
  <c r="M20" i="36" s="1"/>
  <c r="AF110" i="49"/>
  <c r="M113" i="36" s="1"/>
  <c r="AF106" i="49"/>
  <c r="M109" i="36" s="1"/>
  <c r="AE102" i="49"/>
  <c r="B105" i="7" s="1"/>
  <c r="AE94" i="49"/>
  <c r="B97" i="7" s="1"/>
  <c r="AE90" i="49"/>
  <c r="B93" i="7" s="1"/>
  <c r="AE57" i="49"/>
  <c r="B60" i="36" s="1"/>
  <c r="AF54" i="49"/>
  <c r="M57" i="36" s="1"/>
  <c r="AF50" i="49"/>
  <c r="M53" i="36" s="1"/>
  <c r="AF46" i="49"/>
  <c r="M49" i="36" s="1"/>
  <c r="AF42" i="49"/>
  <c r="M45" i="36" s="1"/>
  <c r="AE38" i="49"/>
  <c r="B41" i="7" s="1"/>
  <c r="AF12" i="49"/>
  <c r="M15" i="36" s="1"/>
  <c r="B35" i="7"/>
  <c r="AE13" i="49"/>
  <c r="B16" i="36" s="1"/>
  <c r="AE28" i="49"/>
  <c r="B31" i="36" s="1"/>
  <c r="I7"/>
  <c r="AQ9" s="1"/>
  <c r="AX80" i="7"/>
  <c r="CW4" i="49"/>
  <c r="DB4" s="1"/>
  <c r="CY6"/>
  <c r="DA6" s="1"/>
  <c r="DB6"/>
  <c r="CW7"/>
  <c r="DB7" s="1"/>
  <c r="H10" i="36" s="1"/>
  <c r="CZ7" i="49"/>
  <c r="CX7"/>
  <c r="CX9"/>
  <c r="CW9"/>
  <c r="CY9" s="1"/>
  <c r="DA9" s="1"/>
  <c r="CZ9"/>
  <c r="CY11"/>
  <c r="DA11" s="1"/>
  <c r="CX12"/>
  <c r="CZ12" s="1"/>
  <c r="CW12"/>
  <c r="DB14"/>
  <c r="CW16"/>
  <c r="DB16" s="1"/>
  <c r="CX17"/>
  <c r="CZ17" s="1"/>
  <c r="CW21"/>
  <c r="CY21" s="1"/>
  <c r="DA21" s="1"/>
  <c r="DB25"/>
  <c r="CZ25"/>
  <c r="CX25"/>
  <c r="CX26"/>
  <c r="CZ26"/>
  <c r="CY28"/>
  <c r="DA28" s="1"/>
  <c r="CW29"/>
  <c r="DB29" s="1"/>
  <c r="CW30"/>
  <c r="CZ30"/>
  <c r="CX30"/>
  <c r="CY30" s="1"/>
  <c r="DA30" s="1"/>
  <c r="CX32"/>
  <c r="CZ32"/>
  <c r="CW33"/>
  <c r="CY33" s="1"/>
  <c r="DA33" s="1"/>
  <c r="CY38"/>
  <c r="DA38" s="1"/>
  <c r="CW38"/>
  <c r="DB38" s="1"/>
  <c r="CW58"/>
  <c r="CY58" s="1"/>
  <c r="DA58" s="1"/>
  <c r="CX62"/>
  <c r="CY62" s="1"/>
  <c r="DA62" s="1"/>
  <c r="CW63"/>
  <c r="CY63" s="1"/>
  <c r="DA63" s="1"/>
  <c r="CZ64"/>
  <c r="DB64" s="1"/>
  <c r="F67" i="7" s="1"/>
  <c r="CX64" i="49"/>
  <c r="CY64" s="1"/>
  <c r="DA64" s="1"/>
  <c r="CX66"/>
  <c r="CZ66"/>
  <c r="CX68"/>
  <c r="CZ68" s="1"/>
  <c r="DB68" s="1"/>
  <c r="CW74"/>
  <c r="CY74" s="1"/>
  <c r="DA74" s="1"/>
  <c r="CX75"/>
  <c r="CZ75"/>
  <c r="CX78"/>
  <c r="CZ78" s="1"/>
  <c r="DB78" s="1"/>
  <c r="CW79"/>
  <c r="CY79" s="1"/>
  <c r="DA79" s="1"/>
  <c r="CX82"/>
  <c r="CZ82"/>
  <c r="CW83"/>
  <c r="CY83"/>
  <c r="DA83"/>
  <c r="AE93"/>
  <c r="B96" i="36" s="1"/>
  <c r="F116"/>
  <c r="CY85" i="49"/>
  <c r="DA85" s="1"/>
  <c r="AE101"/>
  <c r="B104" i="36" s="1"/>
  <c r="AE85" i="49"/>
  <c r="B88" i="36" s="1"/>
  <c r="AE69" i="49"/>
  <c r="B72" i="36" s="1"/>
  <c r="AE53" i="49"/>
  <c r="B56" i="36" s="1"/>
  <c r="AE37" i="49"/>
  <c r="B40" i="36" s="1"/>
  <c r="AE19" i="49"/>
  <c r="B22" i="7" s="1"/>
  <c r="H116" i="36"/>
  <c r="DA112" i="49"/>
  <c r="CW111"/>
  <c r="CY111" s="1"/>
  <c r="DA111" s="1"/>
  <c r="CX110"/>
  <c r="CY109"/>
  <c r="DA109" s="1"/>
  <c r="CW109"/>
  <c r="CX108"/>
  <c r="CW107"/>
  <c r="CY107" s="1"/>
  <c r="DA107" s="1"/>
  <c r="CX106"/>
  <c r="CZ106" s="1"/>
  <c r="CX105"/>
  <c r="CY104"/>
  <c r="DA104" s="1"/>
  <c r="DB104" s="1"/>
  <c r="CZ103"/>
  <c r="CW102"/>
  <c r="CX101"/>
  <c r="CX100"/>
  <c r="CY99"/>
  <c r="DA99" s="1"/>
  <c r="CW99"/>
  <c r="CX98"/>
  <c r="CZ98" s="1"/>
  <c r="CW97"/>
  <c r="CY97" s="1"/>
  <c r="DA97" s="1"/>
  <c r="CX96"/>
  <c r="CW95"/>
  <c r="CY95" s="1"/>
  <c r="DA95" s="1"/>
  <c r="CX94"/>
  <c r="CW93"/>
  <c r="CY93" s="1"/>
  <c r="DA93" s="1"/>
  <c r="CX92"/>
  <c r="CZ92" s="1"/>
  <c r="DA91"/>
  <c r="CW91"/>
  <c r="CY91" s="1"/>
  <c r="CY90"/>
  <c r="CZ89"/>
  <c r="CW88"/>
  <c r="CY88" s="1"/>
  <c r="DA88" s="1"/>
  <c r="CX87"/>
  <c r="DA86"/>
  <c r="CZ85"/>
  <c r="DB85" s="1"/>
  <c r="CZ84"/>
  <c r="CW84"/>
  <c r="CW78"/>
  <c r="CY78" s="1"/>
  <c r="CX74"/>
  <c r="CZ74" s="1"/>
  <c r="DA68"/>
  <c r="CZ33"/>
  <c r="DB30"/>
  <c r="CW28"/>
  <c r="DB28" s="1"/>
  <c r="CY25"/>
  <c r="DA25" s="1"/>
  <c r="G108" i="36"/>
  <c r="G107" i="7"/>
  <c r="G106" i="36"/>
  <c r="G105" i="7"/>
  <c r="G92" i="36"/>
  <c r="G91" i="7"/>
  <c r="G90" i="36"/>
  <c r="G89" i="7"/>
  <c r="G76" i="36"/>
  <c r="G75" i="7"/>
  <c r="G74" i="36"/>
  <c r="G73" i="7"/>
  <c r="G56" i="36"/>
  <c r="G55" i="7"/>
  <c r="G54" i="36"/>
  <c r="G53" i="7"/>
  <c r="G41" i="36"/>
  <c r="G38"/>
  <c r="G32"/>
  <c r="G31" i="7"/>
  <c r="G30" i="36"/>
  <c r="G29" i="7"/>
  <c r="G16" i="36"/>
  <c r="G15" i="7"/>
  <c r="G14" i="36"/>
  <c r="G11"/>
  <c r="G8"/>
  <c r="CX5" i="49"/>
  <c r="CZ5" s="1"/>
  <c r="CW5"/>
  <c r="CX8"/>
  <c r="CY8" s="1"/>
  <c r="DA8" s="1"/>
  <c r="CZ8"/>
  <c r="CZ10"/>
  <c r="CX10"/>
  <c r="CY10" s="1"/>
  <c r="DA10" s="1"/>
  <c r="CX13"/>
  <c r="CZ13" s="1"/>
  <c r="CW15"/>
  <c r="CY15" s="1"/>
  <c r="DA15" s="1"/>
  <c r="CY18"/>
  <c r="DA18" s="1"/>
  <c r="CW19"/>
  <c r="CY19" s="1"/>
  <c r="DA19" s="1"/>
  <c r="CY20"/>
  <c r="DA20" s="1"/>
  <c r="CW20"/>
  <c r="CW22"/>
  <c r="DB22" s="1"/>
  <c r="CZ22"/>
  <c r="CX22"/>
  <c r="CY22" s="1"/>
  <c r="DA22" s="1"/>
  <c r="CX23"/>
  <c r="CZ23" s="1"/>
  <c r="DB23" s="1"/>
  <c r="CZ24"/>
  <c r="DB24" s="1"/>
  <c r="F27" i="7" s="1"/>
  <c r="CX24" i="49"/>
  <c r="CX27"/>
  <c r="CZ27"/>
  <c r="CX31"/>
  <c r="CY31" s="1"/>
  <c r="DA31" s="1"/>
  <c r="DB31"/>
  <c r="CX34"/>
  <c r="CZ34" s="1"/>
  <c r="DB34"/>
  <c r="CW35"/>
  <c r="DB35" s="1"/>
  <c r="CY35"/>
  <c r="DA35" s="1"/>
  <c r="CX36"/>
  <c r="CZ36" s="1"/>
  <c r="DB36" s="1"/>
  <c r="CW37"/>
  <c r="CY37" s="1"/>
  <c r="DA37" s="1"/>
  <c r="CW39"/>
  <c r="DB39" s="1"/>
  <c r="DA39"/>
  <c r="CY39"/>
  <c r="CZ40"/>
  <c r="CX40"/>
  <c r="DB41"/>
  <c r="CZ41"/>
  <c r="CX41"/>
  <c r="CY41" s="1"/>
  <c r="DA41" s="1"/>
  <c r="CW42"/>
  <c r="DB42" s="1"/>
  <c r="CX43"/>
  <c r="CZ43" s="1"/>
  <c r="DB44"/>
  <c r="CX44"/>
  <c r="CY44" s="1"/>
  <c r="DA44" s="1"/>
  <c r="CW45"/>
  <c r="CX46"/>
  <c r="CZ46" s="1"/>
  <c r="CW47"/>
  <c r="CY47"/>
  <c r="DA47" s="1"/>
  <c r="DB48"/>
  <c r="CX48"/>
  <c r="CZ48" s="1"/>
  <c r="CW49"/>
  <c r="CY49" s="1"/>
  <c r="DA49" s="1"/>
  <c r="CX50"/>
  <c r="CZ50" s="1"/>
  <c r="DB50"/>
  <c r="CW51"/>
  <c r="DA51"/>
  <c r="CY51"/>
  <c r="CZ52"/>
  <c r="CX52"/>
  <c r="CW53"/>
  <c r="DB53" s="1"/>
  <c r="H56" i="36" s="1"/>
  <c r="CX54" i="49"/>
  <c r="CZ54"/>
  <c r="CW55"/>
  <c r="CY55"/>
  <c r="DA55" s="1"/>
  <c r="CY56"/>
  <c r="DA56" s="1"/>
  <c r="CW56"/>
  <c r="DB56" s="1"/>
  <c r="DB57"/>
  <c r="CZ57"/>
  <c r="CX57"/>
  <c r="DB59"/>
  <c r="CZ59"/>
  <c r="CX59"/>
  <c r="CY59" s="1"/>
  <c r="DA59" s="1"/>
  <c r="CY60"/>
  <c r="CW60"/>
  <c r="DB60"/>
  <c r="CW61"/>
  <c r="CY61" s="1"/>
  <c r="DA61" s="1"/>
  <c r="CW65"/>
  <c r="CY65" s="1"/>
  <c r="DA65" s="1"/>
  <c r="CW67"/>
  <c r="CY67"/>
  <c r="DA67" s="1"/>
  <c r="CW69"/>
  <c r="DB69" s="1"/>
  <c r="CY69"/>
  <c r="DA69" s="1"/>
  <c r="CX70"/>
  <c r="CZ70" s="1"/>
  <c r="CX71"/>
  <c r="CZ71"/>
  <c r="CW72"/>
  <c r="CY72"/>
  <c r="DA72" s="1"/>
  <c r="CX73"/>
  <c r="CY73" s="1"/>
  <c r="DA73" s="1"/>
  <c r="CX76"/>
  <c r="CZ76"/>
  <c r="DB76" s="1"/>
  <c r="CW77"/>
  <c r="CY77" s="1"/>
  <c r="DA77" s="1"/>
  <c r="CX80"/>
  <c r="CZ80" s="1"/>
  <c r="CW81"/>
  <c r="CY81"/>
  <c r="DA81" s="1"/>
  <c r="AE109"/>
  <c r="B112" i="36" s="1"/>
  <c r="AE77" i="49"/>
  <c r="B80" i="36" s="1"/>
  <c r="AE61" i="49"/>
  <c r="B64" i="36" s="1"/>
  <c r="AE45" i="49"/>
  <c r="B48" i="36" s="1"/>
  <c r="F116" i="7"/>
  <c r="AE113" i="49"/>
  <c r="B116" i="36" s="1"/>
  <c r="AE97" i="49"/>
  <c r="B100" i="36" s="1"/>
  <c r="AE81" i="49"/>
  <c r="B84" i="36" s="1"/>
  <c r="AE65" i="49"/>
  <c r="B68" i="36" s="1"/>
  <c r="AE49" i="49"/>
  <c r="B52" i="36" s="1"/>
  <c r="AE33" i="49"/>
  <c r="B36" i="36" s="1"/>
  <c r="F56"/>
  <c r="CZ112" i="49"/>
  <c r="DB112" s="1"/>
  <c r="CY103"/>
  <c r="DA103" s="1"/>
  <c r="DB103" s="1"/>
  <c r="DA90"/>
  <c r="CY89"/>
  <c r="DA89" s="1"/>
  <c r="DB89" s="1"/>
  <c r="CZ86"/>
  <c r="DB86" s="1"/>
  <c r="CY84"/>
  <c r="DA84" s="1"/>
  <c r="CZ83"/>
  <c r="CY82"/>
  <c r="DA82" s="1"/>
  <c r="CX81"/>
  <c r="CZ81" s="1"/>
  <c r="DB81" s="1"/>
  <c r="CW80"/>
  <c r="DA78"/>
  <c r="CZ77"/>
  <c r="CY76"/>
  <c r="CY75"/>
  <c r="DA75" s="1"/>
  <c r="DB75" s="1"/>
  <c r="CZ72"/>
  <c r="CY71"/>
  <c r="DA71" s="1"/>
  <c r="CW70"/>
  <c r="CY68"/>
  <c r="DB67"/>
  <c r="CW66"/>
  <c r="CY66" s="1"/>
  <c r="DA66" s="1"/>
  <c r="CX63"/>
  <c r="CZ63" s="1"/>
  <c r="DB63" s="1"/>
  <c r="CZ58"/>
  <c r="DB58" s="1"/>
  <c r="H61" i="7" s="1"/>
  <c r="CX53" i="49"/>
  <c r="CW52"/>
  <c r="CY52" s="1"/>
  <c r="DA52" s="1"/>
  <c r="CX49"/>
  <c r="CZ49" s="1"/>
  <c r="DB47"/>
  <c r="CW46"/>
  <c r="CY46" s="1"/>
  <c r="DA46" s="1"/>
  <c r="CX42"/>
  <c r="CW40"/>
  <c r="DB40" s="1"/>
  <c r="CZ38"/>
  <c r="CX37"/>
  <c r="CZ35"/>
  <c r="CY34"/>
  <c r="DA34" s="1"/>
  <c r="CX33"/>
  <c r="CW32"/>
  <c r="CY32" s="1"/>
  <c r="DA32" s="1"/>
  <c r="CW27"/>
  <c r="CY27" s="1"/>
  <c r="CW26"/>
  <c r="CY26" s="1"/>
  <c r="DA26" s="1"/>
  <c r="DB26" s="1"/>
  <c r="CY24"/>
  <c r="CX21"/>
  <c r="CZ21" s="1"/>
  <c r="CX20"/>
  <c r="DB19"/>
  <c r="CW18"/>
  <c r="DB18" s="1"/>
  <c r="CZ16"/>
  <c r="CX15"/>
  <c r="CZ15" s="1"/>
  <c r="DB15" s="1"/>
  <c r="CX14"/>
  <c r="CY14" s="1"/>
  <c r="DA14" s="1"/>
  <c r="CZ11"/>
  <c r="DB8"/>
  <c r="CZ6"/>
  <c r="G112" i="36"/>
  <c r="G111" i="7"/>
  <c r="G110" i="36"/>
  <c r="G109" i="7"/>
  <c r="G96" i="36"/>
  <c r="G95" i="7"/>
  <c r="G94" i="36"/>
  <c r="G93" i="7"/>
  <c r="G80" i="36"/>
  <c r="G79" i="7"/>
  <c r="G78" i="36"/>
  <c r="G77" i="7"/>
  <c r="G60" i="36"/>
  <c r="G59" i="7"/>
  <c r="G58" i="36"/>
  <c r="G57" i="7"/>
  <c r="AW51"/>
  <c r="G44" i="36"/>
  <c r="G43" i="7"/>
  <c r="G42" i="36"/>
  <c r="G39"/>
  <c r="G36"/>
  <c r="G35" i="7"/>
  <c r="G34" i="36"/>
  <c r="G33" i="7"/>
  <c r="G20" i="36"/>
  <c r="G19" i="7"/>
  <c r="G18" i="36"/>
  <c r="G17" i="7"/>
  <c r="G12" i="36"/>
  <c r="AW88" i="7"/>
  <c r="AX62"/>
  <c r="AW36"/>
  <c r="AW32"/>
  <c r="DJ4" i="49"/>
  <c r="L7" i="7" s="1"/>
  <c r="AX90"/>
  <c r="AW34"/>
  <c r="AX40"/>
  <c r="AX15"/>
  <c r="AW8"/>
  <c r="AW70"/>
  <c r="AW109"/>
  <c r="AW110"/>
  <c r="AW102"/>
  <c r="AW86"/>
  <c r="AW78"/>
  <c r="AW74"/>
  <c r="AX70"/>
  <c r="AX66"/>
  <c r="AX30"/>
  <c r="AW26"/>
  <c r="AW22"/>
  <c r="B12" i="36"/>
  <c r="B53"/>
  <c r="B85"/>
  <c r="AX83" i="7"/>
  <c r="AX51"/>
  <c r="AX93"/>
  <c r="AW113"/>
  <c r="AW59"/>
  <c r="AW62"/>
  <c r="AW101"/>
  <c r="AW91"/>
  <c r="AX54"/>
  <c r="AW115"/>
  <c r="AW111"/>
  <c r="AW107"/>
  <c r="AW103"/>
  <c r="AW65"/>
  <c r="B20"/>
  <c r="AX32"/>
  <c r="AX46"/>
  <c r="AX87"/>
  <c r="AX96"/>
  <c r="AX67"/>
  <c r="AX63"/>
  <c r="AX59"/>
  <c r="AW48"/>
  <c r="AX34"/>
  <c r="AX60"/>
  <c r="AW45"/>
  <c r="B47" i="36"/>
  <c r="AW79" i="7"/>
  <c r="AW75"/>
  <c r="AW71"/>
  <c r="AW25"/>
  <c r="AW28"/>
  <c r="AW12"/>
  <c r="AX45"/>
  <c r="AX49"/>
  <c r="AX16"/>
  <c r="AW99"/>
  <c r="AW90"/>
  <c r="AW80"/>
  <c r="AW33"/>
  <c r="AX36"/>
  <c r="AW63"/>
  <c r="B13" i="36"/>
  <c r="AX26" i="7"/>
  <c r="AW50"/>
  <c r="AX75"/>
  <c r="AW112"/>
  <c r="AW108"/>
  <c r="AW95"/>
  <c r="AW92"/>
  <c r="AX76"/>
  <c r="AW72"/>
  <c r="AW53"/>
  <c r="AW23"/>
  <c r="AX19"/>
  <c r="AW56"/>
  <c r="AX111"/>
  <c r="AW104"/>
  <c r="AW100"/>
  <c r="AW84"/>
  <c r="AX68"/>
  <c r="AX56"/>
  <c r="AW49"/>
  <c r="B28"/>
  <c r="AW38"/>
  <c r="AW68"/>
  <c r="AX91"/>
  <c r="AX98"/>
  <c r="AW96"/>
  <c r="AW89"/>
  <c r="AX73"/>
  <c r="AW54"/>
  <c r="AW44"/>
  <c r="AW24"/>
  <c r="AW20"/>
  <c r="B37" i="36"/>
  <c r="B63"/>
  <c r="B101"/>
  <c r="AW67" i="7"/>
  <c r="AX23"/>
  <c r="AX44"/>
  <c r="AX52"/>
  <c r="AW61"/>
  <c r="AW106"/>
  <c r="AW10"/>
  <c r="AX95"/>
  <c r="AW82"/>
  <c r="AX74"/>
  <c r="AW58"/>
  <c r="AX28"/>
  <c r="AX18"/>
  <c r="AW98"/>
  <c r="AW52"/>
  <c r="AW43"/>
  <c r="AW21"/>
  <c r="AW81"/>
  <c r="AW97"/>
  <c r="AW116"/>
  <c r="B34"/>
  <c r="AX29"/>
  <c r="AX31"/>
  <c r="AX33"/>
  <c r="AX39"/>
  <c r="AX9"/>
  <c r="AX41"/>
  <c r="B45" i="36"/>
  <c r="B49"/>
  <c r="B57"/>
  <c r="B77"/>
  <c r="B81"/>
  <c r="B89"/>
  <c r="B109"/>
  <c r="B113"/>
  <c r="J48" i="41"/>
  <c r="I7" i="37"/>
  <c r="N51" i="40"/>
  <c r="H7" i="25"/>
  <c r="J26" i="41"/>
  <c r="CI4" i="10"/>
  <c r="CK4" s="1"/>
  <c r="B58" i="7"/>
  <c r="B90"/>
  <c r="B110"/>
  <c r="B17"/>
  <c r="B17" i="36"/>
  <c r="B9"/>
  <c r="B9" i="7"/>
  <c r="B38" i="36"/>
  <c r="B38" i="7"/>
  <c r="B46" i="36"/>
  <c r="B46" i="7"/>
  <c r="B54" i="36"/>
  <c r="B54" i="7"/>
  <c r="B62" i="36"/>
  <c r="B62" i="7"/>
  <c r="B70" i="36"/>
  <c r="B70" i="7"/>
  <c r="B78" i="36"/>
  <c r="B78" i="7"/>
  <c r="B86" i="36"/>
  <c r="B86" i="7"/>
  <c r="B94" i="36"/>
  <c r="B94" i="7"/>
  <c r="B102" i="36"/>
  <c r="B102" i="7"/>
  <c r="B114"/>
  <c r="AF22" i="49"/>
  <c r="M25" i="36" s="1"/>
  <c r="B8"/>
  <c r="AF111" i="49"/>
  <c r="M114" i="36" s="1"/>
  <c r="AF107" i="49"/>
  <c r="M110" i="36" s="1"/>
  <c r="AF103" i="49"/>
  <c r="M106" i="36" s="1"/>
  <c r="AF99" i="49"/>
  <c r="M102" i="36" s="1"/>
  <c r="AF95" i="49"/>
  <c r="M98" i="36" s="1"/>
  <c r="AF91" i="49"/>
  <c r="M94" i="36" s="1"/>
  <c r="AF87" i="49"/>
  <c r="M90" i="36" s="1"/>
  <c r="AF83" i="49"/>
  <c r="M86" i="36" s="1"/>
  <c r="AF79" i="49"/>
  <c r="M82" i="36" s="1"/>
  <c r="AF75" i="49"/>
  <c r="M78" i="36" s="1"/>
  <c r="AF71" i="49"/>
  <c r="M74" i="36" s="1"/>
  <c r="AF67" i="49"/>
  <c r="M70" i="36" s="1"/>
  <c r="AF63" i="49"/>
  <c r="M66" i="36" s="1"/>
  <c r="AF59" i="49"/>
  <c r="M62" i="36" s="1"/>
  <c r="AF55" i="49"/>
  <c r="M58" i="36" s="1"/>
  <c r="AF51" i="49"/>
  <c r="M54" i="36" s="1"/>
  <c r="AF47" i="49"/>
  <c r="M50" i="36" s="1"/>
  <c r="AF43" i="49"/>
  <c r="M46" i="36" s="1"/>
  <c r="AF39" i="49"/>
  <c r="M42" i="36" s="1"/>
  <c r="AF35" i="49"/>
  <c r="M38" i="36" s="1"/>
  <c r="AF6" i="49"/>
  <c r="M9" i="36" s="1"/>
  <c r="AF30" i="49"/>
  <c r="M33" i="36" s="1"/>
  <c r="S16" i="40"/>
  <c r="S20"/>
  <c r="S22"/>
  <c r="R28"/>
  <c r="R32"/>
  <c r="S28"/>
  <c r="R42"/>
  <c r="R44"/>
  <c r="S42"/>
  <c r="S44"/>
  <c r="R52"/>
  <c r="R54"/>
  <c r="R58"/>
  <c r="R57"/>
  <c r="R33"/>
  <c r="S57"/>
  <c r="L42" i="41"/>
  <c r="C37"/>
  <c r="R16" i="40"/>
  <c r="R31"/>
  <c r="C55" i="41"/>
  <c r="E27"/>
  <c r="AF117" i="37"/>
  <c r="AG117"/>
  <c r="J7" i="36"/>
  <c r="CX4" i="49"/>
  <c r="CZ4" s="1"/>
  <c r="CJ4" i="10"/>
  <c r="CL4" s="1"/>
  <c r="CM4" s="1"/>
  <c r="R46" i="40"/>
  <c r="S46"/>
  <c r="S32"/>
  <c r="J37" i="41"/>
  <c r="N27" i="40"/>
  <c r="S58"/>
  <c r="E42" i="41"/>
  <c r="C40"/>
  <c r="E49"/>
  <c r="S19" i="40"/>
  <c r="S21"/>
  <c r="R27"/>
  <c r="S27"/>
  <c r="S29"/>
  <c r="S31"/>
  <c r="R43"/>
  <c r="S39"/>
  <c r="S51"/>
  <c r="J7" i="21"/>
  <c r="S18" i="40"/>
  <c r="R17"/>
  <c r="R21"/>
  <c r="R53"/>
  <c r="R55"/>
  <c r="S17"/>
  <c r="R51"/>
  <c r="R56"/>
  <c r="S54"/>
  <c r="S40"/>
  <c r="S34"/>
  <c r="BA8" i="37"/>
  <c r="BB8" s="1"/>
  <c r="L16" i="41"/>
  <c r="E31"/>
  <c r="J40"/>
  <c r="C51"/>
  <c r="R18" i="40"/>
  <c r="R45"/>
  <c r="R40"/>
  <c r="S30"/>
  <c r="E26" i="41"/>
  <c r="L30"/>
  <c r="L20"/>
  <c r="S45" i="40"/>
  <c r="R29"/>
  <c r="S53"/>
  <c r="AU36" i="37"/>
  <c r="S43" i="40"/>
  <c r="R39"/>
  <c r="S15"/>
  <c r="J21" i="41"/>
  <c r="R20" i="40"/>
  <c r="S33"/>
  <c r="R19"/>
  <c r="S41"/>
  <c r="AU37" i="37"/>
  <c r="S52" i="40"/>
  <c r="C16" i="41"/>
  <c r="R30" i="40"/>
  <c r="R41"/>
  <c r="E41" i="41"/>
  <c r="L26"/>
  <c r="L48"/>
  <c r="R22" i="40"/>
  <c r="J22" i="41"/>
  <c r="L27"/>
  <c r="S55" i="40"/>
  <c r="I7" i="25"/>
  <c r="N15" i="40"/>
  <c r="R15"/>
  <c r="S56"/>
  <c r="R34"/>
  <c r="AU8" i="37"/>
  <c r="AU9"/>
  <c r="AU11"/>
  <c r="AU38"/>
  <c r="BA7"/>
  <c r="BB7" s="1"/>
  <c r="AU39"/>
  <c r="AU12"/>
  <c r="AU40"/>
  <c r="AU32"/>
  <c r="AU10"/>
  <c r="AX7" i="7"/>
  <c r="AP17"/>
  <c r="AQ11"/>
  <c r="AM7" i="36"/>
  <c r="M24"/>
  <c r="M64"/>
  <c r="M76"/>
  <c r="M80"/>
  <c r="M108"/>
  <c r="M32"/>
  <c r="B10"/>
  <c r="B10" i="7"/>
  <c r="M56" i="36"/>
  <c r="M84"/>
  <c r="M112"/>
  <c r="B33"/>
  <c r="B25" i="7"/>
  <c r="M60" i="36"/>
  <c r="M72"/>
  <c r="M88"/>
  <c r="M96"/>
  <c r="M116"/>
  <c r="B31" i="7"/>
  <c r="B27"/>
  <c r="AF7" i="49"/>
  <c r="AE21"/>
  <c r="AE29"/>
  <c r="L116" i="36"/>
  <c r="AC113" i="49"/>
  <c r="L115" i="36"/>
  <c r="AC112" i="49"/>
  <c r="L114" i="36"/>
  <c r="AC111" i="49"/>
  <c r="L113" i="36"/>
  <c r="AC110" i="49"/>
  <c r="L112" i="36"/>
  <c r="AC109" i="49"/>
  <c r="L111" i="36"/>
  <c r="AC108" i="49"/>
  <c r="L110" i="36"/>
  <c r="AC107" i="49"/>
  <c r="L109" i="36"/>
  <c r="AC106" i="49"/>
  <c r="L108" i="36"/>
  <c r="AC105" i="49"/>
  <c r="L107" i="36"/>
  <c r="AC104" i="49"/>
  <c r="L106" i="36"/>
  <c r="AC103" i="49"/>
  <c r="L105" i="36"/>
  <c r="AC102" i="49"/>
  <c r="L104" i="36"/>
  <c r="AC101" i="49"/>
  <c r="L102" i="36"/>
  <c r="AC99" i="49"/>
  <c r="L101" i="36"/>
  <c r="AC98" i="49"/>
  <c r="L100" i="36"/>
  <c r="AC97" i="49"/>
  <c r="L99" i="36"/>
  <c r="AC96" i="49"/>
  <c r="L98" i="36"/>
  <c r="AC95" i="49"/>
  <c r="L97" i="36"/>
  <c r="AC94" i="49"/>
  <c r="L96" i="36"/>
  <c r="AC93" i="49"/>
  <c r="L94" i="36"/>
  <c r="AC91" i="49"/>
  <c r="L93" i="36"/>
  <c r="AC90" i="49"/>
  <c r="L92" i="36"/>
  <c r="AC89" i="49"/>
  <c r="L91" i="36"/>
  <c r="AC88" i="49"/>
  <c r="L90" i="36"/>
  <c r="AC87" i="49"/>
  <c r="L89" i="36"/>
  <c r="AC86" i="49"/>
  <c r="L88" i="36"/>
  <c r="AC85" i="49"/>
  <c r="L87" i="36"/>
  <c r="AC84" i="49"/>
  <c r="L86" i="36"/>
  <c r="AC83" i="49"/>
  <c r="L84" i="36"/>
  <c r="AC81" i="49"/>
  <c r="L83" i="36"/>
  <c r="AC80" i="49"/>
  <c r="L82" i="36"/>
  <c r="AC79" i="49"/>
  <c r="L81" i="36"/>
  <c r="AC78" i="49"/>
  <c r="L80" i="36"/>
  <c r="AC77" i="49"/>
  <c r="L79" i="36"/>
  <c r="AC76" i="49"/>
  <c r="L78" i="36"/>
  <c r="AC75" i="49"/>
  <c r="L76" i="36"/>
  <c r="AC73" i="49"/>
  <c r="L75" i="36"/>
  <c r="AC72" i="49"/>
  <c r="L74" i="36"/>
  <c r="AC71" i="49"/>
  <c r="L73" i="36"/>
  <c r="AC70" i="49"/>
  <c r="L72" i="36"/>
  <c r="AC69" i="49"/>
  <c r="L70" i="36"/>
  <c r="AC67" i="49"/>
  <c r="L68" i="36"/>
  <c r="AC65" i="49"/>
  <c r="L67" i="36"/>
  <c r="AC64" i="49"/>
  <c r="L66" i="36"/>
  <c r="AC63" i="49"/>
  <c r="L65" i="36"/>
  <c r="AC62" i="49"/>
  <c r="L64" i="36"/>
  <c r="AC61" i="49"/>
  <c r="L63" i="36"/>
  <c r="AC60" i="49"/>
  <c r="L62" i="36"/>
  <c r="AC59" i="49"/>
  <c r="L61" i="36"/>
  <c r="AC58" i="49"/>
  <c r="L60" i="36"/>
  <c r="AC57" i="49"/>
  <c r="L58" i="36"/>
  <c r="AC55" i="49"/>
  <c r="L57" i="36"/>
  <c r="AC54" i="49"/>
  <c r="L56" i="36"/>
  <c r="AC53" i="49"/>
  <c r="L55" i="36"/>
  <c r="AC52" i="49"/>
  <c r="L54" i="36"/>
  <c r="AC51" i="49"/>
  <c r="L52" i="36"/>
  <c r="AC49" i="49"/>
  <c r="L51" i="36"/>
  <c r="AC48" i="49"/>
  <c r="L50" i="36"/>
  <c r="AC47" i="49"/>
  <c r="L49" i="36"/>
  <c r="AC46" i="49"/>
  <c r="L48" i="36"/>
  <c r="AC45" i="49"/>
  <c r="L47" i="36"/>
  <c r="AC44" i="49"/>
  <c r="L46" i="36"/>
  <c r="AC43" i="49"/>
  <c r="L45" i="36"/>
  <c r="AC42" i="49"/>
  <c r="L44" i="36"/>
  <c r="AC41" i="49"/>
  <c r="L43" i="36"/>
  <c r="AC40" i="49"/>
  <c r="L42" i="36"/>
  <c r="AC39" i="49"/>
  <c r="L41" i="36"/>
  <c r="AC38" i="49"/>
  <c r="L40" i="36"/>
  <c r="AC37" i="49"/>
  <c r="L39" i="36"/>
  <c r="AC36" i="49"/>
  <c r="L38" i="36"/>
  <c r="AC35" i="49"/>
  <c r="L37" i="36"/>
  <c r="AC34" i="49"/>
  <c r="L36" i="36"/>
  <c r="AC33" i="49"/>
  <c r="L35" i="36"/>
  <c r="AC32" i="49"/>
  <c r="L34" i="36"/>
  <c r="AC31" i="49"/>
  <c r="L32" i="36"/>
  <c r="L31"/>
  <c r="AC28" i="49"/>
  <c r="L30" i="36"/>
  <c r="AC27" i="49"/>
  <c r="L29" i="36"/>
  <c r="AC26" i="49"/>
  <c r="L28" i="36"/>
  <c r="AC25" i="49"/>
  <c r="L26" i="36"/>
  <c r="AC23" i="49"/>
  <c r="L25" i="36"/>
  <c r="AC22" i="49"/>
  <c r="L24" i="36"/>
  <c r="AC21" i="49"/>
  <c r="L22" i="36"/>
  <c r="AC19" i="49"/>
  <c r="L21" i="36"/>
  <c r="AC18" i="49"/>
  <c r="L20" i="36"/>
  <c r="AC17" i="49"/>
  <c r="L18" i="36"/>
  <c r="AC15" i="49"/>
  <c r="L17" i="36"/>
  <c r="AC14" i="49"/>
  <c r="AC13"/>
  <c r="L14" i="36"/>
  <c r="AC11" i="49"/>
  <c r="L13" i="36"/>
  <c r="AC10" i="49"/>
  <c r="L11" i="36"/>
  <c r="AC8" i="49"/>
  <c r="L10" i="36"/>
  <c r="AC7" i="49"/>
  <c r="L9" i="36"/>
  <c r="AC6" i="49"/>
  <c r="L8" i="36"/>
  <c r="AC5" i="49"/>
  <c r="CM23" i="10"/>
  <c r="AI8" i="25"/>
  <c r="AI7"/>
  <c r="C67"/>
  <c r="F67" i="21"/>
  <c r="F67" i="37"/>
  <c r="D67" i="25"/>
  <c r="H67" i="21"/>
  <c r="H67" i="37"/>
  <c r="D74" i="25"/>
  <c r="F74" i="21"/>
  <c r="H74" i="37"/>
  <c r="F74"/>
  <c r="C74" i="25"/>
  <c r="H74" i="21"/>
  <c r="F23"/>
  <c r="H23" i="37"/>
  <c r="F23"/>
  <c r="C23" i="25"/>
  <c r="H23" i="21"/>
  <c r="D23" i="25"/>
  <c r="C61"/>
  <c r="F54" i="21"/>
  <c r="C54" i="25"/>
  <c r="D54"/>
  <c r="H54" i="21"/>
  <c r="F54" i="37"/>
  <c r="H54"/>
  <c r="H94" i="21"/>
  <c r="F94"/>
  <c r="F94" i="37"/>
  <c r="H94"/>
  <c r="D94" i="25"/>
  <c r="C94"/>
  <c r="D26"/>
  <c r="H26" i="21"/>
  <c r="C26" i="25"/>
  <c r="K116"/>
  <c r="L116"/>
  <c r="L116" i="21"/>
  <c r="L116" i="37"/>
  <c r="K115" i="25"/>
  <c r="L115"/>
  <c r="L115" i="21"/>
  <c r="L115" i="37"/>
  <c r="K114" i="25"/>
  <c r="L114"/>
  <c r="L114" i="21"/>
  <c r="L114" i="37"/>
  <c r="K113" i="25"/>
  <c r="L113"/>
  <c r="L113" i="21"/>
  <c r="L113" i="37"/>
  <c r="K112" i="25"/>
  <c r="L112"/>
  <c r="L112" i="21"/>
  <c r="L112" i="37"/>
  <c r="K111" i="25"/>
  <c r="L111"/>
  <c r="L111" i="21"/>
  <c r="L111" i="37"/>
  <c r="K110" i="25"/>
  <c r="L110"/>
  <c r="L110" i="21"/>
  <c r="L110" i="37"/>
  <c r="K109" i="25"/>
  <c r="L109"/>
  <c r="L109" i="21"/>
  <c r="L109" i="37"/>
  <c r="K108" i="25"/>
  <c r="L108"/>
  <c r="L108" i="21"/>
  <c r="L108" i="37"/>
  <c r="K107" i="25"/>
  <c r="L107"/>
  <c r="L107" i="21"/>
  <c r="L107" i="37"/>
  <c r="K106" i="25"/>
  <c r="L106"/>
  <c r="L106" i="21"/>
  <c r="L106" i="37"/>
  <c r="K105" i="25"/>
  <c r="L105"/>
  <c r="L105" i="21"/>
  <c r="L105" i="37"/>
  <c r="K104" i="25"/>
  <c r="L104"/>
  <c r="L104" i="21"/>
  <c r="L104" i="37"/>
  <c r="K103" i="25"/>
  <c r="L103"/>
  <c r="L103" i="21"/>
  <c r="L103" i="37"/>
  <c r="K102" i="25"/>
  <c r="L102"/>
  <c r="L102" i="21"/>
  <c r="L102" i="37"/>
  <c r="K101" i="25"/>
  <c r="L101"/>
  <c r="L101" i="21"/>
  <c r="L101" i="37"/>
  <c r="K100" i="25"/>
  <c r="L100"/>
  <c r="L100" i="21"/>
  <c r="L100" i="37"/>
  <c r="K99" i="25"/>
  <c r="L99"/>
  <c r="L99" i="21"/>
  <c r="L99" i="37"/>
  <c r="K98" i="25"/>
  <c r="L98"/>
  <c r="L98" i="21"/>
  <c r="L98" i="37"/>
  <c r="K97" i="25"/>
  <c r="L97"/>
  <c r="L97" i="21"/>
  <c r="L97" i="37"/>
  <c r="L96" i="21"/>
  <c r="K95" i="25"/>
  <c r="L95"/>
  <c r="L95" i="21"/>
  <c r="L95" i="37"/>
  <c r="K94" i="25"/>
  <c r="L94"/>
  <c r="L94" i="21"/>
  <c r="L94" i="37"/>
  <c r="K93" i="25"/>
  <c r="L93"/>
  <c r="L93" i="21"/>
  <c r="L93" i="37"/>
  <c r="K92" i="25"/>
  <c r="L92"/>
  <c r="L92" i="21"/>
  <c r="L92" i="37"/>
  <c r="K91" i="25"/>
  <c r="L91"/>
  <c r="L91" i="21"/>
  <c r="L91" i="37"/>
  <c r="K90" i="25"/>
  <c r="L90"/>
  <c r="L90" i="21"/>
  <c r="L90" i="37"/>
  <c r="K89" i="25"/>
  <c r="L89"/>
  <c r="L89" i="21"/>
  <c r="L89" i="37"/>
  <c r="K88" i="25"/>
  <c r="L88"/>
  <c r="L88" i="21"/>
  <c r="L88" i="37"/>
  <c r="K87" i="25"/>
  <c r="L87"/>
  <c r="L87" i="21"/>
  <c r="L87" i="37"/>
  <c r="K86" i="25"/>
  <c r="L86"/>
  <c r="L86" i="21"/>
  <c r="L86" i="37"/>
  <c r="K85" i="25"/>
  <c r="L85"/>
  <c r="L85" i="21"/>
  <c r="L85" i="37"/>
  <c r="K84" i="25"/>
  <c r="L84"/>
  <c r="L84" i="21"/>
  <c r="L84" i="37"/>
  <c r="K83" i="25"/>
  <c r="L83"/>
  <c r="L83" i="21"/>
  <c r="L83" i="37"/>
  <c r="K82" i="25"/>
  <c r="L82"/>
  <c r="L82" i="21"/>
  <c r="L82" i="37"/>
  <c r="K81" i="25"/>
  <c r="L81"/>
  <c r="L81" i="21"/>
  <c r="L81" i="37"/>
  <c r="L80" i="21"/>
  <c r="K79" i="25"/>
  <c r="L79"/>
  <c r="L79" i="21"/>
  <c r="L79" i="37"/>
  <c r="K78" i="25"/>
  <c r="L78"/>
  <c r="L78" i="21"/>
  <c r="L78" i="37"/>
  <c r="K77" i="25"/>
  <c r="L77"/>
  <c r="L77" i="21"/>
  <c r="L77" i="37"/>
  <c r="K76" i="25"/>
  <c r="L76"/>
  <c r="L76" i="21"/>
  <c r="L76" i="37"/>
  <c r="K75" i="25"/>
  <c r="L75"/>
  <c r="L75" i="21"/>
  <c r="L75" i="37"/>
  <c r="K74" i="25"/>
  <c r="L74"/>
  <c r="L74" i="21"/>
  <c r="L74" i="37"/>
  <c r="K73" i="25"/>
  <c r="L73"/>
  <c r="L73" i="21"/>
  <c r="L73" i="37"/>
  <c r="L72" i="25"/>
  <c r="L72" i="37"/>
  <c r="K71" i="25"/>
  <c r="L71"/>
  <c r="L71" i="21"/>
  <c r="L71" i="37"/>
  <c r="K70" i="25"/>
  <c r="L70"/>
  <c r="L70" i="21"/>
  <c r="L70" i="37"/>
  <c r="K69" i="25"/>
  <c r="L69"/>
  <c r="L69" i="21"/>
  <c r="L69" i="37"/>
  <c r="K68" i="25"/>
  <c r="L68"/>
  <c r="L68" i="21"/>
  <c r="L68" i="37"/>
  <c r="K67" i="25"/>
  <c r="L67"/>
  <c r="L67" i="21"/>
  <c r="L67" i="37"/>
  <c r="K66" i="25"/>
  <c r="L66"/>
  <c r="L66" i="21"/>
  <c r="L66" i="37"/>
  <c r="K65" i="25"/>
  <c r="L65"/>
  <c r="L65" i="21"/>
  <c r="L65" i="37"/>
  <c r="L64" i="25"/>
  <c r="L64" i="21"/>
  <c r="L64" i="37"/>
  <c r="K63" i="25"/>
  <c r="L63"/>
  <c r="L63" i="21"/>
  <c r="L63" i="37"/>
  <c r="K62" i="25"/>
  <c r="L62"/>
  <c r="L62" i="21"/>
  <c r="L62" i="37"/>
  <c r="K61" i="25"/>
  <c r="L61"/>
  <c r="L61" i="21"/>
  <c r="L61" i="37"/>
  <c r="L60" i="25"/>
  <c r="L60" i="21"/>
  <c r="L60" i="37"/>
  <c r="L59" i="21"/>
  <c r="K58" i="25"/>
  <c r="L58"/>
  <c r="L58" i="21"/>
  <c r="L58" i="37"/>
  <c r="K57" i="25"/>
  <c r="L57"/>
  <c r="L57" i="21"/>
  <c r="L57" i="37"/>
  <c r="K56" i="25"/>
  <c r="L55" i="21"/>
  <c r="K54" i="25"/>
  <c r="L54"/>
  <c r="L54" i="21"/>
  <c r="L54" i="37"/>
  <c r="K53" i="25"/>
  <c r="L53"/>
  <c r="L53" i="21"/>
  <c r="L53" i="37"/>
  <c r="K52" i="25"/>
  <c r="L52"/>
  <c r="L52" i="21"/>
  <c r="L52" i="37"/>
  <c r="K51" i="25"/>
  <c r="L51"/>
  <c r="L51" i="21"/>
  <c r="L51" i="37"/>
  <c r="K50" i="25"/>
  <c r="L50"/>
  <c r="L50" i="21"/>
  <c r="L50" i="37"/>
  <c r="K49" i="25"/>
  <c r="L49"/>
  <c r="L49" i="21"/>
  <c r="L49" i="37"/>
  <c r="K48" i="25"/>
  <c r="L48"/>
  <c r="L48" i="21"/>
  <c r="L48" i="37"/>
  <c r="K47" i="25"/>
  <c r="L47"/>
  <c r="L47" i="21"/>
  <c r="L47" i="37"/>
  <c r="K46" i="25"/>
  <c r="L46"/>
  <c r="L46" i="21"/>
  <c r="L46" i="37"/>
  <c r="K45" i="25"/>
  <c r="L45"/>
  <c r="L45" i="21"/>
  <c r="L45" i="37"/>
  <c r="K44" i="25"/>
  <c r="L44"/>
  <c r="L44" i="21"/>
  <c r="L44" i="37"/>
  <c r="K43" i="25"/>
  <c r="L43"/>
  <c r="L43" i="21"/>
  <c r="L43" i="37"/>
  <c r="K42" i="25"/>
  <c r="L42"/>
  <c r="L42" i="21"/>
  <c r="L42" i="37"/>
  <c r="K41" i="25"/>
  <c r="L41"/>
  <c r="L41" i="21"/>
  <c r="L41" i="37"/>
  <c r="K40" i="25"/>
  <c r="K39"/>
  <c r="L39"/>
  <c r="L39" i="21"/>
  <c r="L39" i="37"/>
  <c r="K38" i="25"/>
  <c r="L38"/>
  <c r="L38" i="21"/>
  <c r="L38" i="37"/>
  <c r="K37" i="25"/>
  <c r="L37"/>
  <c r="L37" i="21"/>
  <c r="L37" i="37"/>
  <c r="K36" i="25"/>
  <c r="L36"/>
  <c r="L36" i="21"/>
  <c r="L36" i="37"/>
  <c r="K35" i="25"/>
  <c r="L35"/>
  <c r="L35" i="21"/>
  <c r="L35" i="37"/>
  <c r="K34" i="25"/>
  <c r="L34"/>
  <c r="L34" i="21"/>
  <c r="L34" i="37"/>
  <c r="K33" i="25"/>
  <c r="L33"/>
  <c r="L33" i="21"/>
  <c r="L33" i="37"/>
  <c r="K32" i="25"/>
  <c r="L32"/>
  <c r="L32" i="37"/>
  <c r="K31" i="25"/>
  <c r="L31"/>
  <c r="L31" i="21"/>
  <c r="L31" i="37"/>
  <c r="K30" i="25"/>
  <c r="L30"/>
  <c r="L30" i="21"/>
  <c r="L30" i="37"/>
  <c r="K29" i="25"/>
  <c r="L29"/>
  <c r="L29" i="21"/>
  <c r="L29" i="37"/>
  <c r="K27" i="25"/>
  <c r="L27"/>
  <c r="L27" i="21"/>
  <c r="L27" i="37"/>
  <c r="K26" i="25"/>
  <c r="L26"/>
  <c r="L26" i="21"/>
  <c r="L26" i="37"/>
  <c r="K25" i="25"/>
  <c r="L25"/>
  <c r="L25" i="21"/>
  <c r="L25" i="37"/>
  <c r="K23" i="25"/>
  <c r="K22"/>
  <c r="L22"/>
  <c r="L22" i="21"/>
  <c r="L22" i="37"/>
  <c r="K21" i="25"/>
  <c r="L21"/>
  <c r="L21" i="21"/>
  <c r="L21" i="37"/>
  <c r="K19" i="25"/>
  <c r="L19"/>
  <c r="L19" i="21"/>
  <c r="L19" i="37"/>
  <c r="K18" i="25"/>
  <c r="L18"/>
  <c r="L18" i="21"/>
  <c r="L18" i="37"/>
  <c r="K16" i="25"/>
  <c r="L16"/>
  <c r="L16" i="21"/>
  <c r="L16" i="37"/>
  <c r="L15" i="25"/>
  <c r="L15" i="21"/>
  <c r="L15" i="37"/>
  <c r="K14" i="25"/>
  <c r="L14"/>
  <c r="L14" i="21"/>
  <c r="L14" i="37"/>
  <c r="L12" i="21"/>
  <c r="K12" i="25"/>
  <c r="L12"/>
  <c r="K11"/>
  <c r="K9"/>
  <c r="L9"/>
  <c r="AC4" i="49"/>
  <c r="F61" i="36"/>
  <c r="F27"/>
  <c r="L12" i="37"/>
  <c r="L11"/>
  <c r="L7"/>
  <c r="L8"/>
  <c r="B7" i="7"/>
  <c r="B7" i="36"/>
  <c r="AY8" i="7"/>
  <c r="AY9"/>
  <c r="AY10"/>
  <c r="AY11"/>
  <c r="AY12"/>
  <c r="AY13"/>
  <c r="AY16"/>
  <c r="AY17"/>
  <c r="AY18"/>
  <c r="AY19"/>
  <c r="AY20"/>
  <c r="AY21"/>
  <c r="AY24"/>
  <c r="AY25"/>
  <c r="AY26"/>
  <c r="AY27"/>
  <c r="AY28"/>
  <c r="BA28"/>
  <c r="AY29"/>
  <c r="BA29"/>
  <c r="AZ8"/>
  <c r="BB8"/>
  <c r="AZ9"/>
  <c r="BB9"/>
  <c r="AZ10"/>
  <c r="BB10"/>
  <c r="AZ11"/>
  <c r="BB11"/>
  <c r="AZ12"/>
  <c r="BB12"/>
  <c r="AZ13"/>
  <c r="BB13"/>
  <c r="AZ16"/>
  <c r="BB16"/>
  <c r="AZ17"/>
  <c r="BB17"/>
  <c r="AZ18"/>
  <c r="BB18"/>
  <c r="AZ19"/>
  <c r="BB19"/>
  <c r="AZ20"/>
  <c r="BB20"/>
  <c r="AZ21"/>
  <c r="BB21"/>
  <c r="AZ24"/>
  <c r="BB24"/>
  <c r="AZ25"/>
  <c r="BB25"/>
  <c r="AZ26"/>
  <c r="BB26"/>
  <c r="AZ27"/>
  <c r="BB27"/>
  <c r="AZ28"/>
  <c r="BB28"/>
  <c r="AZ29"/>
  <c r="BB29"/>
  <c r="BA8"/>
  <c r="BA9"/>
  <c r="BA10"/>
  <c r="BA11"/>
  <c r="BA12"/>
  <c r="BA13"/>
  <c r="BA16"/>
  <c r="BA17"/>
  <c r="BA18"/>
  <c r="BA19"/>
  <c r="BA20"/>
  <c r="BA21"/>
  <c r="BA24"/>
  <c r="BA25"/>
  <c r="BA26"/>
  <c r="BA27"/>
  <c r="BG19" i="37"/>
  <c r="BG9"/>
  <c r="BG10"/>
  <c r="BH17"/>
  <c r="BH12"/>
  <c r="BH13"/>
  <c r="BG18"/>
  <c r="BG11"/>
  <c r="BG17"/>
  <c r="BG20"/>
  <c r="BH21"/>
  <c r="BH10"/>
  <c r="BH18"/>
  <c r="BH16"/>
  <c r="BG12"/>
  <c r="BG21"/>
  <c r="BG16"/>
  <c r="BH9"/>
  <c r="BH20"/>
  <c r="BG13"/>
  <c r="BH8"/>
  <c r="BG8"/>
  <c r="BH19"/>
  <c r="BH11"/>
  <c r="B106" i="36" l="1"/>
  <c r="B42"/>
  <c r="AW17" i="7"/>
  <c r="G23" i="25"/>
  <c r="BE13" i="21"/>
  <c r="G52" i="25"/>
  <c r="AW77" i="7"/>
  <c r="B104"/>
  <c r="AW13"/>
  <c r="AX47"/>
  <c r="AX55"/>
  <c r="AX64"/>
  <c r="AW105"/>
  <c r="AW11"/>
  <c r="AW94"/>
  <c r="B103"/>
  <c r="G47" i="25"/>
  <c r="M78" i="37"/>
  <c r="F83" i="25"/>
  <c r="F87"/>
  <c r="BD18" i="21"/>
  <c r="BD100"/>
  <c r="BD96"/>
  <c r="B74" i="36"/>
  <c r="AW114" i="7"/>
  <c r="M106" i="21"/>
  <c r="B87"/>
  <c r="B42" i="50"/>
  <c r="B15" i="7"/>
  <c r="AX27"/>
  <c r="B55"/>
  <c r="B87"/>
  <c r="B43" i="36"/>
  <c r="AW42" i="7"/>
  <c r="M73" i="37"/>
  <c r="F53" i="25"/>
  <c r="BD20" i="21"/>
  <c r="BD50"/>
  <c r="BE41"/>
  <c r="G57" i="25"/>
  <c r="B28" i="21"/>
  <c r="BD84"/>
  <c r="BD101"/>
  <c r="BD77"/>
  <c r="H13" i="50"/>
  <c r="F13"/>
  <c r="L11" i="21"/>
  <c r="L11" i="50"/>
  <c r="H37"/>
  <c r="F37"/>
  <c r="F42"/>
  <c r="H42"/>
  <c r="F30"/>
  <c r="H30"/>
  <c r="F71"/>
  <c r="H71"/>
  <c r="F91"/>
  <c r="H91"/>
  <c r="F26"/>
  <c r="H26"/>
  <c r="H16"/>
  <c r="F16"/>
  <c r="H29"/>
  <c r="F29"/>
  <c r="L9"/>
  <c r="H53"/>
  <c r="F53"/>
  <c r="H57"/>
  <c r="F57"/>
  <c r="H49"/>
  <c r="F49"/>
  <c r="F59"/>
  <c r="H59"/>
  <c r="H60"/>
  <c r="F60"/>
  <c r="H85"/>
  <c r="F85"/>
  <c r="F31"/>
  <c r="H31"/>
  <c r="K20" i="25"/>
  <c r="L23" i="37"/>
  <c r="L23" i="25"/>
  <c r="K24"/>
  <c r="K28"/>
  <c r="L56" i="37"/>
  <c r="L56" i="25"/>
  <c r="F61" i="37"/>
  <c r="C107" i="25"/>
  <c r="H107" i="21"/>
  <c r="D107" i="25"/>
  <c r="F77"/>
  <c r="H27" i="21"/>
  <c r="C102" i="25"/>
  <c r="M42" i="50"/>
  <c r="H12"/>
  <c r="F12"/>
  <c r="H88"/>
  <c r="F88"/>
  <c r="F50"/>
  <c r="H50"/>
  <c r="H50" i="37"/>
  <c r="C50" i="25"/>
  <c r="F50" i="21"/>
  <c r="D50" i="25"/>
  <c r="H50" i="21"/>
  <c r="F50" i="37"/>
  <c r="F27" i="50"/>
  <c r="H27"/>
  <c r="L17" i="25"/>
  <c r="L17" i="50"/>
  <c r="L40" i="21"/>
  <c r="L40" i="50"/>
  <c r="L72"/>
  <c r="H64"/>
  <c r="F64"/>
  <c r="H68"/>
  <c r="F68"/>
  <c r="F34"/>
  <c r="H34"/>
  <c r="H48"/>
  <c r="F48"/>
  <c r="F47"/>
  <c r="H47"/>
  <c r="H33"/>
  <c r="F33"/>
  <c r="F94"/>
  <c r="H94"/>
  <c r="H77"/>
  <c r="F77"/>
  <c r="F90"/>
  <c r="H90"/>
  <c r="H32"/>
  <c r="F32"/>
  <c r="H32" i="21"/>
  <c r="H32" i="37"/>
  <c r="D32" i="25"/>
  <c r="C32"/>
  <c r="F32" i="37"/>
  <c r="F32" i="21"/>
  <c r="F67" i="50"/>
  <c r="H67"/>
  <c r="L8" i="21"/>
  <c r="L20" i="37"/>
  <c r="L24" i="25"/>
  <c r="K80"/>
  <c r="K96"/>
  <c r="F107" i="37"/>
  <c r="B31"/>
  <c r="M42" i="21"/>
  <c r="B93"/>
  <c r="G42" i="25"/>
  <c r="BE69" i="21"/>
  <c r="F27" i="37"/>
  <c r="H102" i="21"/>
  <c r="D102" i="25"/>
  <c r="C7"/>
  <c r="H7" i="50"/>
  <c r="F7"/>
  <c r="H9"/>
  <c r="F9"/>
  <c r="F10"/>
  <c r="H10"/>
  <c r="L10"/>
  <c r="H61"/>
  <c r="F61"/>
  <c r="K13" i="25"/>
  <c r="L13" i="50"/>
  <c r="F107"/>
  <c r="H107"/>
  <c r="H105"/>
  <c r="F105"/>
  <c r="H112"/>
  <c r="F112"/>
  <c r="F87"/>
  <c r="H87"/>
  <c r="F102"/>
  <c r="H102"/>
  <c r="F102" i="37"/>
  <c r="L7" i="25"/>
  <c r="L7" i="50"/>
  <c r="H8"/>
  <c r="F8"/>
  <c r="L15"/>
  <c r="H24"/>
  <c r="F24"/>
  <c r="L32" i="21"/>
  <c r="L32" i="50"/>
  <c r="L64"/>
  <c r="F23"/>
  <c r="H23"/>
  <c r="H65"/>
  <c r="F65"/>
  <c r="H28"/>
  <c r="F28"/>
  <c r="L60"/>
  <c r="F35"/>
  <c r="H35"/>
  <c r="F51"/>
  <c r="H51"/>
  <c r="F22"/>
  <c r="H22"/>
  <c r="H108"/>
  <c r="F108"/>
  <c r="F95"/>
  <c r="H95"/>
  <c r="H92"/>
  <c r="F92"/>
  <c r="H113"/>
  <c r="F113"/>
  <c r="H73"/>
  <c r="F73"/>
  <c r="F82"/>
  <c r="H82"/>
  <c r="H97"/>
  <c r="F97"/>
  <c r="F111"/>
  <c r="H111"/>
  <c r="F114"/>
  <c r="H114"/>
  <c r="H101"/>
  <c r="F101"/>
  <c r="AQ16"/>
  <c r="AQ12"/>
  <c r="AQ9"/>
  <c r="AQ11"/>
  <c r="AQ19"/>
  <c r="AQ15"/>
  <c r="AQ18"/>
  <c r="AQ10"/>
  <c r="AQ17"/>
  <c r="AQ8"/>
  <c r="H104"/>
  <c r="F104"/>
  <c r="C104" i="25"/>
  <c r="H99" i="21"/>
  <c r="F99" i="50"/>
  <c r="H99"/>
  <c r="D99" i="25"/>
  <c r="H99" i="37"/>
  <c r="F99"/>
  <c r="L11" i="25"/>
  <c r="K8"/>
  <c r="L10" i="21"/>
  <c r="L20" i="25"/>
  <c r="L23" i="21"/>
  <c r="L24" i="37"/>
  <c r="L28"/>
  <c r="L28" i="25"/>
  <c r="K55"/>
  <c r="L56" i="21"/>
  <c r="K59" i="25"/>
  <c r="L8"/>
  <c r="L20" i="21"/>
  <c r="L24"/>
  <c r="L28"/>
  <c r="L55" i="37"/>
  <c r="L55" i="25"/>
  <c r="L59" i="37"/>
  <c r="L59" i="25"/>
  <c r="L80" i="37"/>
  <c r="L80" i="25"/>
  <c r="L96" i="37"/>
  <c r="L96" i="25"/>
  <c r="F26" i="21"/>
  <c r="H26" i="37"/>
  <c r="F26"/>
  <c r="F61" i="21"/>
  <c r="H107" i="37"/>
  <c r="F107" i="21"/>
  <c r="M63"/>
  <c r="H27" i="37"/>
  <c r="F27" i="21"/>
  <c r="BD111"/>
  <c r="B116" i="37"/>
  <c r="B102"/>
  <c r="F90" i="25"/>
  <c r="M65" i="21"/>
  <c r="F24" i="25"/>
  <c r="M34" i="21"/>
  <c r="B88" i="37"/>
  <c r="M105" i="50"/>
  <c r="M105" i="37"/>
  <c r="B77" i="21"/>
  <c r="F88" i="25"/>
  <c r="M23" i="21"/>
  <c r="M46"/>
  <c r="M46" i="37"/>
  <c r="G79" i="25"/>
  <c r="M108" i="21"/>
  <c r="G105" i="25"/>
  <c r="B60" i="21"/>
  <c r="M23" i="37"/>
  <c r="F102" i="25"/>
  <c r="B77" i="37"/>
  <c r="B87"/>
  <c r="B90" i="21"/>
  <c r="M79" i="37"/>
  <c r="B102" i="21"/>
  <c r="B88"/>
  <c r="B31"/>
  <c r="B15"/>
  <c r="M26"/>
  <c r="M112" i="37"/>
  <c r="B71" i="21"/>
  <c r="B78"/>
  <c r="G83" i="25"/>
  <c r="F28"/>
  <c r="B107" i="37"/>
  <c r="F31" i="25"/>
  <c r="M53" i="37"/>
  <c r="B107" i="21"/>
  <c r="M26" i="37"/>
  <c r="G41" i="25"/>
  <c r="B35" i="37"/>
  <c r="B31" i="50"/>
  <c r="G112" i="25"/>
  <c r="M54" i="21"/>
  <c r="F107" i="25"/>
  <c r="G26"/>
  <c r="B96" i="21"/>
  <c r="B78" i="37"/>
  <c r="F35" i="25"/>
  <c r="M89" i="50"/>
  <c r="M29"/>
  <c r="M100" i="37"/>
  <c r="M100" i="50"/>
  <c r="B43" i="37"/>
  <c r="B43" i="50"/>
  <c r="B47" i="21"/>
  <c r="B47" i="50"/>
  <c r="M35"/>
  <c r="M113" i="21"/>
  <c r="M113" i="50"/>
  <c r="M52"/>
  <c r="B48" i="37"/>
  <c r="B48" i="50"/>
  <c r="M10"/>
  <c r="M76" i="37"/>
  <c r="M76" i="50"/>
  <c r="F106" i="25"/>
  <c r="B106" i="50"/>
  <c r="M64"/>
  <c r="F14" i="25"/>
  <c r="B14" i="50"/>
  <c r="M43"/>
  <c r="M65"/>
  <c r="B20"/>
  <c r="B20" i="21"/>
  <c r="B84"/>
  <c r="B84" i="50"/>
  <c r="F84" i="25"/>
  <c r="M12" i="21"/>
  <c r="M12" i="50"/>
  <c r="B7"/>
  <c r="F2"/>
  <c r="M30"/>
  <c r="B21" i="21"/>
  <c r="B21" i="50"/>
  <c r="M63"/>
  <c r="M27"/>
  <c r="F25" i="25"/>
  <c r="B25" i="50"/>
  <c r="M7" i="21"/>
  <c r="M7" i="50"/>
  <c r="F100" i="25"/>
  <c r="B100" i="50"/>
  <c r="M24"/>
  <c r="B68"/>
  <c r="M47" i="37"/>
  <c r="M47" i="50"/>
  <c r="M11" i="21"/>
  <c r="M11" i="50"/>
  <c r="F97" i="25"/>
  <c r="B97" i="50"/>
  <c r="G95" i="25"/>
  <c r="M95" i="50"/>
  <c r="B40" i="37"/>
  <c r="B40" i="50"/>
  <c r="B71" i="37"/>
  <c r="B71" i="50"/>
  <c r="F60" i="25"/>
  <c r="B60" i="50"/>
  <c r="M52" i="37"/>
  <c r="M112" i="21"/>
  <c r="M77" i="37"/>
  <c r="M99" i="21"/>
  <c r="M32" i="37"/>
  <c r="G37" i="25"/>
  <c r="M35" i="37"/>
  <c r="M53" i="21"/>
  <c r="B14"/>
  <c r="B61" i="37"/>
  <c r="M65"/>
  <c r="B53" i="21"/>
  <c r="M34" i="37"/>
  <c r="B99" i="21"/>
  <c r="B43"/>
  <c r="F104" i="25"/>
  <c r="G54"/>
  <c r="G77"/>
  <c r="M35" i="21"/>
  <c r="B55" i="37"/>
  <c r="B55" i="50"/>
  <c r="B26"/>
  <c r="M61"/>
  <c r="M14"/>
  <c r="B49"/>
  <c r="B80" i="21"/>
  <c r="B80" i="50"/>
  <c r="B109" i="37"/>
  <c r="B109" i="50"/>
  <c r="B15" i="37"/>
  <c r="B15" i="50"/>
  <c r="M33" i="21"/>
  <c r="M33" i="50"/>
  <c r="M70" i="21"/>
  <c r="M70" i="50"/>
  <c r="B74"/>
  <c r="F91" i="25"/>
  <c r="B91" i="50"/>
  <c r="M22" i="37"/>
  <c r="M22" i="50"/>
  <c r="B24" i="37"/>
  <c r="B24" i="50"/>
  <c r="B11"/>
  <c r="B59" i="37"/>
  <c r="B59" i="50"/>
  <c r="B28"/>
  <c r="M89" i="21"/>
  <c r="B106" i="37"/>
  <c r="G100" i="25"/>
  <c r="B14" i="37"/>
  <c r="F47" i="25"/>
  <c r="M41" i="37"/>
  <c r="B47"/>
  <c r="M54"/>
  <c r="M77" i="21"/>
  <c r="M14"/>
  <c r="G34" i="25"/>
  <c r="M78" i="21"/>
  <c r="B20" i="37"/>
  <c r="B83"/>
  <c r="G32" i="25"/>
  <c r="G53"/>
  <c r="F96"/>
  <c r="G113"/>
  <c r="AE26" i="49"/>
  <c r="AF26"/>
  <c r="M29" i="36" s="1"/>
  <c r="AE112" i="49"/>
  <c r="AF112"/>
  <c r="M115" i="36" s="1"/>
  <c r="AE96" i="49"/>
  <c r="AF96"/>
  <c r="M99" i="36" s="1"/>
  <c r="AF80" i="49"/>
  <c r="M83" i="36" s="1"/>
  <c r="AE80" i="49"/>
  <c r="AF64"/>
  <c r="M67" i="36" s="1"/>
  <c r="AE64" i="49"/>
  <c r="AF48"/>
  <c r="M51" i="36" s="1"/>
  <c r="AE48" i="49"/>
  <c r="AF23"/>
  <c r="M26" i="36" s="1"/>
  <c r="AE23" i="49"/>
  <c r="B11" i="7"/>
  <c r="B30" i="36"/>
  <c r="B69"/>
  <c r="B111"/>
  <c r="AF92" i="49"/>
  <c r="M95" i="36" s="1"/>
  <c r="AF89" i="49"/>
  <c r="M92" i="36" s="1"/>
  <c r="AE89" i="49"/>
  <c r="AF41"/>
  <c r="M44" i="36" s="1"/>
  <c r="AE41" i="49"/>
  <c r="AE36"/>
  <c r="AF36"/>
  <c r="M39" i="36" s="1"/>
  <c r="AF11" i="49"/>
  <c r="M14" i="36" s="1"/>
  <c r="AE11" i="49"/>
  <c r="AF15"/>
  <c r="B18" i="36"/>
  <c r="B98"/>
  <c r="B82"/>
  <c r="B66"/>
  <c r="B50"/>
  <c r="B95"/>
  <c r="AE73" i="49"/>
  <c r="B76" i="36" s="1"/>
  <c r="AF20" i="49"/>
  <c r="M23" i="36" s="1"/>
  <c r="AF44" i="49"/>
  <c r="M47" i="36" s="1"/>
  <c r="AE104" i="49"/>
  <c r="AF104"/>
  <c r="M107" i="36" s="1"/>
  <c r="AF88" i="49"/>
  <c r="M91" i="36" s="1"/>
  <c r="AE88" i="49"/>
  <c r="AF72"/>
  <c r="M75" i="36" s="1"/>
  <c r="AE72" i="49"/>
  <c r="AF56"/>
  <c r="M59" i="36" s="1"/>
  <c r="AE56" i="49"/>
  <c r="B23" i="7"/>
  <c r="AF8" i="49"/>
  <c r="M11" i="36" s="1"/>
  <c r="AE105" i="49"/>
  <c r="B108" i="36" s="1"/>
  <c r="AF60" i="49"/>
  <c r="M63" i="36" s="1"/>
  <c r="AF108" i="49"/>
  <c r="M111" i="36" s="1"/>
  <c r="AG118" i="21"/>
  <c r="O5" s="1"/>
  <c r="BE30"/>
  <c r="BE8"/>
  <c r="BD15"/>
  <c r="BE23"/>
  <c r="BD21"/>
  <c r="BF8" i="37"/>
  <c r="BE8"/>
  <c r="AU61"/>
  <c r="AU62" s="1"/>
  <c r="BF16"/>
  <c r="BE16"/>
  <c r="BF11"/>
  <c r="BE19"/>
  <c r="BE21"/>
  <c r="BE9"/>
  <c r="BF12"/>
  <c r="BE18"/>
  <c r="BF18"/>
  <c r="BE10"/>
  <c r="BE20"/>
  <c r="BF17"/>
  <c r="BF20"/>
  <c r="BF19"/>
  <c r="BF10"/>
  <c r="BE17"/>
  <c r="BE13"/>
  <c r="BF21"/>
  <c r="BF13"/>
  <c r="BE12"/>
  <c r="BF9"/>
  <c r="BE11"/>
  <c r="AX12" i="7"/>
  <c r="AX14"/>
  <c r="AW37"/>
  <c r="CM78" i="10"/>
  <c r="H90" i="37"/>
  <c r="C90" i="25"/>
  <c r="H90" i="21"/>
  <c r="D90" i="25"/>
  <c r="F90" i="21"/>
  <c r="F90" i="37"/>
  <c r="C108" i="25"/>
  <c r="F108" i="37"/>
  <c r="H108" i="21"/>
  <c r="F108"/>
  <c r="H108" i="37"/>
  <c r="D108" i="25"/>
  <c r="H92" i="21"/>
  <c r="F92"/>
  <c r="D92" i="25"/>
  <c r="F92" i="37"/>
  <c r="C92" i="25"/>
  <c r="H92" i="37"/>
  <c r="D113" i="25"/>
  <c r="C113"/>
  <c r="H113" i="37"/>
  <c r="H113" i="21"/>
  <c r="F113"/>
  <c r="F113" i="37"/>
  <c r="F73" i="21"/>
  <c r="C73" i="25"/>
  <c r="H73" i="37"/>
  <c r="H73" i="21"/>
  <c r="F73" i="37"/>
  <c r="D73" i="25"/>
  <c r="D82"/>
  <c r="C82"/>
  <c r="F82" i="37"/>
  <c r="H82" i="21"/>
  <c r="F82"/>
  <c r="H82" i="37"/>
  <c r="H97"/>
  <c r="D97" i="25"/>
  <c r="H97" i="21"/>
  <c r="C97" i="25"/>
  <c r="F97" i="37"/>
  <c r="F97" i="21"/>
  <c r="H101" i="37"/>
  <c r="D101" i="25"/>
  <c r="H101" i="21"/>
  <c r="F101" i="37"/>
  <c r="F101" i="21"/>
  <c r="C101" i="25"/>
  <c r="H88" i="37"/>
  <c r="H88" i="21"/>
  <c r="F88"/>
  <c r="C88" i="25"/>
  <c r="F88" i="37"/>
  <c r="D88" i="25"/>
  <c r="BE76" i="21"/>
  <c r="BD76"/>
  <c r="F91" i="37"/>
  <c r="C91" i="25"/>
  <c r="H91" i="37"/>
  <c r="F91" i="21"/>
  <c r="D91" i="25"/>
  <c r="H91" i="21"/>
  <c r="D112" i="25"/>
  <c r="C112"/>
  <c r="F112" i="37"/>
  <c r="F112" i="21"/>
  <c r="H112" i="37"/>
  <c r="H112" i="21"/>
  <c r="D87" i="25"/>
  <c r="H87" i="37"/>
  <c r="F87"/>
  <c r="C87" i="25"/>
  <c r="H87" i="21"/>
  <c r="F87"/>
  <c r="BE78"/>
  <c r="BD78"/>
  <c r="CM106" i="10"/>
  <c r="CJ107"/>
  <c r="CL107" s="1"/>
  <c r="CK73"/>
  <c r="CM73" s="1"/>
  <c r="BE92" i="21"/>
  <c r="BD92"/>
  <c r="H85"/>
  <c r="D85" i="25"/>
  <c r="H85" i="37"/>
  <c r="F85"/>
  <c r="F85" i="21"/>
  <c r="C85" i="25"/>
  <c r="BD114" i="21"/>
  <c r="BE114"/>
  <c r="BD85"/>
  <c r="BE85"/>
  <c r="M99" i="37"/>
  <c r="F78" i="25"/>
  <c r="CK112" i="10"/>
  <c r="CM112" s="1"/>
  <c r="CJ72"/>
  <c r="CL72" s="1"/>
  <c r="CM72" s="1"/>
  <c r="CM86"/>
  <c r="CJ103"/>
  <c r="CL103" s="1"/>
  <c r="CM103" s="1"/>
  <c r="BE106" i="21"/>
  <c r="BD106"/>
  <c r="F105"/>
  <c r="D105" i="25"/>
  <c r="H105" i="21"/>
  <c r="F105" i="37"/>
  <c r="H105"/>
  <c r="C105" i="25"/>
  <c r="C77"/>
  <c r="D77"/>
  <c r="F77" i="37"/>
  <c r="H77" i="21"/>
  <c r="H77" i="37"/>
  <c r="F77" i="21"/>
  <c r="F111"/>
  <c r="C111" i="25"/>
  <c r="D111"/>
  <c r="H111" i="37"/>
  <c r="H111" i="21"/>
  <c r="F111" i="37"/>
  <c r="F114"/>
  <c r="H114"/>
  <c r="F114" i="21"/>
  <c r="D114" i="25"/>
  <c r="C114"/>
  <c r="H114" i="21"/>
  <c r="CJ76" i="10"/>
  <c r="CL76" s="1"/>
  <c r="CM76" s="1"/>
  <c r="B99" i="37"/>
  <c r="CM80" i="10"/>
  <c r="CK75"/>
  <c r="CM75" s="1"/>
  <c r="CM107"/>
  <c r="H95" i="21"/>
  <c r="H95" i="37"/>
  <c r="C95" i="25"/>
  <c r="F95" i="21"/>
  <c r="D95" i="25"/>
  <c r="F95" i="37"/>
  <c r="BE104" i="21"/>
  <c r="BD104"/>
  <c r="BE86"/>
  <c r="BD86"/>
  <c r="CM90" i="10"/>
  <c r="CJ97"/>
  <c r="CL97" s="1"/>
  <c r="CM97" s="1"/>
  <c r="CJ78"/>
  <c r="CL78" s="1"/>
  <c r="CJ83"/>
  <c r="CL83" s="1"/>
  <c r="CM83" s="1"/>
  <c r="B79" i="36"/>
  <c r="B84" i="7"/>
  <c r="B19"/>
  <c r="B21" i="36"/>
  <c r="G7" i="25"/>
  <c r="M24" i="21"/>
  <c r="B91"/>
  <c r="G89" i="25"/>
  <c r="M10" i="37"/>
  <c r="Q5" i="10"/>
  <c r="M8" i="50" s="1"/>
  <c r="M14" i="37"/>
  <c r="G108" i="25"/>
  <c r="F59"/>
  <c r="M95" i="37"/>
  <c r="M67"/>
  <c r="B114" i="21"/>
  <c r="F114" i="25"/>
  <c r="B114" i="37"/>
  <c r="B104"/>
  <c r="M82"/>
  <c r="M82" i="21"/>
  <c r="G82" i="25"/>
  <c r="B91" i="37"/>
  <c r="B68" i="21"/>
  <c r="B68" i="37"/>
  <c r="B25" i="21"/>
  <c r="F26" i="25"/>
  <c r="M108" i="37"/>
  <c r="F68" i="25"/>
  <c r="F43"/>
  <c r="M100" i="21"/>
  <c r="M11" i="37"/>
  <c r="M24"/>
  <c r="B97"/>
  <c r="B106" i="21"/>
  <c r="B40"/>
  <c r="M29"/>
  <c r="B59"/>
  <c r="F30" i="37"/>
  <c r="H30"/>
  <c r="C30" i="25"/>
  <c r="D30"/>
  <c r="H30" i="21"/>
  <c r="F30"/>
  <c r="D24" i="25"/>
  <c r="F24" i="21"/>
  <c r="F24" i="37"/>
  <c r="H24" i="21"/>
  <c r="C24" i="25"/>
  <c r="H24" i="37"/>
  <c r="F68"/>
  <c r="H68"/>
  <c r="H68" i="21"/>
  <c r="D68" i="25"/>
  <c r="C68"/>
  <c r="F68" i="21"/>
  <c r="H57" i="37"/>
  <c r="D57" i="25"/>
  <c r="C57"/>
  <c r="F57" i="37"/>
  <c r="F57" i="21"/>
  <c r="H57"/>
  <c r="F42" i="37"/>
  <c r="H42" i="21"/>
  <c r="C42" i="25"/>
  <c r="F42" i="21"/>
  <c r="H42" i="37"/>
  <c r="D42" i="25"/>
  <c r="D51"/>
  <c r="C51"/>
  <c r="H51" i="21"/>
  <c r="H51" i="37"/>
  <c r="F51"/>
  <c r="F51" i="21"/>
  <c r="CM55" i="10"/>
  <c r="CM33"/>
  <c r="BE65" i="21"/>
  <c r="BD65"/>
  <c r="C37" i="25"/>
  <c r="F37" i="21"/>
  <c r="D37" i="25"/>
  <c r="H37" i="21"/>
  <c r="F37" i="37"/>
  <c r="H37"/>
  <c r="D59" i="25"/>
  <c r="H59" i="21"/>
  <c r="F59"/>
  <c r="F59" i="37"/>
  <c r="C59" i="25"/>
  <c r="H59" i="37"/>
  <c r="H60" i="21"/>
  <c r="F60" i="37"/>
  <c r="D60" i="25"/>
  <c r="F60" i="21"/>
  <c r="H60" i="37"/>
  <c r="C60" i="25"/>
  <c r="BE64" i="21"/>
  <c r="BD64"/>
  <c r="F47" i="37"/>
  <c r="C47" i="25"/>
  <c r="F47" i="21"/>
  <c r="D47" i="25"/>
  <c r="H47" i="37"/>
  <c r="H47" i="21"/>
  <c r="BD68"/>
  <c r="BE68"/>
  <c r="CJ63" i="10"/>
  <c r="CL63" s="1"/>
  <c r="CM63" s="1"/>
  <c r="H29" i="21"/>
  <c r="H29" i="37"/>
  <c r="D29" i="25"/>
  <c r="F29" i="37"/>
  <c r="F29" i="21"/>
  <c r="C29" i="25"/>
  <c r="BE29" i="21"/>
  <c r="BD29"/>
  <c r="F65"/>
  <c r="H65" i="37"/>
  <c r="D65" i="25"/>
  <c r="H65" i="21"/>
  <c r="C65" i="25"/>
  <c r="F65" i="37"/>
  <c r="F34" i="21"/>
  <c r="D34" i="25"/>
  <c r="H34" i="37"/>
  <c r="C34" i="25"/>
  <c r="F34" i="37"/>
  <c r="H34" i="21"/>
  <c r="BD61"/>
  <c r="BE61"/>
  <c r="BE42"/>
  <c r="BD42"/>
  <c r="CJ22" i="10"/>
  <c r="CL22" s="1"/>
  <c r="CM22"/>
  <c r="D35" i="25"/>
  <c r="H35" i="21"/>
  <c r="F35" i="37"/>
  <c r="F35" i="21"/>
  <c r="H35" i="37"/>
  <c r="C35" i="25"/>
  <c r="C71"/>
  <c r="F71" i="37"/>
  <c r="D71" i="25"/>
  <c r="F71" i="21"/>
  <c r="H71" i="37"/>
  <c r="H71" i="21"/>
  <c r="B35"/>
  <c r="L13"/>
  <c r="L40" i="37"/>
  <c r="L40" i="25"/>
  <c r="L72" i="21"/>
  <c r="M64"/>
  <c r="BD8"/>
  <c r="CJ50" i="10"/>
  <c r="CL50" s="1"/>
  <c r="L7" i="21"/>
  <c r="L13" i="37"/>
  <c r="L9" i="21"/>
  <c r="L13" i="25"/>
  <c r="K15"/>
  <c r="L17" i="21"/>
  <c r="K60" i="25"/>
  <c r="K64"/>
  <c r="K72"/>
  <c r="H61" i="37"/>
  <c r="D61" i="25"/>
  <c r="B48" i="21"/>
  <c r="G11" i="25"/>
  <c r="F11"/>
  <c r="M64" i="37"/>
  <c r="CM12" i="10"/>
  <c r="CJ9"/>
  <c r="CL9" s="1"/>
  <c r="CJ11"/>
  <c r="CL11" s="1"/>
  <c r="CM11" s="1"/>
  <c r="CK25"/>
  <c r="CJ34"/>
  <c r="CL34" s="1"/>
  <c r="CM37"/>
  <c r="F53" i="21"/>
  <c r="C53" i="25"/>
  <c r="H53" i="37"/>
  <c r="D53" i="25"/>
  <c r="F53" i="37"/>
  <c r="H53" i="21"/>
  <c r="F48" i="37"/>
  <c r="H48" i="21"/>
  <c r="D48" i="25"/>
  <c r="F48" i="21"/>
  <c r="H48" i="37"/>
  <c r="C48" i="25"/>
  <c r="M43" i="21"/>
  <c r="B49" i="37"/>
  <c r="B49" i="21"/>
  <c r="F22" i="37"/>
  <c r="C22" i="25"/>
  <c r="H22" i="21"/>
  <c r="D22" i="25"/>
  <c r="H22" i="37"/>
  <c r="F22" i="21"/>
  <c r="D49" i="25"/>
  <c r="C49"/>
  <c r="H49" i="37"/>
  <c r="F49"/>
  <c r="F49" i="21"/>
  <c r="H49"/>
  <c r="C28" i="25"/>
  <c r="D28"/>
  <c r="H28" i="21"/>
  <c r="H28" i="37"/>
  <c r="F28" i="21"/>
  <c r="F28" i="37"/>
  <c r="BD14" i="21"/>
  <c r="BE14"/>
  <c r="C64" i="25"/>
  <c r="F64" i="21"/>
  <c r="H64" i="37"/>
  <c r="D64" i="25"/>
  <c r="F64" i="37"/>
  <c r="H64" i="21"/>
  <c r="BD71"/>
  <c r="BE71"/>
  <c r="C33" i="25"/>
  <c r="H33" i="37"/>
  <c r="H33" i="21"/>
  <c r="D33" i="25"/>
  <c r="F33" i="37"/>
  <c r="F33" i="21"/>
  <c r="BD59"/>
  <c r="BE59"/>
  <c r="K17" i="25"/>
  <c r="G43"/>
  <c r="B11" i="21"/>
  <c r="B11" i="37"/>
  <c r="CJ61" i="10"/>
  <c r="CL61" s="1"/>
  <c r="CM36"/>
  <c r="CK17"/>
  <c r="CM17" s="1"/>
  <c r="L9" i="37"/>
  <c r="L17"/>
  <c r="K7" i="25"/>
  <c r="H61" i="21"/>
  <c r="F55" i="25"/>
  <c r="M43" i="37"/>
  <c r="B24" i="21"/>
  <c r="BE15"/>
  <c r="M41"/>
  <c r="F49" i="25"/>
  <c r="CM66" i="10"/>
  <c r="BD23" i="21"/>
  <c r="CJ48" i="10"/>
  <c r="CL48" s="1"/>
  <c r="DB106" i="49"/>
  <c r="F88" i="36"/>
  <c r="F88" i="7"/>
  <c r="H88" i="36"/>
  <c r="H88" i="7"/>
  <c r="F84" i="36"/>
  <c r="F84" i="7"/>
  <c r="H84" i="36"/>
  <c r="H84" i="7"/>
  <c r="F89"/>
  <c r="H89" i="36"/>
  <c r="H89" i="7"/>
  <c r="F89" i="36"/>
  <c r="F115" i="7"/>
  <c r="H115"/>
  <c r="H115" i="36"/>
  <c r="F115"/>
  <c r="F107"/>
  <c r="F107" i="7"/>
  <c r="H107" i="36"/>
  <c r="H107" i="7"/>
  <c r="DB82" i="49"/>
  <c r="H85" i="7" s="1"/>
  <c r="CZ96" i="49"/>
  <c r="DB96" s="1"/>
  <c r="CY96"/>
  <c r="DA96" s="1"/>
  <c r="CY101"/>
  <c r="DA101" s="1"/>
  <c r="CZ101"/>
  <c r="DB101" s="1"/>
  <c r="DB97"/>
  <c r="DB79"/>
  <c r="DB99"/>
  <c r="DB109"/>
  <c r="DB111"/>
  <c r="F114" i="7" s="1"/>
  <c r="DB83" i="49"/>
  <c r="AW76" i="7"/>
  <c r="CY92" i="49"/>
  <c r="DA92" s="1"/>
  <c r="DB92" s="1"/>
  <c r="CY94"/>
  <c r="DA94" s="1"/>
  <c r="CZ94"/>
  <c r="F93" i="36"/>
  <c r="H93"/>
  <c r="F93" i="7"/>
  <c r="CY108" i="49"/>
  <c r="DA108" s="1"/>
  <c r="CZ108"/>
  <c r="DB108" s="1"/>
  <c r="DB77"/>
  <c r="DB74"/>
  <c r="DB107"/>
  <c r="DB91"/>
  <c r="L77" i="36"/>
  <c r="L85"/>
  <c r="L95"/>
  <c r="L103"/>
  <c r="CY80" i="49"/>
  <c r="DA80" s="1"/>
  <c r="DB80" s="1"/>
  <c r="DB71"/>
  <c r="DB88"/>
  <c r="DB93"/>
  <c r="DB95"/>
  <c r="CY70"/>
  <c r="DA70" s="1"/>
  <c r="DB70" s="1"/>
  <c r="CY87"/>
  <c r="DA87" s="1"/>
  <c r="CZ87"/>
  <c r="CY100"/>
  <c r="DA100" s="1"/>
  <c r="CZ100"/>
  <c r="DB100" s="1"/>
  <c r="H103" i="36" s="1"/>
  <c r="CZ105" i="49"/>
  <c r="DB105" s="1"/>
  <c r="H108" i="7" s="1"/>
  <c r="CY105" i="49"/>
  <c r="DA105" s="1"/>
  <c r="CZ110"/>
  <c r="CY110"/>
  <c r="DA110" s="1"/>
  <c r="AC74"/>
  <c r="AC82"/>
  <c r="AC92"/>
  <c r="AC100"/>
  <c r="B108" i="7"/>
  <c r="CZ73" i="49"/>
  <c r="DB73" s="1"/>
  <c r="DB72"/>
  <c r="DB84"/>
  <c r="CY102"/>
  <c r="DA102" s="1"/>
  <c r="DB102" s="1"/>
  <c r="CY98"/>
  <c r="DA98" s="1"/>
  <c r="DB98" s="1"/>
  <c r="F29" i="36"/>
  <c r="H29"/>
  <c r="H29" i="7"/>
  <c r="F29"/>
  <c r="H59"/>
  <c r="H59" i="36"/>
  <c r="F59" i="7"/>
  <c r="F59" i="36"/>
  <c r="H42" i="7"/>
  <c r="H42" i="36"/>
  <c r="F42" i="7"/>
  <c r="F42" i="36"/>
  <c r="F26" i="7"/>
  <c r="F26" i="36"/>
  <c r="F71" i="7"/>
  <c r="F71" i="36"/>
  <c r="H71" i="7"/>
  <c r="H71" i="36"/>
  <c r="DB11" i="49"/>
  <c r="F43" i="36"/>
  <c r="F43" i="7"/>
  <c r="H43"/>
  <c r="H43" i="36"/>
  <c r="H66" i="7"/>
  <c r="H66" i="36"/>
  <c r="F66" i="7"/>
  <c r="F66" i="36"/>
  <c r="H38" i="7"/>
  <c r="F38"/>
  <c r="F38" i="36"/>
  <c r="H38"/>
  <c r="F25" i="7"/>
  <c r="F25" i="36"/>
  <c r="H25" i="7"/>
  <c r="H25" i="36"/>
  <c r="F72" i="7"/>
  <c r="H72"/>
  <c r="F72" i="36"/>
  <c r="H72"/>
  <c r="F39" i="7"/>
  <c r="F39" i="36"/>
  <c r="H54" i="7"/>
  <c r="F54"/>
  <c r="H54" i="36"/>
  <c r="F54"/>
  <c r="DB55" i="49"/>
  <c r="H58" i="7" s="1"/>
  <c r="DB65" i="49"/>
  <c r="H56" i="7"/>
  <c r="F56"/>
  <c r="H45"/>
  <c r="F45"/>
  <c r="H52"/>
  <c r="F52"/>
  <c r="H52" i="36"/>
  <c r="DB33" i="49"/>
  <c r="CY40"/>
  <c r="DA40" s="1"/>
  <c r="CY43"/>
  <c r="DA43" s="1"/>
  <c r="H61" i="36"/>
  <c r="AC29" i="49"/>
  <c r="DB46"/>
  <c r="H49" i="36" s="1"/>
  <c r="AW15" i="7"/>
  <c r="H27" i="36"/>
  <c r="F61" i="7"/>
  <c r="L15" i="36"/>
  <c r="AC20" i="49"/>
  <c r="AC24"/>
  <c r="AC30"/>
  <c r="AC50"/>
  <c r="AC56"/>
  <c r="AC66"/>
  <c r="AC68"/>
  <c r="B60" i="7"/>
  <c r="AX37"/>
  <c r="B16"/>
  <c r="F52" i="36"/>
  <c r="CY45" i="49"/>
  <c r="DA45" s="1"/>
  <c r="DB45" s="1"/>
  <c r="CZ44"/>
  <c r="DB27"/>
  <c r="F30" i="7" s="1"/>
  <c r="CY17" i="49"/>
  <c r="DA17" s="1"/>
  <c r="DB17" s="1"/>
  <c r="DB66"/>
  <c r="CZ62"/>
  <c r="DB62" s="1"/>
  <c r="DB32"/>
  <c r="H35" i="36" s="1"/>
  <c r="AW18" i="7"/>
  <c r="DB21" i="49"/>
  <c r="DB20"/>
  <c r="F67" i="36"/>
  <c r="B40" i="7"/>
  <c r="CY50" i="49"/>
  <c r="DA50" s="1"/>
  <c r="DB37"/>
  <c r="H45" i="36"/>
  <c r="CY29" i="49"/>
  <c r="DA29" s="1"/>
  <c r="CY16"/>
  <c r="DA16" s="1"/>
  <c r="CY7"/>
  <c r="DA7" s="1"/>
  <c r="AX58" i="7"/>
  <c r="L23" i="36"/>
  <c r="L27"/>
  <c r="L33"/>
  <c r="L53"/>
  <c r="L59"/>
  <c r="L69"/>
  <c r="L71"/>
  <c r="AX8" i="7"/>
  <c r="AW14"/>
  <c r="DB61" i="49"/>
  <c r="F45" i="36"/>
  <c r="CY53" i="49"/>
  <c r="DA53" s="1"/>
  <c r="DB52"/>
  <c r="CY42"/>
  <c r="DA42" s="1"/>
  <c r="H10" i="7"/>
  <c r="AX10"/>
  <c r="B65" i="36"/>
  <c r="B73"/>
  <c r="B112" i="7"/>
  <c r="B80"/>
  <c r="B61" i="36"/>
  <c r="L19"/>
  <c r="L16"/>
  <c r="AC12" i="49"/>
  <c r="AC16"/>
  <c r="M106" i="37"/>
  <c r="G45" i="25"/>
  <c r="M45" i="21"/>
  <c r="M45" i="37"/>
  <c r="B93"/>
  <c r="F93" i="25"/>
  <c r="B90" i="37"/>
  <c r="F116" i="25"/>
  <c r="B116" i="21"/>
  <c r="M39" i="37"/>
  <c r="G39" i="25"/>
  <c r="M39" i="21"/>
  <c r="M61" i="37"/>
  <c r="M61" i="21"/>
  <c r="G29" i="25"/>
  <c r="M29" i="37"/>
  <c r="B109" i="21"/>
  <c r="M76"/>
  <c r="B64" i="37"/>
  <c r="B79" i="21"/>
  <c r="F79" i="25"/>
  <c r="B79" i="37"/>
  <c r="G46" i="25"/>
  <c r="M63" i="37"/>
  <c r="G63" i="25"/>
  <c r="F115"/>
  <c r="B115" i="37"/>
  <c r="B115" i="21"/>
  <c r="G22" i="25"/>
  <c r="M22" i="21"/>
  <c r="B25" i="37"/>
  <c r="B34" i="21"/>
  <c r="F34" i="25"/>
  <c r="B34" i="37"/>
  <c r="B26"/>
  <c r="F61" i="25"/>
  <c r="B61" i="21"/>
  <c r="M33" i="37"/>
  <c r="B100" i="21"/>
  <c r="B100" i="37"/>
  <c r="M85"/>
  <c r="M85" i="21"/>
  <c r="G85" i="25"/>
  <c r="F29"/>
  <c r="B29" i="21"/>
  <c r="B29" i="37"/>
  <c r="M92" i="21"/>
  <c r="M92" i="37"/>
  <c r="G92" i="25"/>
  <c r="M86" i="37"/>
  <c r="M86" i="21"/>
  <c r="M27" i="37"/>
  <c r="M27" i="21"/>
  <c r="G27" i="25"/>
  <c r="B51" i="21"/>
  <c r="F51" i="25"/>
  <c r="B51" i="37"/>
  <c r="G106" i="25"/>
  <c r="F64"/>
  <c r="M7" i="37"/>
  <c r="B64" i="21"/>
  <c r="L10" i="37"/>
  <c r="L10" i="25"/>
  <c r="BD10" i="21"/>
  <c r="BE10"/>
  <c r="F21" i="25"/>
  <c r="B21" i="37"/>
  <c r="K10" i="25"/>
  <c r="AQ12" i="36"/>
  <c r="P15" i="10"/>
  <c r="B18" i="50" s="1"/>
  <c r="Q15" i="10"/>
  <c r="M18" i="50" s="1"/>
  <c r="F10" i="25"/>
  <c r="B10" i="37"/>
  <c r="P16" i="10"/>
  <c r="B19" i="50" s="1"/>
  <c r="Q16" i="10"/>
  <c r="M19" i="50" s="1"/>
  <c r="K188" i="43"/>
  <c r="D161" i="45"/>
  <c r="D161" i="43"/>
  <c r="K161"/>
  <c r="D188"/>
  <c r="K188" i="45"/>
  <c r="D179" i="43"/>
  <c r="K179"/>
  <c r="D170"/>
  <c r="D170" i="45"/>
  <c r="K170" i="43"/>
  <c r="K161" i="45"/>
  <c r="D188"/>
  <c r="K179"/>
  <c r="K170"/>
  <c r="D179"/>
  <c r="P13" i="10"/>
  <c r="B16" i="50" s="1"/>
  <c r="Q13" i="10"/>
  <c r="M16" i="50" s="1"/>
  <c r="F38" i="25"/>
  <c r="B38" i="21"/>
  <c r="B38" i="37"/>
  <c r="B55" i="21"/>
  <c r="M89" i="37"/>
  <c r="G10" i="25"/>
  <c r="M30" i="21"/>
  <c r="G12" i="25"/>
  <c r="M110" i="37"/>
  <c r="M110" i="21"/>
  <c r="G110" i="25"/>
  <c r="M81" i="37"/>
  <c r="M37"/>
  <c r="M37" i="21"/>
  <c r="Q8" i="25"/>
  <c r="S8" s="1"/>
  <c r="Q111"/>
  <c r="S111" s="1"/>
  <c r="Q103"/>
  <c r="S103" s="1"/>
  <c r="Q95"/>
  <c r="S95" s="1"/>
  <c r="Q89"/>
  <c r="S89" s="1"/>
  <c r="Q83"/>
  <c r="S83" s="1"/>
  <c r="Q79"/>
  <c r="S79" s="1"/>
  <c r="Q73"/>
  <c r="S73" s="1"/>
  <c r="Q67"/>
  <c r="S67" s="1"/>
  <c r="Q61"/>
  <c r="S61" s="1"/>
  <c r="Q55"/>
  <c r="S55" s="1"/>
  <c r="Q49"/>
  <c r="S49" s="1"/>
  <c r="Q43"/>
  <c r="S43" s="1"/>
  <c r="Q37"/>
  <c r="S37" s="1"/>
  <c r="Q31"/>
  <c r="S31" s="1"/>
  <c r="Q25"/>
  <c r="S25" s="1"/>
  <c r="Q21"/>
  <c r="S21" s="1"/>
  <c r="Q17"/>
  <c r="S17" s="1"/>
  <c r="Q9"/>
  <c r="S9" s="1"/>
  <c r="Q116"/>
  <c r="S116" s="1"/>
  <c r="Q114"/>
  <c r="S114" s="1"/>
  <c r="Q112"/>
  <c r="S112" s="1"/>
  <c r="Q110"/>
  <c r="S110" s="1"/>
  <c r="Q108"/>
  <c r="S108" s="1"/>
  <c r="Q106"/>
  <c r="S106" s="1"/>
  <c r="Q104"/>
  <c r="S104" s="1"/>
  <c r="Q102"/>
  <c r="S102" s="1"/>
  <c r="Q100"/>
  <c r="S100" s="1"/>
  <c r="Q98"/>
  <c r="S98" s="1"/>
  <c r="Q96"/>
  <c r="S96" s="1"/>
  <c r="Q94"/>
  <c r="S94" s="1"/>
  <c r="Q92"/>
  <c r="S92" s="1"/>
  <c r="Q90"/>
  <c r="S90" s="1"/>
  <c r="Q88"/>
  <c r="S88" s="1"/>
  <c r="Q86"/>
  <c r="S86" s="1"/>
  <c r="Q84"/>
  <c r="S84" s="1"/>
  <c r="Q82"/>
  <c r="S82" s="1"/>
  <c r="Q80"/>
  <c r="S80" s="1"/>
  <c r="Q78"/>
  <c r="S78" s="1"/>
  <c r="Q76"/>
  <c r="S76" s="1"/>
  <c r="Q74"/>
  <c r="S74" s="1"/>
  <c r="Q72"/>
  <c r="S72" s="1"/>
  <c r="Q70"/>
  <c r="S70" s="1"/>
  <c r="Q68"/>
  <c r="S68" s="1"/>
  <c r="Q66"/>
  <c r="S66" s="1"/>
  <c r="Q64"/>
  <c r="S64" s="1"/>
  <c r="Q62"/>
  <c r="S62" s="1"/>
  <c r="Q60"/>
  <c r="S60" s="1"/>
  <c r="Q58"/>
  <c r="S58" s="1"/>
  <c r="Q56"/>
  <c r="S56" s="1"/>
  <c r="Q54"/>
  <c r="S54" s="1"/>
  <c r="Q52"/>
  <c r="S52" s="1"/>
  <c r="Q50"/>
  <c r="S50" s="1"/>
  <c r="Q48"/>
  <c r="S48" s="1"/>
  <c r="Q46"/>
  <c r="S46" s="1"/>
  <c r="Q44"/>
  <c r="S44" s="1"/>
  <c r="Q42"/>
  <c r="S42" s="1"/>
  <c r="Q40"/>
  <c r="S40" s="1"/>
  <c r="Q38"/>
  <c r="S38" s="1"/>
  <c r="Q36"/>
  <c r="S36" s="1"/>
  <c r="Q34"/>
  <c r="S34" s="1"/>
  <c r="Q32"/>
  <c r="S32" s="1"/>
  <c r="Q30"/>
  <c r="S30" s="1"/>
  <c r="Q28"/>
  <c r="S28" s="1"/>
  <c r="Q26"/>
  <c r="S26" s="1"/>
  <c r="Q24"/>
  <c r="S24" s="1"/>
  <c r="Q22"/>
  <c r="S22" s="1"/>
  <c r="Q20"/>
  <c r="S20" s="1"/>
  <c r="Q18"/>
  <c r="S18" s="1"/>
  <c r="Q16"/>
  <c r="S16" s="1"/>
  <c r="Q14"/>
  <c r="S14" s="1"/>
  <c r="Q12"/>
  <c r="S12" s="1"/>
  <c r="Q10"/>
  <c r="S10" s="1"/>
  <c r="Q113"/>
  <c r="S113" s="1"/>
  <c r="Q101"/>
  <c r="S101" s="1"/>
  <c r="Q97"/>
  <c r="S97" s="1"/>
  <c r="Q91"/>
  <c r="S91" s="1"/>
  <c r="Q85"/>
  <c r="S85" s="1"/>
  <c r="Q77"/>
  <c r="S77" s="1"/>
  <c r="Q71"/>
  <c r="S71" s="1"/>
  <c r="Q65"/>
  <c r="S65" s="1"/>
  <c r="Q59"/>
  <c r="S59" s="1"/>
  <c r="Q53"/>
  <c r="S53" s="1"/>
  <c r="Q47"/>
  <c r="S47" s="1"/>
  <c r="Q41"/>
  <c r="S41" s="1"/>
  <c r="Q35"/>
  <c r="S35" s="1"/>
  <c r="Q29"/>
  <c r="S29" s="1"/>
  <c r="Q23"/>
  <c r="S23" s="1"/>
  <c r="Q15"/>
  <c r="S15" s="1"/>
  <c r="Q7"/>
  <c r="S7" s="1"/>
  <c r="Q115"/>
  <c r="S115" s="1"/>
  <c r="Q109"/>
  <c r="S109" s="1"/>
  <c r="Q107"/>
  <c r="S107" s="1"/>
  <c r="Q105"/>
  <c r="S105" s="1"/>
  <c r="Q99"/>
  <c r="S99" s="1"/>
  <c r="Q93"/>
  <c r="S93" s="1"/>
  <c r="Q87"/>
  <c r="S87" s="1"/>
  <c r="Q81"/>
  <c r="S81" s="1"/>
  <c r="Q75"/>
  <c r="S75" s="1"/>
  <c r="Q69"/>
  <c r="S69" s="1"/>
  <c r="Q63"/>
  <c r="S63" s="1"/>
  <c r="Q57"/>
  <c r="S57" s="1"/>
  <c r="Q51"/>
  <c r="S51" s="1"/>
  <c r="Q45"/>
  <c r="S45" s="1"/>
  <c r="Q39"/>
  <c r="S39" s="1"/>
  <c r="Q33"/>
  <c r="S33" s="1"/>
  <c r="Q27"/>
  <c r="S27" s="1"/>
  <c r="Q19"/>
  <c r="S19" s="1"/>
  <c r="Q13"/>
  <c r="S13" s="1"/>
  <c r="Q11"/>
  <c r="S11" s="1"/>
  <c r="B72" i="21"/>
  <c r="B72" i="37"/>
  <c r="F72" i="25"/>
  <c r="M81" i="21"/>
  <c r="B7" i="37"/>
  <c r="F7" i="25"/>
  <c r="P5" i="10"/>
  <c r="B8" i="50" s="1"/>
  <c r="I5" i="27"/>
  <c r="B7" i="21"/>
  <c r="M30" i="37"/>
  <c r="G30" i="25"/>
  <c r="M98" i="37"/>
  <c r="G98" i="25"/>
  <c r="M98" i="21"/>
  <c r="P10" i="10"/>
  <c r="B13" i="50" s="1"/>
  <c r="Q10" i="10"/>
  <c r="M13" i="50" s="1"/>
  <c r="Q6" i="10"/>
  <c r="M9" i="50" s="1"/>
  <c r="P6" i="10"/>
  <c r="B9" i="50" s="1"/>
  <c r="F80" i="25"/>
  <c r="B80" i="37"/>
  <c r="F109" i="25"/>
  <c r="F15"/>
  <c r="G33"/>
  <c r="M70" i="37"/>
  <c r="G70" i="25"/>
  <c r="F74"/>
  <c r="B74" i="37"/>
  <c r="G81" i="25"/>
  <c r="B10" i="21"/>
  <c r="M12" i="37"/>
  <c r="P9" i="10"/>
  <c r="F12" i="25" s="1"/>
  <c r="H16" i="37"/>
  <c r="F16" i="21"/>
  <c r="F16" i="37"/>
  <c r="C16" i="25"/>
  <c r="H16" i="21"/>
  <c r="D16" i="25"/>
  <c r="F13" i="21"/>
  <c r="D13" i="25"/>
  <c r="C13"/>
  <c r="H13" i="37"/>
  <c r="H13" i="21"/>
  <c r="F13" i="37"/>
  <c r="F17" i="25"/>
  <c r="B17" i="37"/>
  <c r="B17" i="21"/>
  <c r="C12" i="25"/>
  <c r="H12" i="21"/>
  <c r="F12"/>
  <c r="D12" i="25"/>
  <c r="H12" i="37"/>
  <c r="F12"/>
  <c r="CM15" i="10"/>
  <c r="BD9" i="21"/>
  <c r="BE9"/>
  <c r="D8" i="25"/>
  <c r="H8" i="21"/>
  <c r="F8"/>
  <c r="H8" i="37"/>
  <c r="C8" i="25"/>
  <c r="F8" i="37"/>
  <c r="H9"/>
  <c r="F9"/>
  <c r="H9" i="21"/>
  <c r="F9"/>
  <c r="C9" i="25"/>
  <c r="D9"/>
  <c r="C10"/>
  <c r="H10" i="21"/>
  <c r="F10"/>
  <c r="H10" i="37"/>
  <c r="D10" i="25"/>
  <c r="F10" i="37"/>
  <c r="CM16" i="10"/>
  <c r="AQ28" i="36"/>
  <c r="AQ29"/>
  <c r="B56" i="7"/>
  <c r="B105" i="36"/>
  <c r="B100" i="7"/>
  <c r="B36"/>
  <c r="B41" i="36"/>
  <c r="H18" i="7"/>
  <c r="F18" i="36"/>
  <c r="H18"/>
  <c r="F18" i="7"/>
  <c r="F10" i="36"/>
  <c r="F10" i="7"/>
  <c r="CY5" i="49"/>
  <c r="DA5" s="1"/>
  <c r="DB5" s="1"/>
  <c r="CY13"/>
  <c r="DA13" s="1"/>
  <c r="DB13" s="1"/>
  <c r="CY12"/>
  <c r="DA12" s="1"/>
  <c r="AC9"/>
  <c r="CZ14"/>
  <c r="DB9"/>
  <c r="DB12"/>
  <c r="L12" i="36"/>
  <c r="DB10" i="49"/>
  <c r="H7" i="36"/>
  <c r="F7"/>
  <c r="F7" i="7"/>
  <c r="L7" i="36"/>
  <c r="B64" i="7"/>
  <c r="B48"/>
  <c r="B93" i="36"/>
  <c r="B96" i="7"/>
  <c r="B52"/>
  <c r="B97" i="36"/>
  <c r="AQ10"/>
  <c r="AQ37"/>
  <c r="AQ53"/>
  <c r="AQ35"/>
  <c r="AQ38"/>
  <c r="AQ54"/>
  <c r="AQ39"/>
  <c r="AQ36"/>
  <c r="AQ8"/>
  <c r="AQ11"/>
  <c r="H7" i="7"/>
  <c r="CY4" i="49"/>
  <c r="DA4" s="1"/>
  <c r="F108" i="7"/>
  <c r="F33" i="36"/>
  <c r="F33" i="7"/>
  <c r="H33"/>
  <c r="H33" i="36"/>
  <c r="H85"/>
  <c r="H28" i="7"/>
  <c r="F28" i="36"/>
  <c r="F28" i="7"/>
  <c r="H28" i="36"/>
  <c r="F19"/>
  <c r="H19"/>
  <c r="H19" i="7"/>
  <c r="F19"/>
  <c r="H22"/>
  <c r="H22" i="36"/>
  <c r="F22"/>
  <c r="F22" i="7"/>
  <c r="F46" i="36"/>
  <c r="H46" i="7"/>
  <c r="H46" i="36"/>
  <c r="F46" i="7"/>
  <c r="H70"/>
  <c r="F70" i="36"/>
  <c r="F70" i="7"/>
  <c r="H70" i="36"/>
  <c r="H32" i="7"/>
  <c r="H32" i="36"/>
  <c r="F32"/>
  <c r="F32" i="7"/>
  <c r="F81" i="36"/>
  <c r="F81" i="7"/>
  <c r="H81" i="36"/>
  <c r="H81" i="7"/>
  <c r="F17"/>
  <c r="H17"/>
  <c r="F17" i="36"/>
  <c r="H17"/>
  <c r="H50" i="7"/>
  <c r="F50" i="36"/>
  <c r="H50"/>
  <c r="F50" i="7"/>
  <c r="H103"/>
  <c r="F79" i="36"/>
  <c r="H79" i="7"/>
  <c r="H79" i="36"/>
  <c r="F79" i="7"/>
  <c r="H76" i="36"/>
  <c r="H76" i="7"/>
  <c r="F76" i="36"/>
  <c r="F76" i="7"/>
  <c r="H53" i="36"/>
  <c r="H53" i="7"/>
  <c r="F53" i="36"/>
  <c r="F53" i="7"/>
  <c r="F49" i="36"/>
  <c r="H49" i="7"/>
  <c r="F49"/>
  <c r="H44"/>
  <c r="H44" i="36"/>
  <c r="F44"/>
  <c r="F44" i="7"/>
  <c r="F40" i="36"/>
  <c r="H40"/>
  <c r="H40" i="7"/>
  <c r="F40"/>
  <c r="H37"/>
  <c r="F37"/>
  <c r="F37" i="36"/>
  <c r="H37"/>
  <c r="H92"/>
  <c r="H92" i="7"/>
  <c r="F92" i="36"/>
  <c r="F92" i="7"/>
  <c r="H65"/>
  <c r="F65" i="36"/>
  <c r="F65" i="7"/>
  <c r="H65" i="36"/>
  <c r="F41"/>
  <c r="H41" i="7"/>
  <c r="H41" i="36"/>
  <c r="F41" i="7"/>
  <c r="F31"/>
  <c r="H31"/>
  <c r="F31" i="36"/>
  <c r="H31"/>
  <c r="F14"/>
  <c r="F14" i="7"/>
  <c r="H14"/>
  <c r="H14" i="36"/>
  <c r="F9"/>
  <c r="H9"/>
  <c r="F9" i="7"/>
  <c r="H9"/>
  <c r="H26" i="36"/>
  <c r="H39"/>
  <c r="B68" i="7"/>
  <c r="H26"/>
  <c r="H27"/>
  <c r="H39"/>
  <c r="H67"/>
  <c r="B116"/>
  <c r="B88"/>
  <c r="B72"/>
  <c r="H62" i="36"/>
  <c r="H62" i="7"/>
  <c r="F62" i="36"/>
  <c r="F62" i="7"/>
  <c r="H58" i="36"/>
  <c r="H106"/>
  <c r="H106" i="7"/>
  <c r="F106" i="36"/>
  <c r="F106" i="7"/>
  <c r="H64"/>
  <c r="F64" i="36"/>
  <c r="H64"/>
  <c r="F64" i="7"/>
  <c r="F63" i="36"/>
  <c r="H63" i="7"/>
  <c r="H63" i="36"/>
  <c r="F63" i="7"/>
  <c r="H60"/>
  <c r="F60" i="36"/>
  <c r="H60"/>
  <c r="F60" i="7"/>
  <c r="F57" i="36"/>
  <c r="F57" i="7"/>
  <c r="H57"/>
  <c r="H57" i="36"/>
  <c r="F78"/>
  <c r="H78" i="7"/>
  <c r="H78" i="36"/>
  <c r="F78" i="7"/>
  <c r="F11" i="36"/>
  <c r="H11" i="7"/>
  <c r="H11" i="36"/>
  <c r="F11" i="7"/>
  <c r="H51"/>
  <c r="F51" i="36"/>
  <c r="F51" i="7"/>
  <c r="H51" i="36"/>
  <c r="H47" i="7"/>
  <c r="F47" i="36"/>
  <c r="F47" i="7"/>
  <c r="H47" i="36"/>
  <c r="F34"/>
  <c r="H34" i="7"/>
  <c r="H34" i="36"/>
  <c r="F34" i="7"/>
  <c r="F21"/>
  <c r="H21"/>
  <c r="F21" i="36"/>
  <c r="H21"/>
  <c r="H82" i="7"/>
  <c r="H82" i="36"/>
  <c r="F82"/>
  <c r="F82" i="7"/>
  <c r="F114" i="36"/>
  <c r="F69"/>
  <c r="H69" i="7"/>
  <c r="H69" i="36"/>
  <c r="F69" i="7"/>
  <c r="F35" i="36"/>
  <c r="H67"/>
  <c r="B22"/>
  <c r="AP117" i="7"/>
  <c r="N58" i="40"/>
  <c r="P58" s="1"/>
  <c r="D9" s="1"/>
  <c r="AF118" i="37"/>
  <c r="BE7" i="21"/>
  <c r="AN33" i="7"/>
  <c r="AN25"/>
  <c r="F7" i="37"/>
  <c r="H7"/>
  <c r="H7" i="21"/>
  <c r="D7" i="25"/>
  <c r="F7" i="21"/>
  <c r="BB9" i="37"/>
  <c r="AU57"/>
  <c r="AI9" i="25"/>
  <c r="AU34" i="37"/>
  <c r="AW7" i="7"/>
  <c r="AG117" i="36"/>
  <c r="AH117"/>
  <c r="B32" i="7"/>
  <c r="B32" i="36"/>
  <c r="B24" i="7"/>
  <c r="B24" i="36"/>
  <c r="M10"/>
  <c r="M18"/>
  <c r="AS117" i="7"/>
  <c r="Q5" i="21" l="1"/>
  <c r="AQ13" i="50"/>
  <c r="F19"/>
  <c r="H19"/>
  <c r="H36"/>
  <c r="F36"/>
  <c r="H81"/>
  <c r="F81"/>
  <c r="H69"/>
  <c r="F69"/>
  <c r="F14" i="21"/>
  <c r="F14" i="50"/>
  <c r="H14"/>
  <c r="F15"/>
  <c r="H15"/>
  <c r="F66"/>
  <c r="H66"/>
  <c r="F58"/>
  <c r="H58"/>
  <c r="F83"/>
  <c r="H83"/>
  <c r="H89"/>
  <c r="F89"/>
  <c r="F39"/>
  <c r="H39"/>
  <c r="F18"/>
  <c r="H18"/>
  <c r="H40"/>
  <c r="F40"/>
  <c r="H25"/>
  <c r="F25"/>
  <c r="F86"/>
  <c r="H86"/>
  <c r="H93"/>
  <c r="F93"/>
  <c r="F110"/>
  <c r="H110"/>
  <c r="F79"/>
  <c r="H79"/>
  <c r="F115"/>
  <c r="H115"/>
  <c r="H109"/>
  <c r="F109"/>
  <c r="AQ20"/>
  <c r="H20"/>
  <c r="F20"/>
  <c r="H100"/>
  <c r="F100"/>
  <c r="F78"/>
  <c r="H78"/>
  <c r="F106"/>
  <c r="H106"/>
  <c r="F75"/>
  <c r="H75"/>
  <c r="H76"/>
  <c r="F76"/>
  <c r="M8" i="37"/>
  <c r="M8" i="21"/>
  <c r="G8" i="25"/>
  <c r="B12" i="50"/>
  <c r="H114" i="7"/>
  <c r="F58"/>
  <c r="F103" i="36"/>
  <c r="H114"/>
  <c r="F30"/>
  <c r="F58"/>
  <c r="F103" i="7"/>
  <c r="B76"/>
  <c r="B92" i="36"/>
  <c r="B92" i="7"/>
  <c r="B29" i="36"/>
  <c r="B29" i="7"/>
  <c r="B107" i="36"/>
  <c r="B107" i="7"/>
  <c r="B26"/>
  <c r="B26" i="36"/>
  <c r="B67"/>
  <c r="B67" i="7"/>
  <c r="B91"/>
  <c r="B91" i="36"/>
  <c r="B99"/>
  <c r="B99" i="7"/>
  <c r="B75" i="36"/>
  <c r="B75" i="7"/>
  <c r="B14" i="36"/>
  <c r="B14" i="7"/>
  <c r="B44" i="36"/>
  <c r="B44" i="7"/>
  <c r="B115" i="36"/>
  <c r="B115" i="7"/>
  <c r="B59" i="36"/>
  <c r="B59" i="7"/>
  <c r="B39" i="36"/>
  <c r="B39" i="7"/>
  <c r="B51" i="36"/>
  <c r="B51" i="7"/>
  <c r="B83" i="36"/>
  <c r="B83" i="7"/>
  <c r="O4" i="37"/>
  <c r="O4" i="7"/>
  <c r="AR117"/>
  <c r="H79" i="21"/>
  <c r="D79" i="25"/>
  <c r="F79" i="21"/>
  <c r="F79" i="37"/>
  <c r="C79" i="25"/>
  <c r="H79" i="37"/>
  <c r="F106"/>
  <c r="D106" i="25"/>
  <c r="F106" i="21"/>
  <c r="H106" i="37"/>
  <c r="C106" i="25"/>
  <c r="H106" i="21"/>
  <c r="D75" i="25"/>
  <c r="C75"/>
  <c r="F75" i="37"/>
  <c r="F75" i="21"/>
  <c r="H75" i="37"/>
  <c r="H75" i="21"/>
  <c r="C86" i="25"/>
  <c r="D86"/>
  <c r="F86" i="37"/>
  <c r="F86" i="21"/>
  <c r="H86"/>
  <c r="H86" i="37"/>
  <c r="F115" i="21"/>
  <c r="D115" i="25"/>
  <c r="H115" i="21"/>
  <c r="H115" i="37"/>
  <c r="F115"/>
  <c r="C115" i="25"/>
  <c r="F109" i="37"/>
  <c r="H109"/>
  <c r="D109" i="25"/>
  <c r="C109"/>
  <c r="F109" i="21"/>
  <c r="H109"/>
  <c r="O4"/>
  <c r="F110"/>
  <c r="C110" i="25"/>
  <c r="H110" i="21"/>
  <c r="D110" i="25"/>
  <c r="F110" i="37"/>
  <c r="H110"/>
  <c r="H100" i="21"/>
  <c r="C100" i="25"/>
  <c r="H100" i="37"/>
  <c r="D100" i="25"/>
  <c r="F100" i="21"/>
  <c r="F100" i="37"/>
  <c r="H78"/>
  <c r="H78" i="21"/>
  <c r="C78" i="25"/>
  <c r="D78"/>
  <c r="F78" i="37"/>
  <c r="F78" i="21"/>
  <c r="F89" i="37"/>
  <c r="F89" i="21"/>
  <c r="C89" i="25"/>
  <c r="H89" i="21"/>
  <c r="H89" i="37"/>
  <c r="D89" i="25"/>
  <c r="F93" i="21"/>
  <c r="F93" i="37"/>
  <c r="H93"/>
  <c r="C93" i="25"/>
  <c r="H93" i="21"/>
  <c r="D93" i="25"/>
  <c r="C76"/>
  <c r="H76" i="37"/>
  <c r="F76" i="21"/>
  <c r="D76" i="25"/>
  <c r="F76" i="37"/>
  <c r="H76" i="21"/>
  <c r="F81"/>
  <c r="D81" i="25"/>
  <c r="H81" i="37"/>
  <c r="H81" i="21"/>
  <c r="F81" i="37"/>
  <c r="C81" i="25"/>
  <c r="F83" i="37"/>
  <c r="H83"/>
  <c r="F83" i="21"/>
  <c r="H83"/>
  <c r="C83" i="25"/>
  <c r="D83"/>
  <c r="H66" i="21"/>
  <c r="D66" i="25"/>
  <c r="F66" i="37"/>
  <c r="F66" i="21"/>
  <c r="C66" i="25"/>
  <c r="H66" i="37"/>
  <c r="F15"/>
  <c r="D15" i="25"/>
  <c r="H15" i="21"/>
  <c r="C15" i="25"/>
  <c r="D36"/>
  <c r="F36" i="21"/>
  <c r="H36"/>
  <c r="F36" i="37"/>
  <c r="H36"/>
  <c r="C36" i="25"/>
  <c r="H39" i="37"/>
  <c r="C39" i="25"/>
  <c r="F39" i="37"/>
  <c r="H39" i="21"/>
  <c r="D39" i="25"/>
  <c r="F39" i="21"/>
  <c r="H20"/>
  <c r="H20" i="37"/>
  <c r="F20" i="21"/>
  <c r="C20" i="25"/>
  <c r="D20"/>
  <c r="F20" i="37"/>
  <c r="C58" i="25"/>
  <c r="D58"/>
  <c r="H58" i="21"/>
  <c r="H58" i="37"/>
  <c r="F58"/>
  <c r="F58" i="21"/>
  <c r="D14" i="25"/>
  <c r="F14" i="37"/>
  <c r="C14" i="25"/>
  <c r="F15" i="21"/>
  <c r="H69" i="37"/>
  <c r="H69" i="21"/>
  <c r="C69" i="25"/>
  <c r="F69" i="21"/>
  <c r="F69" i="37"/>
  <c r="D69" i="25"/>
  <c r="D40"/>
  <c r="C40"/>
  <c r="F40" i="37"/>
  <c r="H40" i="21"/>
  <c r="H40" i="37"/>
  <c r="F40" i="21"/>
  <c r="F25"/>
  <c r="C25" i="25"/>
  <c r="F25" i="37"/>
  <c r="D25" i="25"/>
  <c r="H25" i="21"/>
  <c r="H25" i="37"/>
  <c r="H14" i="21"/>
  <c r="H14" i="37"/>
  <c r="H15"/>
  <c r="H101" i="7"/>
  <c r="F101" i="36"/>
  <c r="H101"/>
  <c r="F101" i="7"/>
  <c r="H83" i="36"/>
  <c r="H83" i="7"/>
  <c r="F83" i="36"/>
  <c r="F83" i="7"/>
  <c r="H95"/>
  <c r="F95"/>
  <c r="F95" i="36"/>
  <c r="H95"/>
  <c r="F73"/>
  <c r="F73" i="7"/>
  <c r="H73"/>
  <c r="H73" i="36"/>
  <c r="F105"/>
  <c r="H105"/>
  <c r="F105" i="7"/>
  <c r="H105"/>
  <c r="F94" i="36"/>
  <c r="H94"/>
  <c r="F94" i="7"/>
  <c r="H94"/>
  <c r="F96"/>
  <c r="H96" i="36"/>
  <c r="F96"/>
  <c r="H96" i="7"/>
  <c r="F77" i="36"/>
  <c r="H77"/>
  <c r="F77" i="7"/>
  <c r="H77"/>
  <c r="F100" i="36"/>
  <c r="F100" i="7"/>
  <c r="H100"/>
  <c r="H100" i="36"/>
  <c r="H99" i="7"/>
  <c r="F99"/>
  <c r="H99" i="36"/>
  <c r="F99"/>
  <c r="F85"/>
  <c r="F108"/>
  <c r="DB87" i="49"/>
  <c r="F91" i="36"/>
  <c r="H91"/>
  <c r="F91" i="7"/>
  <c r="H91"/>
  <c r="H80"/>
  <c r="F80" i="36"/>
  <c r="H80"/>
  <c r="F80" i="7"/>
  <c r="H104"/>
  <c r="H104" i="36"/>
  <c r="F104"/>
  <c r="F104" i="7"/>
  <c r="H109"/>
  <c r="F109"/>
  <c r="H109" i="36"/>
  <c r="F109"/>
  <c r="H75" i="7"/>
  <c r="F75" i="36"/>
  <c r="H75"/>
  <c r="F75" i="7"/>
  <c r="F98" i="36"/>
  <c r="H98"/>
  <c r="F98" i="7"/>
  <c r="H98"/>
  <c r="H86"/>
  <c r="F86"/>
  <c r="F86" i="36"/>
  <c r="H86"/>
  <c r="DB110" i="49"/>
  <c r="DB94"/>
  <c r="F112" i="36"/>
  <c r="H112" i="7"/>
  <c r="F112"/>
  <c r="H112" i="36"/>
  <c r="H87"/>
  <c r="F87"/>
  <c r="F87" i="7"/>
  <c r="H87"/>
  <c r="F74" i="36"/>
  <c r="F74" i="7"/>
  <c r="H74" i="36"/>
  <c r="H74" i="7"/>
  <c r="F110" i="36"/>
  <c r="H110"/>
  <c r="F110" i="7"/>
  <c r="H110"/>
  <c r="H111"/>
  <c r="F111" i="36"/>
  <c r="H111"/>
  <c r="F111" i="7"/>
  <c r="F102" i="36"/>
  <c r="H102" i="7"/>
  <c r="H102" i="36"/>
  <c r="F102" i="7"/>
  <c r="F85"/>
  <c r="H108" i="36"/>
  <c r="F8"/>
  <c r="F8" i="7"/>
  <c r="H8"/>
  <c r="H8" i="36"/>
  <c r="F20"/>
  <c r="F20" i="7"/>
  <c r="H20"/>
  <c r="H20" i="36"/>
  <c r="H48" i="7"/>
  <c r="H48" i="36"/>
  <c r="F48" i="7"/>
  <c r="F48" i="36"/>
  <c r="H36"/>
  <c r="H36" i="7"/>
  <c r="F36" i="36"/>
  <c r="F36" i="7"/>
  <c r="H68"/>
  <c r="F68"/>
  <c r="F68" i="36"/>
  <c r="H68"/>
  <c r="H55" i="7"/>
  <c r="F55"/>
  <c r="H55" i="36"/>
  <c r="F55"/>
  <c r="H24" i="7"/>
  <c r="F24"/>
  <c r="H24" i="36"/>
  <c r="F24"/>
  <c r="F35" i="7"/>
  <c r="H30" i="36"/>
  <c r="H35" i="7"/>
  <c r="H30"/>
  <c r="H23"/>
  <c r="F23" i="36"/>
  <c r="F23" i="7"/>
  <c r="H23" i="36"/>
  <c r="B12" i="21"/>
  <c r="B12" i="37"/>
  <c r="AF118" i="36"/>
  <c r="O4" s="1"/>
  <c r="M13" i="37"/>
  <c r="G13" i="25"/>
  <c r="M13" i="21"/>
  <c r="M16" i="37"/>
  <c r="M16" i="21"/>
  <c r="G16" i="25"/>
  <c r="G9"/>
  <c r="M9" i="37"/>
  <c r="M9" i="21"/>
  <c r="B19" i="37"/>
  <c r="F19" i="25"/>
  <c r="B19" i="21"/>
  <c r="G18" i="25"/>
  <c r="M18" i="37"/>
  <c r="M18" i="21"/>
  <c r="B9"/>
  <c r="F9" i="25"/>
  <c r="B9" i="37"/>
  <c r="B8" i="21"/>
  <c r="B8" i="37"/>
  <c r="F8" i="25"/>
  <c r="G19"/>
  <c r="M19" i="37"/>
  <c r="M19" i="21"/>
  <c r="F18" i="25"/>
  <c r="B18" i="37"/>
  <c r="B18" i="21"/>
  <c r="B13"/>
  <c r="B13" i="37"/>
  <c r="F13" i="25"/>
  <c r="F16"/>
  <c r="B16" i="37"/>
  <c r="B16" i="21"/>
  <c r="F18" i="37"/>
  <c r="H18"/>
  <c r="H18" i="21"/>
  <c r="D18" i="25"/>
  <c r="C18"/>
  <c r="F18" i="21"/>
  <c r="H19" i="37"/>
  <c r="D19" i="25"/>
  <c r="F19" i="37"/>
  <c r="F19" i="21"/>
  <c r="C19" i="25"/>
  <c r="H19" i="21"/>
  <c r="F16" i="36"/>
  <c r="F16" i="7"/>
  <c r="H16" i="36"/>
  <c r="H16" i="7"/>
  <c r="F12" i="36"/>
  <c r="F12" i="7"/>
  <c r="H12"/>
  <c r="H12" i="36"/>
  <c r="F15"/>
  <c r="F15" i="7"/>
  <c r="H15" i="36"/>
  <c r="H15" i="7"/>
  <c r="H13"/>
  <c r="F13" i="36"/>
  <c r="H13"/>
  <c r="F13" i="7"/>
  <c r="AQ55" i="36"/>
  <c r="AQ33"/>
  <c r="O3" i="7"/>
  <c r="AQ117"/>
  <c r="Q4" l="1"/>
  <c r="F97" i="36"/>
  <c r="F97" i="7"/>
  <c r="H97" i="36"/>
  <c r="H97" i="7"/>
  <c r="H90"/>
  <c r="F90" i="36"/>
  <c r="H90"/>
  <c r="F90" i="7"/>
  <c r="F113" i="36"/>
  <c r="F113" i="7"/>
  <c r="H113" i="36"/>
  <c r="H113" i="7"/>
  <c r="O3" i="36"/>
  <c r="AP11" i="21"/>
  <c r="AP17"/>
  <c r="AP21"/>
  <c r="AP29"/>
  <c r="AP36"/>
  <c r="AP33"/>
  <c r="AP10"/>
  <c r="AP30"/>
  <c r="AP13"/>
  <c r="AP20"/>
  <c r="AP28"/>
  <c r="AP40"/>
  <c r="AP34"/>
  <c r="AP15"/>
  <c r="AP35"/>
  <c r="AP12"/>
  <c r="AP22"/>
  <c r="AP16"/>
  <c r="AP41"/>
  <c r="AP31"/>
  <c r="AP9"/>
  <c r="AP27"/>
  <c r="AP37"/>
  <c r="AP14"/>
  <c r="AP18"/>
  <c r="AP19"/>
  <c r="AP32"/>
  <c r="AP38"/>
  <c r="AP39"/>
  <c r="AP8"/>
  <c r="AP26"/>
  <c r="AP23"/>
  <c r="BC7"/>
  <c r="BD7" s="1"/>
  <c r="O3" s="1"/>
  <c r="Q4" s="1"/>
  <c r="AP24" l="1"/>
  <c r="AP42"/>
</calcChain>
</file>

<file path=xl/sharedStrings.xml><?xml version="1.0" encoding="utf-8"?>
<sst xmlns="http://schemas.openxmlformats.org/spreadsheetml/2006/main" count="4969" uniqueCount="1219">
  <si>
    <t>文岡</t>
  </si>
  <si>
    <t>城田</t>
  </si>
  <si>
    <t>答志</t>
  </si>
  <si>
    <t>陽和</t>
  </si>
  <si>
    <t>大木</t>
  </si>
  <si>
    <t>鳥羽東</t>
  </si>
  <si>
    <t>平田野</t>
  </si>
  <si>
    <t>北浜</t>
  </si>
  <si>
    <t>員弁</t>
  </si>
  <si>
    <t>光風</t>
  </si>
  <si>
    <t>成徳</t>
  </si>
  <si>
    <t>正和</t>
  </si>
  <si>
    <t>多度</t>
  </si>
  <si>
    <t>大安</t>
  </si>
  <si>
    <t>東員第二</t>
  </si>
  <si>
    <t>皇學館</t>
  </si>
  <si>
    <t>所属コード</t>
  </si>
  <si>
    <t>学年</t>
  </si>
  <si>
    <t>カナ名</t>
  </si>
  <si>
    <t>性別</t>
  </si>
  <si>
    <t>個人所属地コード</t>
  </si>
  <si>
    <t>ナンバー</t>
  </si>
  <si>
    <t>自己記録3</t>
  </si>
  <si>
    <t>自己記録4</t>
  </si>
  <si>
    <t>自己記録5</t>
  </si>
  <si>
    <t>競技者コード</t>
  </si>
  <si>
    <t>掲示板名</t>
  </si>
  <si>
    <t>所属地コード</t>
    <rPh sb="0" eb="2">
      <t>ショゾク</t>
    </rPh>
    <rPh sb="2" eb="3">
      <t>チ</t>
    </rPh>
    <phoneticPr fontId="4"/>
  </si>
  <si>
    <t>生年月日(年)</t>
  </si>
  <si>
    <t>オープン参加フラグ</t>
  </si>
  <si>
    <t>種目</t>
    <rPh sb="0" eb="2">
      <t>シュモク</t>
    </rPh>
    <phoneticPr fontId="5"/>
  </si>
  <si>
    <t>所属</t>
  </si>
  <si>
    <t>豊里</t>
  </si>
  <si>
    <t>和具</t>
  </si>
  <si>
    <t>潮南</t>
  </si>
  <si>
    <t>一志</t>
  </si>
  <si>
    <t>長岡</t>
  </si>
  <si>
    <t>嬉野</t>
  </si>
  <si>
    <t>千代崎</t>
  </si>
  <si>
    <t>明正</t>
  </si>
  <si>
    <t>光陵</t>
  </si>
  <si>
    <t>木曽岬</t>
  </si>
  <si>
    <t>東員第一</t>
  </si>
  <si>
    <t>藤原</t>
  </si>
  <si>
    <t>中部</t>
  </si>
  <si>
    <t>港</t>
  </si>
  <si>
    <t>塩浜</t>
  </si>
  <si>
    <t>山手</t>
  </si>
  <si>
    <t>富洲原</t>
  </si>
  <si>
    <t>富田</t>
  </si>
  <si>
    <t>笹川</t>
  </si>
  <si>
    <t>西陵</t>
  </si>
  <si>
    <t>三滝</t>
  </si>
  <si>
    <t>大池</t>
  </si>
  <si>
    <t>保々</t>
  </si>
  <si>
    <t>西笹川</t>
  </si>
  <si>
    <t>三重平</t>
  </si>
  <si>
    <t>羽津</t>
  </si>
  <si>
    <t>西朝明</t>
  </si>
  <si>
    <t>桜</t>
  </si>
  <si>
    <t>内部</t>
  </si>
  <si>
    <t>八風</t>
  </si>
  <si>
    <t>楠</t>
  </si>
  <si>
    <t>朝日</t>
  </si>
  <si>
    <t>天栄</t>
  </si>
  <si>
    <t>鈴峰</t>
  </si>
  <si>
    <t>創徳</t>
  </si>
  <si>
    <t>関</t>
  </si>
  <si>
    <t>東橋内</t>
  </si>
  <si>
    <t>朝陽</t>
  </si>
  <si>
    <t>芸濃</t>
  </si>
  <si>
    <t>香海</t>
  </si>
  <si>
    <t>美杉</t>
  </si>
  <si>
    <t>殿町</t>
  </si>
  <si>
    <t>鎌田</t>
  </si>
  <si>
    <t>久保</t>
  </si>
  <si>
    <t>大江</t>
  </si>
  <si>
    <t>飯高西</t>
  </si>
  <si>
    <t>飯高東</t>
  </si>
  <si>
    <t>協和</t>
  </si>
  <si>
    <t>大台</t>
  </si>
  <si>
    <t>勢和</t>
  </si>
  <si>
    <t>厚生</t>
  </si>
  <si>
    <t>豊浜</t>
  </si>
  <si>
    <t>五十鈴</t>
  </si>
  <si>
    <t>二見</t>
  </si>
  <si>
    <t>玉城</t>
  </si>
  <si>
    <t>南島西</t>
  </si>
  <si>
    <t>神島</t>
  </si>
  <si>
    <t>加茂</t>
  </si>
  <si>
    <t>浜島</t>
  </si>
  <si>
    <t>片田</t>
  </si>
  <si>
    <t>越賀</t>
  </si>
  <si>
    <t>安乗</t>
  </si>
  <si>
    <t>的矢</t>
  </si>
  <si>
    <t>成和</t>
  </si>
  <si>
    <t>丸山</t>
  </si>
  <si>
    <t>阿山</t>
  </si>
  <si>
    <t>大山田</t>
  </si>
  <si>
    <t>九鬼</t>
  </si>
  <si>
    <t>北輪内</t>
  </si>
  <si>
    <t>輪内</t>
  </si>
  <si>
    <t>赤羽</t>
  </si>
  <si>
    <t>三船</t>
  </si>
  <si>
    <t>荒坂</t>
  </si>
  <si>
    <t>新鹿</t>
  </si>
  <si>
    <t>有馬</t>
  </si>
  <si>
    <t>育生</t>
  </si>
  <si>
    <t>神上</t>
  </si>
  <si>
    <t>五郷</t>
  </si>
  <si>
    <t>飛鳥</t>
  </si>
  <si>
    <t>御浜</t>
  </si>
  <si>
    <t>阿田和</t>
  </si>
  <si>
    <t>入鹿</t>
  </si>
  <si>
    <t>ﾒﾘﾉｰﾙ</t>
  </si>
  <si>
    <t>日生付属</t>
  </si>
  <si>
    <t>鈴鹿市</t>
  </si>
  <si>
    <t>津市</t>
  </si>
  <si>
    <t>亀山市</t>
  </si>
  <si>
    <t>松阪市</t>
  </si>
  <si>
    <t>名張市</t>
  </si>
  <si>
    <t>尾鷲市</t>
  </si>
  <si>
    <t>熊野市</t>
  </si>
  <si>
    <t>伊勢市</t>
  </si>
  <si>
    <t>度会郡</t>
  </si>
  <si>
    <t>鳥羽市</t>
  </si>
  <si>
    <t>桑名市</t>
  </si>
  <si>
    <t>桑名郡</t>
  </si>
  <si>
    <t>員弁郡</t>
  </si>
  <si>
    <t>多気郡</t>
  </si>
  <si>
    <t>南牟婁</t>
  </si>
  <si>
    <t>走高跳</t>
    <rPh sb="0" eb="1">
      <t>ハシ</t>
    </rPh>
    <rPh sb="1" eb="3">
      <t>タカトビ</t>
    </rPh>
    <phoneticPr fontId="5"/>
  </si>
  <si>
    <t>三段跳</t>
    <rPh sb="0" eb="3">
      <t>サンダント</t>
    </rPh>
    <phoneticPr fontId="5"/>
  </si>
  <si>
    <t>橋南</t>
  </si>
  <si>
    <t>橋北</t>
  </si>
  <si>
    <t>西橋内</t>
  </si>
  <si>
    <t>西郊</t>
  </si>
  <si>
    <t>南が丘</t>
  </si>
  <si>
    <t>南郊</t>
  </si>
  <si>
    <t>美里</t>
  </si>
  <si>
    <t>鏡浦</t>
  </si>
  <si>
    <t>柘植</t>
  </si>
  <si>
    <t>倉田山</t>
  </si>
  <si>
    <t>久居西</t>
  </si>
  <si>
    <t>磯部</t>
  </si>
  <si>
    <t>白鳥</t>
  </si>
  <si>
    <t>鼓ヶ浦</t>
  </si>
  <si>
    <t>船越</t>
  </si>
  <si>
    <t>久居東</t>
  </si>
  <si>
    <t>東海</t>
  </si>
  <si>
    <t>波切</t>
  </si>
  <si>
    <t>小俣</t>
  </si>
  <si>
    <t>北勢</t>
  </si>
  <si>
    <t>陵成</t>
  </si>
  <si>
    <t>一身田国児</t>
  </si>
  <si>
    <t>明和</t>
  </si>
  <si>
    <t>三雲</t>
  </si>
  <si>
    <t>赤目</t>
  </si>
  <si>
    <t>青山</t>
  </si>
  <si>
    <t>紀北</t>
  </si>
  <si>
    <t>沼木</t>
  </si>
  <si>
    <t>霊峰</t>
  </si>
  <si>
    <t>三重郡</t>
  </si>
  <si>
    <t>北牟婁</t>
  </si>
  <si>
    <t>学校番号</t>
    <rPh sb="0" eb="2">
      <t>ガッコウ</t>
    </rPh>
    <rPh sb="2" eb="4">
      <t>バンゴウ</t>
    </rPh>
    <phoneticPr fontId="3"/>
  </si>
  <si>
    <t>四日市</t>
  </si>
  <si>
    <t>三重</t>
  </si>
  <si>
    <t>海星</t>
  </si>
  <si>
    <t>高田</t>
  </si>
  <si>
    <t>度会</t>
  </si>
  <si>
    <t>鈴鹿</t>
  </si>
  <si>
    <t>津田学園</t>
  </si>
  <si>
    <t>飯南</t>
  </si>
  <si>
    <t>長島</t>
  </si>
  <si>
    <t>南島</t>
  </si>
  <si>
    <t>朝明</t>
  </si>
  <si>
    <t>尾鷲</t>
  </si>
  <si>
    <t>木本</t>
  </si>
  <si>
    <t>名張</t>
  </si>
  <si>
    <t>白山</t>
  </si>
  <si>
    <t>走幅跳</t>
    <rPh sb="0" eb="1">
      <t>ハシ</t>
    </rPh>
    <rPh sb="1" eb="3">
      <t>ハバト</t>
    </rPh>
    <phoneticPr fontId="5"/>
  </si>
  <si>
    <t>棒高跳</t>
    <rPh sb="0" eb="3">
      <t>ボウタカト</t>
    </rPh>
    <phoneticPr fontId="5"/>
  </si>
  <si>
    <t>砲丸投</t>
    <rPh sb="0" eb="3">
      <t>ホウガンナ</t>
    </rPh>
    <phoneticPr fontId="5"/>
  </si>
  <si>
    <t>円盤投</t>
    <rPh sb="0" eb="2">
      <t>エンバン</t>
    </rPh>
    <rPh sb="2" eb="3">
      <t>ナ</t>
    </rPh>
    <phoneticPr fontId="5"/>
  </si>
  <si>
    <t>三段跳</t>
    <rPh sb="0" eb="2">
      <t>サンダン</t>
    </rPh>
    <rPh sb="2" eb="3">
      <t>ト</t>
    </rPh>
    <phoneticPr fontId="5"/>
  </si>
  <si>
    <t>砲丸投</t>
    <rPh sb="0" eb="2">
      <t>ホウガン</t>
    </rPh>
    <rPh sb="2" eb="3">
      <t>ナ</t>
    </rPh>
    <phoneticPr fontId="5"/>
  </si>
  <si>
    <t>御薗</t>
  </si>
  <si>
    <t>大宮</t>
  </si>
  <si>
    <t>多気</t>
  </si>
  <si>
    <t>東観</t>
  </si>
  <si>
    <t>一身田</t>
  </si>
  <si>
    <t>下記順序で入力願います。</t>
    <rPh sb="0" eb="2">
      <t>カキ</t>
    </rPh>
    <rPh sb="2" eb="4">
      <t>ジュンジョ</t>
    </rPh>
    <rPh sb="5" eb="7">
      <t>ニュウリョク</t>
    </rPh>
    <rPh sb="7" eb="8">
      <t>ネガ</t>
    </rPh>
    <phoneticPr fontId="5"/>
  </si>
  <si>
    <t>入力方法</t>
    <rPh sb="0" eb="2">
      <t>ニュウリョク</t>
    </rPh>
    <rPh sb="2" eb="4">
      <t>ホウホウ</t>
    </rPh>
    <phoneticPr fontId="5"/>
  </si>
  <si>
    <t>セルを左クリックすれば種目選択がでますので、該当種目を選んで下さい。</t>
    <rPh sb="3" eb="4">
      <t>ヒダリ</t>
    </rPh>
    <rPh sb="11" eb="13">
      <t>シュモク</t>
    </rPh>
    <rPh sb="13" eb="15">
      <t>センタク</t>
    </rPh>
    <rPh sb="22" eb="24">
      <t>ガイトウ</t>
    </rPh>
    <rPh sb="24" eb="26">
      <t>シュモク</t>
    </rPh>
    <rPh sb="27" eb="28">
      <t>エラ</t>
    </rPh>
    <rPh sb="30" eb="31">
      <t>クダ</t>
    </rPh>
    <phoneticPr fontId="5"/>
  </si>
  <si>
    <t>リターンキーを押すと下のセルに移動すると思います。</t>
    <rPh sb="7" eb="8">
      <t>オ</t>
    </rPh>
    <rPh sb="10" eb="11">
      <t>シタ</t>
    </rPh>
    <rPh sb="15" eb="17">
      <t>イドウ</t>
    </rPh>
    <rPh sb="20" eb="21">
      <t>オモ</t>
    </rPh>
    <phoneticPr fontId="5"/>
  </si>
  <si>
    <t>青のセルは記録入力です。トラックの記録は下記の様に入力して下さい。</t>
    <rPh sb="0" eb="1">
      <t>アオ</t>
    </rPh>
    <rPh sb="5" eb="7">
      <t>キロク</t>
    </rPh>
    <rPh sb="7" eb="9">
      <t>ニュウリョク</t>
    </rPh>
    <rPh sb="17" eb="19">
      <t>キロク</t>
    </rPh>
    <rPh sb="20" eb="22">
      <t>カキ</t>
    </rPh>
    <rPh sb="23" eb="24">
      <t>ヨウ</t>
    </rPh>
    <rPh sb="25" eb="27">
      <t>ニュウリョク</t>
    </rPh>
    <rPh sb="29" eb="30">
      <t>クダ</t>
    </rPh>
    <phoneticPr fontId="5"/>
  </si>
  <si>
    <t>10秒０１</t>
    <rPh sb="2" eb="3">
      <t>ビョウ</t>
    </rPh>
    <phoneticPr fontId="5"/>
  </si>
  <si>
    <t>→</t>
    <phoneticPr fontId="5"/>
  </si>
  <si>
    <t>１１秒１</t>
    <rPh sb="2" eb="3">
      <t>ビョウ</t>
    </rPh>
    <phoneticPr fontId="5"/>
  </si>
  <si>
    <t>１分５８秒２３</t>
    <rPh sb="1" eb="2">
      <t>プン</t>
    </rPh>
    <rPh sb="4" eb="5">
      <t>ビョウ</t>
    </rPh>
    <phoneticPr fontId="5"/>
  </si>
  <si>
    <t>7m50</t>
    <phoneticPr fontId="5"/>
  </si>
  <si>
    <t>62m50</t>
    <phoneticPr fontId="5"/>
  </si>
  <si>
    <t>1m90</t>
    <phoneticPr fontId="5"/>
  </si>
  <si>
    <t>学年</t>
    <rPh sb="0" eb="2">
      <t>ガクネン</t>
    </rPh>
    <phoneticPr fontId="5"/>
  </si>
  <si>
    <t>１分５８秒３</t>
    <rPh sb="1" eb="2">
      <t>プン</t>
    </rPh>
    <rPh sb="4" eb="5">
      <t>ビョウ</t>
    </rPh>
    <phoneticPr fontId="5"/>
  </si>
  <si>
    <t>所属はセレクトで選んで下さい。</t>
    <rPh sb="0" eb="2">
      <t>ショゾク</t>
    </rPh>
    <rPh sb="8" eb="9">
      <t>エラ</t>
    </rPh>
    <rPh sb="11" eb="12">
      <t>クダ</t>
    </rPh>
    <phoneticPr fontId="5"/>
  </si>
  <si>
    <t>1年100</t>
    <rPh sb="1" eb="2">
      <t>ネン</t>
    </rPh>
    <phoneticPr fontId="5"/>
  </si>
  <si>
    <t>1年1500</t>
    <rPh sb="1" eb="2">
      <t>ネン</t>
    </rPh>
    <phoneticPr fontId="5"/>
  </si>
  <si>
    <t>2年100</t>
    <rPh sb="1" eb="2">
      <t>ネン</t>
    </rPh>
    <phoneticPr fontId="5"/>
  </si>
  <si>
    <t>2年1500</t>
    <rPh sb="1" eb="2">
      <t>ネン</t>
    </rPh>
    <phoneticPr fontId="5"/>
  </si>
  <si>
    <t>低学年R</t>
    <rPh sb="0" eb="3">
      <t>テイガクネン</t>
    </rPh>
    <phoneticPr fontId="5"/>
  </si>
  <si>
    <t>5年100</t>
    <rPh sb="1" eb="2">
      <t>ネン</t>
    </rPh>
    <phoneticPr fontId="5"/>
  </si>
  <si>
    <t>6年100</t>
    <rPh sb="1" eb="2">
      <t>ネン</t>
    </rPh>
    <phoneticPr fontId="5"/>
  </si>
  <si>
    <t>種目3</t>
    <rPh sb="0" eb="2">
      <t>シュモク</t>
    </rPh>
    <phoneticPr fontId="5"/>
  </si>
  <si>
    <t>種目4</t>
    <rPh sb="0" eb="2">
      <t>シュモク</t>
    </rPh>
    <phoneticPr fontId="5"/>
  </si>
  <si>
    <t>種目5</t>
    <rPh sb="0" eb="2">
      <t>シュモク</t>
    </rPh>
    <phoneticPr fontId="5"/>
  </si>
  <si>
    <t>高校100</t>
    <rPh sb="0" eb="2">
      <t>コウコウ</t>
    </rPh>
    <phoneticPr fontId="5"/>
  </si>
  <si>
    <t>高校3000</t>
    <rPh sb="0" eb="2">
      <t>コウコウ</t>
    </rPh>
    <phoneticPr fontId="5"/>
  </si>
  <si>
    <t>B-100</t>
    <phoneticPr fontId="5"/>
  </si>
  <si>
    <t>B-走高跳</t>
    <rPh sb="2" eb="3">
      <t>ハシ</t>
    </rPh>
    <rPh sb="3" eb="5">
      <t>タカトビ</t>
    </rPh>
    <phoneticPr fontId="5"/>
  </si>
  <si>
    <t>B-砲丸投</t>
    <rPh sb="2" eb="4">
      <t>ホウガン</t>
    </rPh>
    <rPh sb="4" eb="5">
      <t>ナ</t>
    </rPh>
    <phoneticPr fontId="5"/>
  </si>
  <si>
    <t>C-走幅跳</t>
    <rPh sb="2" eb="3">
      <t>ハシ</t>
    </rPh>
    <rPh sb="3" eb="5">
      <t>ハバト</t>
    </rPh>
    <phoneticPr fontId="5"/>
  </si>
  <si>
    <t>円盤投</t>
    <rPh sb="0" eb="3">
      <t>エンバンナ</t>
    </rPh>
    <phoneticPr fontId="5"/>
  </si>
  <si>
    <t>C-砲丸投</t>
    <rPh sb="2" eb="4">
      <t>ホウガン</t>
    </rPh>
    <rPh sb="4" eb="5">
      <t>ナ</t>
    </rPh>
    <phoneticPr fontId="5"/>
  </si>
  <si>
    <t>四種</t>
    <rPh sb="0" eb="2">
      <t>４シュ</t>
    </rPh>
    <phoneticPr fontId="5"/>
  </si>
  <si>
    <t>出場する選手のみ、種目を選んでいただき、記録を記入していただくだけです。</t>
    <rPh sb="0" eb="2">
      <t>シュツジョウ</t>
    </rPh>
    <rPh sb="4" eb="6">
      <t>センシュ</t>
    </rPh>
    <rPh sb="9" eb="11">
      <t>シュモク</t>
    </rPh>
    <rPh sb="12" eb="13">
      <t>エラ</t>
    </rPh>
    <rPh sb="20" eb="22">
      <t>キロク</t>
    </rPh>
    <rPh sb="23" eb="25">
      <t>キニュウ</t>
    </rPh>
    <phoneticPr fontId="5"/>
  </si>
  <si>
    <t>申込み送付時の注意点</t>
    <rPh sb="0" eb="2">
      <t>モウシコ</t>
    </rPh>
    <rPh sb="3" eb="5">
      <t>ソウフ</t>
    </rPh>
    <rPh sb="5" eb="6">
      <t>ジ</t>
    </rPh>
    <rPh sb="7" eb="10">
      <t>チュウイテン</t>
    </rPh>
    <phoneticPr fontId="5"/>
  </si>
  <si>
    <t>参考事項</t>
    <rPh sb="0" eb="2">
      <t>サンコウ</t>
    </rPh>
    <rPh sb="2" eb="4">
      <t>ジコウ</t>
    </rPh>
    <phoneticPr fontId="5"/>
  </si>
  <si>
    <t>コード</t>
    <phoneticPr fontId="5"/>
  </si>
  <si>
    <t>記録3</t>
    <phoneticPr fontId="5"/>
  </si>
  <si>
    <t>自己記録4</t>
    <phoneticPr fontId="5"/>
  </si>
  <si>
    <t>自己記録5</t>
    <phoneticPr fontId="5"/>
  </si>
  <si>
    <t>A</t>
    <phoneticPr fontId="5"/>
  </si>
  <si>
    <t>B</t>
    <phoneticPr fontId="5"/>
  </si>
  <si>
    <t>C</t>
    <phoneticPr fontId="5"/>
  </si>
  <si>
    <t>Tabキーで横の欄に移動して下さい</t>
    <rPh sb="6" eb="7">
      <t>ヨコ</t>
    </rPh>
    <rPh sb="8" eb="9">
      <t>ラン</t>
    </rPh>
    <rPh sb="10" eb="12">
      <t>イドウ</t>
    </rPh>
    <rPh sb="14" eb="15">
      <t>クダ</t>
    </rPh>
    <phoneticPr fontId="5"/>
  </si>
  <si>
    <t>記録</t>
    <phoneticPr fontId="5"/>
  </si>
  <si>
    <t>名　前</t>
    <rPh sb="0" eb="1">
      <t>ナ</t>
    </rPh>
    <rPh sb="2" eb="3">
      <t>マエ</t>
    </rPh>
    <phoneticPr fontId="5"/>
  </si>
  <si>
    <t>名前</t>
    <rPh sb="0" eb="2">
      <t>ナマエ</t>
    </rPh>
    <phoneticPr fontId="5"/>
  </si>
  <si>
    <t>中体連より割り振られた</t>
    <rPh sb="0" eb="1">
      <t>チュウ</t>
    </rPh>
    <rPh sb="1" eb="2">
      <t>カラダ</t>
    </rPh>
    <rPh sb="2" eb="3">
      <t>レン</t>
    </rPh>
    <rPh sb="5" eb="6">
      <t>ワ</t>
    </rPh>
    <rPh sb="7" eb="8">
      <t>フ</t>
    </rPh>
    <phoneticPr fontId="5"/>
  </si>
  <si>
    <t>NOを全部エントリーしていただきます。（名前の空白は空白で構いません。出場しない選手も申し込む）</t>
    <rPh sb="3" eb="5">
      <t>ゼンブ</t>
    </rPh>
    <rPh sb="20" eb="22">
      <t>ナマエ</t>
    </rPh>
    <rPh sb="23" eb="25">
      <t>クウハク</t>
    </rPh>
    <rPh sb="26" eb="28">
      <t>クウハク</t>
    </rPh>
    <rPh sb="29" eb="30">
      <t>カマ</t>
    </rPh>
    <rPh sb="35" eb="37">
      <t>シュツジョウ</t>
    </rPh>
    <rPh sb="40" eb="42">
      <t>センシュ</t>
    </rPh>
    <rPh sb="43" eb="44">
      <t>モウ</t>
    </rPh>
    <rPh sb="45" eb="46">
      <t>コ</t>
    </rPh>
    <phoneticPr fontId="5"/>
  </si>
  <si>
    <t>連続番号で記入願います。名前の空きは構いません。</t>
    <rPh sb="0" eb="2">
      <t>レンゾク</t>
    </rPh>
    <rPh sb="2" eb="4">
      <t>バンゴウ</t>
    </rPh>
    <rPh sb="5" eb="7">
      <t>キニュウ</t>
    </rPh>
    <rPh sb="7" eb="8">
      <t>ネガ</t>
    </rPh>
    <rPh sb="12" eb="14">
      <t>ナマエ</t>
    </rPh>
    <rPh sb="15" eb="16">
      <t>ア</t>
    </rPh>
    <rPh sb="18" eb="19">
      <t>カマ</t>
    </rPh>
    <phoneticPr fontId="5"/>
  </si>
  <si>
    <t>リレー</t>
    <phoneticPr fontId="5"/>
  </si>
  <si>
    <t>記録</t>
    <phoneticPr fontId="5"/>
  </si>
  <si>
    <t>コード</t>
    <phoneticPr fontId="5"/>
  </si>
  <si>
    <t>リレー</t>
    <phoneticPr fontId="5"/>
  </si>
  <si>
    <t>記録</t>
    <phoneticPr fontId="5"/>
  </si>
  <si>
    <t>記録3</t>
    <phoneticPr fontId="5"/>
  </si>
  <si>
    <t>自己記録4</t>
    <phoneticPr fontId="5"/>
  </si>
  <si>
    <t>自己記録5</t>
    <phoneticPr fontId="5"/>
  </si>
  <si>
    <t>注意事項</t>
    <rPh sb="0" eb="2">
      <t>チュウイ</t>
    </rPh>
    <rPh sb="2" eb="4">
      <t>ジコウ</t>
    </rPh>
    <phoneticPr fontId="5"/>
  </si>
  <si>
    <t>国体1次高校県選</t>
    <rPh sb="0" eb="2">
      <t>コクタイ</t>
    </rPh>
    <rPh sb="3" eb="4">
      <t>ジ</t>
    </rPh>
    <rPh sb="4" eb="6">
      <t>コウコウ</t>
    </rPh>
    <rPh sb="6" eb="7">
      <t>ケン</t>
    </rPh>
    <rPh sb="7" eb="8">
      <t>セン</t>
    </rPh>
    <phoneticPr fontId="5"/>
  </si>
  <si>
    <t>通信</t>
    <rPh sb="0" eb="2">
      <t>ツウシン</t>
    </rPh>
    <phoneticPr fontId="5"/>
  </si>
  <si>
    <t>中学混成</t>
    <rPh sb="0" eb="2">
      <t>チュウガク</t>
    </rPh>
    <rPh sb="2" eb="4">
      <t>コンセイ</t>
    </rPh>
    <phoneticPr fontId="5"/>
  </si>
  <si>
    <t>リレーカーニバル</t>
    <phoneticPr fontId="5"/>
  </si>
  <si>
    <t>中学選抜</t>
    <rPh sb="0" eb="2">
      <t>チュウガク</t>
    </rPh>
    <rPh sb="2" eb="4">
      <t>センバツ</t>
    </rPh>
    <phoneticPr fontId="5"/>
  </si>
  <si>
    <t>中学県大会</t>
    <rPh sb="0" eb="2">
      <t>チュウガク</t>
    </rPh>
    <rPh sb="2" eb="3">
      <t>ケン</t>
    </rPh>
    <rPh sb="3" eb="5">
      <t>タイカイ</t>
    </rPh>
    <phoneticPr fontId="5"/>
  </si>
  <si>
    <t>棒高跳</t>
    <rPh sb="0" eb="1">
      <t>ボウ</t>
    </rPh>
    <rPh sb="1" eb="3">
      <t>タカト</t>
    </rPh>
    <phoneticPr fontId="5"/>
  </si>
  <si>
    <t>110H</t>
    <phoneticPr fontId="5"/>
  </si>
  <si>
    <t>混成リレー</t>
    <rPh sb="0" eb="2">
      <t>コンセイ</t>
    </rPh>
    <phoneticPr fontId="5"/>
  </si>
  <si>
    <t>4×200R</t>
    <phoneticPr fontId="5"/>
  </si>
  <si>
    <t>4×100R</t>
    <phoneticPr fontId="5"/>
  </si>
  <si>
    <t>ｼﾞｬﾍﾞﾘｯｸ</t>
    <phoneticPr fontId="5"/>
  </si>
  <si>
    <t>やり投</t>
    <rPh sb="2" eb="3">
      <t>ナ</t>
    </rPh>
    <phoneticPr fontId="5"/>
  </si>
  <si>
    <t>ロードレース</t>
    <phoneticPr fontId="5"/>
  </si>
  <si>
    <t>ハンマー投</t>
    <rPh sb="4" eb="5">
      <t>ナ</t>
    </rPh>
    <phoneticPr fontId="5"/>
  </si>
  <si>
    <t>ｼﾞｬﾍﾞﾘｯｸ</t>
    <phoneticPr fontId="5"/>
  </si>
  <si>
    <t>7種</t>
    <rPh sb="1" eb="2">
      <t>シュ</t>
    </rPh>
    <phoneticPr fontId="5"/>
  </si>
  <si>
    <t>三重陸協主催大会の</t>
    <rPh sb="0" eb="2">
      <t>ミエ</t>
    </rPh>
    <rPh sb="2" eb="3">
      <t>リク</t>
    </rPh>
    <rPh sb="3" eb="4">
      <t>キョウ</t>
    </rPh>
    <rPh sb="4" eb="6">
      <t>シュサイ</t>
    </rPh>
    <rPh sb="6" eb="8">
      <t>タイカイ</t>
    </rPh>
    <phoneticPr fontId="5"/>
  </si>
  <si>
    <t>振込先</t>
    <rPh sb="0" eb="2">
      <t>フリコ</t>
    </rPh>
    <rPh sb="2" eb="3">
      <t>サキ</t>
    </rPh>
    <phoneticPr fontId="5"/>
  </si>
  <si>
    <t>順序①</t>
    <rPh sb="0" eb="2">
      <t>ジュンジョ</t>
    </rPh>
    <phoneticPr fontId="5"/>
  </si>
  <si>
    <t>順序②</t>
    <rPh sb="0" eb="2">
      <t>ジュンジョ</t>
    </rPh>
    <phoneticPr fontId="5"/>
  </si>
  <si>
    <t>メール送付先</t>
    <rPh sb="3" eb="5">
      <t>ソウフ</t>
    </rPh>
    <rPh sb="5" eb="6">
      <t>サキ</t>
    </rPh>
    <phoneticPr fontId="5"/>
  </si>
  <si>
    <t>男子</t>
    <rPh sb="0" eb="2">
      <t>ダンシ</t>
    </rPh>
    <phoneticPr fontId="5"/>
  </si>
  <si>
    <t>監督名</t>
    <rPh sb="0" eb="2">
      <t>カントク</t>
    </rPh>
    <rPh sb="2" eb="3">
      <t>メイ</t>
    </rPh>
    <phoneticPr fontId="5"/>
  </si>
  <si>
    <t>女子</t>
    <rPh sb="0" eb="2">
      <t>ジョシ</t>
    </rPh>
    <phoneticPr fontId="5"/>
  </si>
  <si>
    <t>大会参加料　振込票貼付用紙</t>
    <rPh sb="0" eb="2">
      <t>タイカイ</t>
    </rPh>
    <rPh sb="2" eb="4">
      <t>サンカ</t>
    </rPh>
    <rPh sb="4" eb="5">
      <t>リョウ</t>
    </rPh>
    <rPh sb="6" eb="8">
      <t>フリコミ</t>
    </rPh>
    <rPh sb="8" eb="9">
      <t>ヒョウ</t>
    </rPh>
    <rPh sb="9" eb="11">
      <t>ハリツケ</t>
    </rPh>
    <rPh sb="11" eb="13">
      <t>ヨウシ</t>
    </rPh>
    <phoneticPr fontId="22"/>
  </si>
  <si>
    <t>所属名</t>
    <rPh sb="0" eb="2">
      <t>ショゾク</t>
    </rPh>
    <rPh sb="2" eb="3">
      <t>メイ</t>
    </rPh>
    <phoneticPr fontId="22"/>
  </si>
  <si>
    <t>大会名</t>
    <rPh sb="0" eb="2">
      <t>タイカイ</t>
    </rPh>
    <rPh sb="2" eb="3">
      <t>メイ</t>
    </rPh>
    <phoneticPr fontId="22"/>
  </si>
  <si>
    <t>四日市南</t>
  </si>
  <si>
    <t>菰野</t>
  </si>
  <si>
    <t>川越</t>
  </si>
  <si>
    <t>神戸</t>
  </si>
  <si>
    <t>白子</t>
  </si>
  <si>
    <t>亀山</t>
  </si>
  <si>
    <t>亀山中部</t>
  </si>
  <si>
    <t>久居</t>
  </si>
  <si>
    <t>松阪東部</t>
  </si>
  <si>
    <t>松阪中部</t>
  </si>
  <si>
    <t>多気宮川</t>
  </si>
  <si>
    <t>伊勢宮川</t>
  </si>
  <si>
    <t>伊勢港</t>
  </si>
  <si>
    <t>崇広</t>
  </si>
  <si>
    <t>緑ヶ丘</t>
  </si>
  <si>
    <t>桔梗が丘</t>
  </si>
  <si>
    <t>名張北</t>
  </si>
  <si>
    <t>島ヶ原</t>
  </si>
  <si>
    <t>尾呂志学園</t>
  </si>
  <si>
    <t>相野谷</t>
  </si>
  <si>
    <t>矢渕</t>
  </si>
  <si>
    <t>三重大附属</t>
  </si>
  <si>
    <t>暁</t>
  </si>
  <si>
    <t>所属NO</t>
  </si>
  <si>
    <t>所属名</t>
  </si>
  <si>
    <t>所属名略称</t>
  </si>
  <si>
    <t>所属地NO</t>
  </si>
  <si>
    <t>1.58.20</t>
    <phoneticPr fontId="5"/>
  </si>
  <si>
    <t>1.58.30</t>
    <phoneticPr fontId="5"/>
  </si>
  <si>
    <t>フィールド入力は全てmをいれて下さい（半角）</t>
    <rPh sb="5" eb="7">
      <t>ニュウリョク</t>
    </rPh>
    <rPh sb="8" eb="9">
      <t>スベ</t>
    </rPh>
    <rPh sb="15" eb="16">
      <t>クダ</t>
    </rPh>
    <rPh sb="19" eb="21">
      <t>ハンカク</t>
    </rPh>
    <phoneticPr fontId="5"/>
  </si>
  <si>
    <t>A・Bがある場合も種目だけで構いません。</t>
    <rPh sb="6" eb="8">
      <t>バアイ</t>
    </rPh>
    <rPh sb="9" eb="11">
      <t>シュモク</t>
    </rPh>
    <rPh sb="14" eb="15">
      <t>カマ</t>
    </rPh>
    <phoneticPr fontId="5"/>
  </si>
  <si>
    <r>
      <t>リレー種目は種目のみを入力して下さい。</t>
    </r>
    <r>
      <rPr>
        <b/>
        <u/>
        <sz val="11"/>
        <color indexed="10"/>
        <rFont val="ＭＳ Ｐゴシック"/>
        <family val="3"/>
        <charset val="128"/>
      </rPr>
      <t>忘れないように</t>
    </r>
    <rPh sb="3" eb="5">
      <t>シュモク</t>
    </rPh>
    <rPh sb="6" eb="8">
      <t>シュモク</t>
    </rPh>
    <rPh sb="11" eb="13">
      <t>ニュウリョク</t>
    </rPh>
    <rPh sb="15" eb="16">
      <t>クダ</t>
    </rPh>
    <rPh sb="19" eb="20">
      <t>ワス</t>
    </rPh>
    <phoneticPr fontId="5"/>
  </si>
  <si>
    <t>全ての大会をメール申込といたします。</t>
    <rPh sb="0" eb="1">
      <t>スベ</t>
    </rPh>
    <rPh sb="3" eb="5">
      <t>タイカイ</t>
    </rPh>
    <rPh sb="9" eb="11">
      <t>モウシコミ</t>
    </rPh>
    <phoneticPr fontId="5"/>
  </si>
  <si>
    <t>②難しい場合は、各校のパソコンに詳しい先生方の協力を仰いで下さい。</t>
    <rPh sb="1" eb="2">
      <t>ムズカ</t>
    </rPh>
    <rPh sb="4" eb="6">
      <t>バアイ</t>
    </rPh>
    <rPh sb="8" eb="9">
      <t>カク</t>
    </rPh>
    <rPh sb="9" eb="10">
      <t>コウ</t>
    </rPh>
    <rPh sb="16" eb="17">
      <t>クワ</t>
    </rPh>
    <rPh sb="19" eb="21">
      <t>センセイ</t>
    </rPh>
    <rPh sb="21" eb="22">
      <t>カタ</t>
    </rPh>
    <rPh sb="23" eb="25">
      <t>キョウリョク</t>
    </rPh>
    <rPh sb="26" eb="27">
      <t>アオ</t>
    </rPh>
    <rPh sb="29" eb="30">
      <t>クダ</t>
    </rPh>
    <phoneticPr fontId="5"/>
  </si>
  <si>
    <t>5･6年1000</t>
    <rPh sb="3" eb="4">
      <t>ネン</t>
    </rPh>
    <phoneticPr fontId="5"/>
  </si>
  <si>
    <t>5･6年80H</t>
    <rPh sb="3" eb="4">
      <t>ネン</t>
    </rPh>
    <phoneticPr fontId="5"/>
  </si>
  <si>
    <t>5･6年走幅跳</t>
    <rPh sb="3" eb="4">
      <t>ネン</t>
    </rPh>
    <rPh sb="4" eb="5">
      <t>ハシ</t>
    </rPh>
    <rPh sb="5" eb="7">
      <t>ハバト</t>
    </rPh>
    <phoneticPr fontId="5"/>
  </si>
  <si>
    <t>5･6年ボール投</t>
    <rPh sb="3" eb="4">
      <t>ネン</t>
    </rPh>
    <rPh sb="7" eb="8">
      <t>ナ</t>
    </rPh>
    <phoneticPr fontId="5"/>
  </si>
  <si>
    <t>5･6年4×100R</t>
    <rPh sb="3" eb="4">
      <t>ネン</t>
    </rPh>
    <phoneticPr fontId="5"/>
  </si>
  <si>
    <t>少年3000</t>
    <rPh sb="0" eb="2">
      <t>ショウネン</t>
    </rPh>
    <phoneticPr fontId="5"/>
  </si>
  <si>
    <t>少年砲丸投</t>
    <rPh sb="0" eb="1">
      <t>ショウ</t>
    </rPh>
    <rPh sb="1" eb="2">
      <t>ネン</t>
    </rPh>
    <rPh sb="2" eb="5">
      <t>ホウガンナ</t>
    </rPh>
    <phoneticPr fontId="5"/>
  </si>
  <si>
    <t>少年円盤投</t>
    <rPh sb="0" eb="2">
      <t>ショウネン</t>
    </rPh>
    <rPh sb="2" eb="4">
      <t>エンバン</t>
    </rPh>
    <rPh sb="4" eb="5">
      <t>ナ</t>
    </rPh>
    <phoneticPr fontId="5"/>
  </si>
  <si>
    <t>少年ハンマー投</t>
    <rPh sb="0" eb="2">
      <t>ショウネン</t>
    </rPh>
    <rPh sb="6" eb="7">
      <t>ナ</t>
    </rPh>
    <phoneticPr fontId="5"/>
  </si>
  <si>
    <t>少年B110JH</t>
    <rPh sb="0" eb="2">
      <t>ショウネン</t>
    </rPh>
    <phoneticPr fontId="5"/>
  </si>
  <si>
    <t>1年800</t>
    <rPh sb="1" eb="2">
      <t>ネン</t>
    </rPh>
    <phoneticPr fontId="5"/>
  </si>
  <si>
    <t>100H</t>
    <phoneticPr fontId="5"/>
  </si>
  <si>
    <t>少年B100H</t>
    <rPh sb="0" eb="2">
      <t>ショウネン</t>
    </rPh>
    <phoneticPr fontId="5"/>
  </si>
  <si>
    <t>中学男子5ｋ</t>
    <rPh sb="0" eb="2">
      <t>チュウガク</t>
    </rPh>
    <rPh sb="2" eb="4">
      <t>ダンシ</t>
    </rPh>
    <phoneticPr fontId="5"/>
  </si>
  <si>
    <t>中学女子3ｋ</t>
    <rPh sb="0" eb="2">
      <t>チュウガク</t>
    </rPh>
    <rPh sb="2" eb="3">
      <t>オンナ</t>
    </rPh>
    <rPh sb="3" eb="4">
      <t>コ</t>
    </rPh>
    <phoneticPr fontId="5"/>
  </si>
  <si>
    <t>志摩市</t>
    <rPh sb="2" eb="3">
      <t>シ</t>
    </rPh>
    <phoneticPr fontId="4"/>
  </si>
  <si>
    <t>いなべ市</t>
    <rPh sb="3" eb="4">
      <t>シ</t>
    </rPh>
    <phoneticPr fontId="4"/>
  </si>
  <si>
    <t>学校長</t>
    <rPh sb="0" eb="3">
      <t>ガッコウチョウ</t>
    </rPh>
    <phoneticPr fontId="5"/>
  </si>
  <si>
    <t>伊賀市</t>
    <rPh sb="0" eb="2">
      <t>イガ</t>
    </rPh>
    <rPh sb="2" eb="3">
      <t>シ</t>
    </rPh>
    <phoneticPr fontId="4"/>
  </si>
  <si>
    <t>少年Aハンマー投</t>
    <rPh sb="0" eb="2">
      <t>ショウネン</t>
    </rPh>
    <rPh sb="7" eb="8">
      <t>ナ</t>
    </rPh>
    <phoneticPr fontId="5"/>
  </si>
  <si>
    <t>高校110JH</t>
    <rPh sb="0" eb="2">
      <t>コウコウ</t>
    </rPh>
    <phoneticPr fontId="5"/>
  </si>
  <si>
    <t>高校走幅跳</t>
    <rPh sb="0" eb="2">
      <t>コウコウ</t>
    </rPh>
    <rPh sb="2" eb="3">
      <t>ハシ</t>
    </rPh>
    <rPh sb="3" eb="5">
      <t>ハバト</t>
    </rPh>
    <phoneticPr fontId="5"/>
  </si>
  <si>
    <t>高校円盤投</t>
    <rPh sb="0" eb="2">
      <t>コウコウ</t>
    </rPh>
    <rPh sb="2" eb="4">
      <t>エンバン</t>
    </rPh>
    <rPh sb="4" eb="5">
      <t>ナ</t>
    </rPh>
    <phoneticPr fontId="5"/>
  </si>
  <si>
    <t>A-100</t>
    <phoneticPr fontId="5"/>
  </si>
  <si>
    <t>A-200</t>
    <phoneticPr fontId="5"/>
  </si>
  <si>
    <t>A-400</t>
    <phoneticPr fontId="5"/>
  </si>
  <si>
    <t>A-800</t>
    <phoneticPr fontId="5"/>
  </si>
  <si>
    <t>A-3000</t>
    <phoneticPr fontId="5"/>
  </si>
  <si>
    <t>A-110H</t>
    <phoneticPr fontId="5"/>
  </si>
  <si>
    <t>A-走高跳</t>
    <rPh sb="2" eb="3">
      <t>ハシ</t>
    </rPh>
    <rPh sb="3" eb="5">
      <t>タカトビ</t>
    </rPh>
    <phoneticPr fontId="5"/>
  </si>
  <si>
    <t>A-砲丸投</t>
    <rPh sb="2" eb="4">
      <t>ホウガン</t>
    </rPh>
    <rPh sb="4" eb="5">
      <t>ナ</t>
    </rPh>
    <phoneticPr fontId="5"/>
  </si>
  <si>
    <t>B-100</t>
    <phoneticPr fontId="5"/>
  </si>
  <si>
    <t>B-1500</t>
    <phoneticPr fontId="5"/>
  </si>
  <si>
    <t>B-110H</t>
    <phoneticPr fontId="5"/>
  </si>
  <si>
    <t>B-走幅跳</t>
    <rPh sb="2" eb="3">
      <t>ハシ</t>
    </rPh>
    <rPh sb="3" eb="5">
      <t>ハバト</t>
    </rPh>
    <phoneticPr fontId="5"/>
  </si>
  <si>
    <t>C-100</t>
    <phoneticPr fontId="5"/>
  </si>
  <si>
    <t>C-100H</t>
    <phoneticPr fontId="5"/>
  </si>
  <si>
    <t>AB円盤投</t>
    <rPh sb="2" eb="4">
      <t>エンバン</t>
    </rPh>
    <rPh sb="4" eb="5">
      <t>ナ</t>
    </rPh>
    <phoneticPr fontId="5"/>
  </si>
  <si>
    <t>高校100H</t>
    <rPh sb="0" eb="2">
      <t>コウコウ</t>
    </rPh>
    <phoneticPr fontId="5"/>
  </si>
  <si>
    <t>高校円盤投</t>
    <rPh sb="0" eb="2">
      <t>コウコウ</t>
    </rPh>
    <rPh sb="2" eb="5">
      <t>エンバンナ</t>
    </rPh>
    <phoneticPr fontId="5"/>
  </si>
  <si>
    <t>A-100H</t>
    <phoneticPr fontId="5"/>
  </si>
  <si>
    <t>B-1500</t>
    <phoneticPr fontId="5"/>
  </si>
  <si>
    <t>B-100H</t>
    <phoneticPr fontId="5"/>
  </si>
  <si>
    <t>ABｼﾞｬﾍﾞﾘｯｸ</t>
    <phoneticPr fontId="5"/>
  </si>
  <si>
    <t>ジュニアO</t>
    <phoneticPr fontId="5"/>
  </si>
  <si>
    <t>A-100</t>
    <phoneticPr fontId="5"/>
  </si>
  <si>
    <t>A-3000</t>
    <phoneticPr fontId="5"/>
  </si>
  <si>
    <t>A-110H</t>
    <phoneticPr fontId="5"/>
  </si>
  <si>
    <t>5000W</t>
    <phoneticPr fontId="5"/>
  </si>
  <si>
    <t>4×100</t>
    <phoneticPr fontId="5"/>
  </si>
  <si>
    <t>4×400</t>
    <phoneticPr fontId="5"/>
  </si>
  <si>
    <t>100H</t>
    <phoneticPr fontId="5"/>
  </si>
  <si>
    <t>A-100</t>
    <phoneticPr fontId="5"/>
  </si>
  <si>
    <t>A-200</t>
    <phoneticPr fontId="5"/>
  </si>
  <si>
    <t>A-100H</t>
    <phoneticPr fontId="5"/>
  </si>
  <si>
    <t>3000W</t>
    <phoneticPr fontId="5"/>
  </si>
  <si>
    <t>4×100</t>
    <phoneticPr fontId="5"/>
  </si>
  <si>
    <t>4×400</t>
    <phoneticPr fontId="5"/>
  </si>
  <si>
    <t>110H</t>
    <phoneticPr fontId="5"/>
  </si>
  <si>
    <t>A-200</t>
    <phoneticPr fontId="5"/>
  </si>
  <si>
    <t>400H</t>
    <phoneticPr fontId="5"/>
  </si>
  <si>
    <t>3000SC</t>
    <phoneticPr fontId="5"/>
  </si>
  <si>
    <t>ｼﾞｬﾍﾞﾘｯｸ</t>
    <phoneticPr fontId="5"/>
  </si>
  <si>
    <t>B-1500</t>
    <phoneticPr fontId="5"/>
  </si>
  <si>
    <t>B-110H</t>
    <phoneticPr fontId="5"/>
  </si>
  <si>
    <t>C-100</t>
    <phoneticPr fontId="5"/>
  </si>
  <si>
    <t>C-100H</t>
    <phoneticPr fontId="5"/>
  </si>
  <si>
    <t>100H</t>
    <phoneticPr fontId="5"/>
  </si>
  <si>
    <t>400H</t>
    <phoneticPr fontId="5"/>
  </si>
  <si>
    <t>B-100</t>
    <phoneticPr fontId="5"/>
  </si>
  <si>
    <t>C-100</t>
    <phoneticPr fontId="5"/>
  </si>
  <si>
    <t>中学女子3ｋ</t>
    <rPh sb="0" eb="1">
      <t>チュウ</t>
    </rPh>
    <rPh sb="1" eb="2">
      <t>ガク</t>
    </rPh>
    <rPh sb="2" eb="4">
      <t>ジョシ</t>
    </rPh>
    <phoneticPr fontId="5"/>
  </si>
  <si>
    <t>4×100Ｒ</t>
  </si>
  <si>
    <t>4×100R</t>
  </si>
  <si>
    <t>リレー記録記載欄</t>
    <rPh sb="3" eb="5">
      <t>キロク</t>
    </rPh>
    <rPh sb="5" eb="7">
      <t>キサイ</t>
    </rPh>
    <rPh sb="7" eb="8">
      <t>ラン</t>
    </rPh>
    <phoneticPr fontId="5"/>
  </si>
  <si>
    <t>中学男子5ｋ</t>
    <rPh sb="0" eb="1">
      <t>チュウ</t>
    </rPh>
    <rPh sb="1" eb="2">
      <t>ガク</t>
    </rPh>
    <rPh sb="2" eb="4">
      <t>ダンシ</t>
    </rPh>
    <phoneticPr fontId="5"/>
  </si>
  <si>
    <t>コーピーして張り付ける場合は、形式を選択して貼り付けを選んで下さい</t>
    <rPh sb="6" eb="7">
      <t>ハ</t>
    </rPh>
    <rPh sb="8" eb="9">
      <t>ツ</t>
    </rPh>
    <rPh sb="11" eb="13">
      <t>バアイ</t>
    </rPh>
    <rPh sb="15" eb="17">
      <t>ケイシキ</t>
    </rPh>
    <rPh sb="18" eb="20">
      <t>センタク</t>
    </rPh>
    <rPh sb="22" eb="23">
      <t>ハ</t>
    </rPh>
    <rPh sb="24" eb="25">
      <t>ツ</t>
    </rPh>
    <rPh sb="27" eb="28">
      <t>エラ</t>
    </rPh>
    <rPh sb="30" eb="31">
      <t>クダ</t>
    </rPh>
    <phoneticPr fontId="5"/>
  </si>
  <si>
    <t>月</t>
    <rPh sb="0" eb="1">
      <t>ガツ</t>
    </rPh>
    <phoneticPr fontId="5"/>
  </si>
  <si>
    <t>日</t>
    <rPh sb="0" eb="1">
      <t>ニチ</t>
    </rPh>
    <phoneticPr fontId="5"/>
  </si>
  <si>
    <t>印</t>
    <rPh sb="0" eb="1">
      <t>イン</t>
    </rPh>
    <phoneticPr fontId="5"/>
  </si>
  <si>
    <t>4×100mＲ</t>
    <phoneticPr fontId="5"/>
  </si>
  <si>
    <t>オーダー</t>
    <phoneticPr fontId="5"/>
  </si>
  <si>
    <t>男子A</t>
    <rPh sb="0" eb="2">
      <t>ダンシ</t>
    </rPh>
    <phoneticPr fontId="5"/>
  </si>
  <si>
    <t>男子B</t>
    <rPh sb="0" eb="2">
      <t>ダンシ</t>
    </rPh>
    <phoneticPr fontId="5"/>
  </si>
  <si>
    <t>男子C</t>
    <rPh sb="0" eb="2">
      <t>ダンシ</t>
    </rPh>
    <phoneticPr fontId="5"/>
  </si>
  <si>
    <t>女子A</t>
    <rPh sb="0" eb="2">
      <t>ジョシ</t>
    </rPh>
    <phoneticPr fontId="5"/>
  </si>
  <si>
    <t>女子B</t>
    <rPh sb="0" eb="2">
      <t>ジョシ</t>
    </rPh>
    <phoneticPr fontId="5"/>
  </si>
  <si>
    <t>女子C</t>
    <rPh sb="0" eb="2">
      <t>ジョシ</t>
    </rPh>
    <phoneticPr fontId="5"/>
  </si>
  <si>
    <t>顧問連絡先</t>
    <rPh sb="0" eb="2">
      <t>コモン</t>
    </rPh>
    <rPh sb="2" eb="5">
      <t>レンラクサキ</t>
    </rPh>
    <phoneticPr fontId="5"/>
  </si>
  <si>
    <t>三重県ジュニアオリンピック</t>
    <rPh sb="0" eb="3">
      <t>ミエケン</t>
    </rPh>
    <phoneticPr fontId="5"/>
  </si>
  <si>
    <t>種目別人数</t>
    <rPh sb="0" eb="2">
      <t>シュモク</t>
    </rPh>
    <rPh sb="2" eb="3">
      <t>ベツ</t>
    </rPh>
    <rPh sb="3" eb="5">
      <t>ニンズウ</t>
    </rPh>
    <phoneticPr fontId="5"/>
  </si>
  <si>
    <t>走高跳</t>
    <rPh sb="0" eb="1">
      <t>ハシ</t>
    </rPh>
    <rPh sb="1" eb="3">
      <t>タカト</t>
    </rPh>
    <phoneticPr fontId="5"/>
  </si>
  <si>
    <t>走幅跳</t>
    <rPh sb="0" eb="1">
      <t>ハシ</t>
    </rPh>
    <rPh sb="1" eb="3">
      <t>ハバトビ</t>
    </rPh>
    <phoneticPr fontId="5"/>
  </si>
  <si>
    <t>参加標準記録</t>
    <rPh sb="0" eb="2">
      <t>サンカ</t>
    </rPh>
    <rPh sb="2" eb="4">
      <t>ヒョウジュン</t>
    </rPh>
    <rPh sb="4" eb="6">
      <t>キロク</t>
    </rPh>
    <phoneticPr fontId="5"/>
  </si>
  <si>
    <t>伊勢市</t>
    <rPh sb="0" eb="3">
      <t>イセシ</t>
    </rPh>
    <phoneticPr fontId="4"/>
  </si>
  <si>
    <t>男子A(3年）</t>
    <rPh sb="0" eb="2">
      <t>ダンシ</t>
    </rPh>
    <rPh sb="5" eb="6">
      <t>ネン</t>
    </rPh>
    <phoneticPr fontId="5"/>
  </si>
  <si>
    <t>男子B(2年）</t>
    <rPh sb="0" eb="2">
      <t>ダンシ</t>
    </rPh>
    <rPh sb="5" eb="6">
      <t>ネン</t>
    </rPh>
    <phoneticPr fontId="5"/>
  </si>
  <si>
    <t>男子C(1年）</t>
    <rPh sb="0" eb="2">
      <t>ダンシ</t>
    </rPh>
    <rPh sb="5" eb="6">
      <t>ネン</t>
    </rPh>
    <phoneticPr fontId="5"/>
  </si>
  <si>
    <t>100H</t>
    <phoneticPr fontId="5"/>
  </si>
  <si>
    <t>女子A(3年）</t>
    <rPh sb="0" eb="2">
      <t>ジョシ</t>
    </rPh>
    <rPh sb="5" eb="6">
      <t>ネン</t>
    </rPh>
    <phoneticPr fontId="5"/>
  </si>
  <si>
    <t>女子B(2年）</t>
    <rPh sb="0" eb="2">
      <t>ジョシ</t>
    </rPh>
    <rPh sb="5" eb="6">
      <t>ネン</t>
    </rPh>
    <phoneticPr fontId="5"/>
  </si>
  <si>
    <t>女子C(1年）</t>
    <rPh sb="0" eb="2">
      <t>ジョシ</t>
    </rPh>
    <rPh sb="5" eb="6">
      <t>ネン</t>
    </rPh>
    <phoneticPr fontId="5"/>
  </si>
  <si>
    <t>男</t>
    <rPh sb="0" eb="1">
      <t>オトコ</t>
    </rPh>
    <phoneticPr fontId="4"/>
  </si>
  <si>
    <t>女</t>
    <rPh sb="0" eb="1">
      <t>オンナ</t>
    </rPh>
    <phoneticPr fontId="4"/>
  </si>
  <si>
    <t>コード</t>
  </si>
  <si>
    <t>選　手</t>
    <rPh sb="0" eb="1">
      <t>セン</t>
    </rPh>
    <rPh sb="2" eb="3">
      <t>テ</t>
    </rPh>
    <phoneticPr fontId="5"/>
  </si>
  <si>
    <t>大会参加費</t>
    <rPh sb="0" eb="2">
      <t>タイカイ</t>
    </rPh>
    <rPh sb="2" eb="4">
      <t>サンカ</t>
    </rPh>
    <rPh sb="4" eb="5">
      <t>ヒ</t>
    </rPh>
    <phoneticPr fontId="5"/>
  </si>
  <si>
    <t>1種目</t>
    <rPh sb="1" eb="3">
      <t>シュモク</t>
    </rPh>
    <phoneticPr fontId="5"/>
  </si>
  <si>
    <t>2種目</t>
    <rPh sb="1" eb="3">
      <t>シュモク</t>
    </rPh>
    <phoneticPr fontId="5"/>
  </si>
  <si>
    <t>注意　大会シート上でNo及び名前が入力できないとの問合せがありますが、選手入力で入力すれば解決します。</t>
    <rPh sb="0" eb="2">
      <t>チュウイ</t>
    </rPh>
    <rPh sb="3" eb="5">
      <t>タイカイ</t>
    </rPh>
    <rPh sb="8" eb="9">
      <t>ウエ</t>
    </rPh>
    <rPh sb="12" eb="13">
      <t>オヨ</t>
    </rPh>
    <rPh sb="14" eb="16">
      <t>ナマエ</t>
    </rPh>
    <rPh sb="17" eb="19">
      <t>ニュウリョク</t>
    </rPh>
    <rPh sb="25" eb="27">
      <t>トイアワ</t>
    </rPh>
    <rPh sb="35" eb="37">
      <t>センシュ</t>
    </rPh>
    <rPh sb="37" eb="39">
      <t>ニュウリョク</t>
    </rPh>
    <rPh sb="40" eb="42">
      <t>ニュウリョク</t>
    </rPh>
    <rPh sb="45" eb="47">
      <t>カイケツ</t>
    </rPh>
    <phoneticPr fontId="5"/>
  </si>
  <si>
    <t>三重</t>
    <rPh sb="0" eb="2">
      <t>ミエ</t>
    </rPh>
    <phoneticPr fontId="4"/>
  </si>
  <si>
    <t>氏名は全て全角、姓と名の間にスペースを入れる。</t>
    <rPh sb="0" eb="2">
      <t>シメイ</t>
    </rPh>
    <rPh sb="3" eb="4">
      <t>スベ</t>
    </rPh>
    <rPh sb="5" eb="7">
      <t>ゼンカク</t>
    </rPh>
    <rPh sb="12" eb="13">
      <t>アイダ</t>
    </rPh>
    <phoneticPr fontId="5"/>
  </si>
  <si>
    <t>ﾌﾘｶﾞﾅの姓と名の間にスペースを入れる。</t>
    <rPh sb="6" eb="7">
      <t>セイ</t>
    </rPh>
    <rPh sb="8" eb="9">
      <t>ナ</t>
    </rPh>
    <rPh sb="10" eb="11">
      <t>アイダ</t>
    </rPh>
    <rPh sb="17" eb="18">
      <t>イ</t>
    </rPh>
    <phoneticPr fontId="5"/>
  </si>
  <si>
    <t>記録はリレー覧に入力して下さい。</t>
    <rPh sb="0" eb="2">
      <t>キロク</t>
    </rPh>
    <rPh sb="6" eb="7">
      <t>ラン</t>
    </rPh>
    <rPh sb="8" eb="10">
      <t>ニュウリョク</t>
    </rPh>
    <rPh sb="12" eb="13">
      <t>クダ</t>
    </rPh>
    <phoneticPr fontId="5"/>
  </si>
  <si>
    <t>　　　　記録がない場合は、シードの対象外といたします。</t>
    <rPh sb="4" eb="6">
      <t>キロク</t>
    </rPh>
    <rPh sb="9" eb="11">
      <t>バアイ</t>
    </rPh>
    <rPh sb="17" eb="20">
      <t>タイショウガイ</t>
    </rPh>
    <phoneticPr fontId="5"/>
  </si>
  <si>
    <t>資格審査後、正式受理のメールを返信いたします。1日経っても届かない場合は、お問合せ下さい。</t>
    <rPh sb="0" eb="2">
      <t>シカク</t>
    </rPh>
    <rPh sb="2" eb="4">
      <t>シンサ</t>
    </rPh>
    <rPh sb="4" eb="5">
      <t>ゴ</t>
    </rPh>
    <rPh sb="6" eb="8">
      <t>セイシキ</t>
    </rPh>
    <rPh sb="8" eb="10">
      <t>ジュリ</t>
    </rPh>
    <rPh sb="15" eb="17">
      <t>ヘンシン</t>
    </rPh>
    <rPh sb="24" eb="25">
      <t>ニチ</t>
    </rPh>
    <rPh sb="25" eb="26">
      <t>タ</t>
    </rPh>
    <rPh sb="29" eb="30">
      <t>トド</t>
    </rPh>
    <rPh sb="33" eb="35">
      <t>バアイ</t>
    </rPh>
    <rPh sb="38" eb="40">
      <t>トイアワ</t>
    </rPh>
    <rPh sb="41" eb="42">
      <t>クダ</t>
    </rPh>
    <phoneticPr fontId="5"/>
  </si>
  <si>
    <t>競技者名</t>
  </si>
  <si>
    <t>所属地</t>
    <rPh sb="0" eb="2">
      <t>ショゾク</t>
    </rPh>
    <rPh sb="2" eb="3">
      <t>チ</t>
    </rPh>
    <phoneticPr fontId="5"/>
  </si>
  <si>
    <t>4×400R</t>
    <phoneticPr fontId="5"/>
  </si>
  <si>
    <t>100H</t>
    <phoneticPr fontId="5"/>
  </si>
  <si>
    <t>110H</t>
    <phoneticPr fontId="5"/>
  </si>
  <si>
    <t>400H</t>
    <phoneticPr fontId="5"/>
  </si>
  <si>
    <t>3000SC</t>
    <phoneticPr fontId="5"/>
  </si>
  <si>
    <t>5000W</t>
    <phoneticPr fontId="5"/>
  </si>
  <si>
    <t>4×100R</t>
    <phoneticPr fontId="5"/>
  </si>
  <si>
    <t>NO</t>
    <phoneticPr fontId="5"/>
  </si>
  <si>
    <t>100H</t>
    <phoneticPr fontId="5"/>
  </si>
  <si>
    <t>110H</t>
    <phoneticPr fontId="5"/>
  </si>
  <si>
    <t>400H</t>
    <phoneticPr fontId="5"/>
  </si>
  <si>
    <t>3000SC</t>
    <phoneticPr fontId="5"/>
  </si>
  <si>
    <t>5000W</t>
    <phoneticPr fontId="5"/>
  </si>
  <si>
    <t>この大会は三重陸協が承認した者しかエントリーができません。</t>
    <rPh sb="2" eb="4">
      <t>タイカイ</t>
    </rPh>
    <rPh sb="5" eb="7">
      <t>ミエ</t>
    </rPh>
    <rPh sb="7" eb="8">
      <t>リク</t>
    </rPh>
    <rPh sb="8" eb="9">
      <t>キョウ</t>
    </rPh>
    <rPh sb="10" eb="12">
      <t>ショウニン</t>
    </rPh>
    <rPh sb="14" eb="15">
      <t>モノ</t>
    </rPh>
    <phoneticPr fontId="5"/>
  </si>
  <si>
    <r>
      <t>メニューより</t>
    </r>
    <r>
      <rPr>
        <b/>
        <u/>
        <sz val="11"/>
        <rFont val="ＭＳ Ｐゴシック"/>
        <family val="3"/>
        <charset val="128"/>
      </rPr>
      <t>選手入力ボタン</t>
    </r>
    <r>
      <rPr>
        <sz val="11"/>
        <rFont val="ＭＳ Ｐゴシック"/>
        <family val="3"/>
        <charset val="128"/>
      </rPr>
      <t>を押してください</t>
    </r>
    <rPh sb="6" eb="8">
      <t>センシュ</t>
    </rPh>
    <rPh sb="8" eb="10">
      <t>ニュウリョク</t>
    </rPh>
    <rPh sb="14" eb="15">
      <t>オ</t>
    </rPh>
    <phoneticPr fontId="5"/>
  </si>
  <si>
    <r>
      <t>値にチェックを入れ、貼り付けて下さい。</t>
    </r>
    <r>
      <rPr>
        <b/>
        <u/>
        <sz val="11"/>
        <color indexed="10"/>
        <rFont val="ＭＳ Ｐゴシック"/>
        <family val="3"/>
        <charset val="128"/>
      </rPr>
      <t>(値のみ貼り付け）</t>
    </r>
    <rPh sb="0" eb="1">
      <t>アタイ</t>
    </rPh>
    <rPh sb="7" eb="8">
      <t>イ</t>
    </rPh>
    <rPh sb="10" eb="11">
      <t>ハ</t>
    </rPh>
    <rPh sb="12" eb="13">
      <t>ツ</t>
    </rPh>
    <rPh sb="15" eb="16">
      <t>クダ</t>
    </rPh>
    <rPh sb="20" eb="21">
      <t>アタイ</t>
    </rPh>
    <rPh sb="23" eb="24">
      <t>ハ</t>
    </rPh>
    <rPh sb="25" eb="26">
      <t>ツ</t>
    </rPh>
    <phoneticPr fontId="5"/>
  </si>
  <si>
    <r>
      <t>選手全員の入力が完了したら、</t>
    </r>
    <r>
      <rPr>
        <b/>
        <u/>
        <sz val="14"/>
        <rFont val="ＭＳ Ｐゴシック"/>
        <family val="3"/>
        <charset val="128"/>
      </rPr>
      <t>メニューへ戻り</t>
    </r>
    <r>
      <rPr>
        <b/>
        <sz val="14"/>
        <rFont val="ＭＳ Ｐゴシック"/>
        <family val="3"/>
        <charset val="128"/>
      </rPr>
      <t>　</t>
    </r>
    <r>
      <rPr>
        <sz val="14"/>
        <rFont val="ＭＳ Ｐゴシック"/>
        <family val="3"/>
        <charset val="128"/>
      </rPr>
      <t>上書き保存ボタンを押して下さい。</t>
    </r>
    <rPh sb="0" eb="2">
      <t>センシュ</t>
    </rPh>
    <rPh sb="2" eb="4">
      <t>ゼンイン</t>
    </rPh>
    <rPh sb="5" eb="7">
      <t>ニュウリョク</t>
    </rPh>
    <rPh sb="8" eb="10">
      <t>カンリョウ</t>
    </rPh>
    <rPh sb="19" eb="20">
      <t>モド</t>
    </rPh>
    <rPh sb="22" eb="24">
      <t>ウワガ</t>
    </rPh>
    <rPh sb="25" eb="27">
      <t>ホゾン</t>
    </rPh>
    <rPh sb="31" eb="32">
      <t>オ</t>
    </rPh>
    <rPh sb="34" eb="35">
      <t>クダ</t>
    </rPh>
    <phoneticPr fontId="5"/>
  </si>
  <si>
    <r>
      <t>メニューより</t>
    </r>
    <r>
      <rPr>
        <b/>
        <u/>
        <sz val="11"/>
        <rFont val="ＭＳ Ｐゴシック"/>
        <family val="3"/>
        <charset val="128"/>
      </rPr>
      <t>大会申込みボタン</t>
    </r>
    <r>
      <rPr>
        <sz val="11"/>
        <rFont val="ＭＳ Ｐゴシック"/>
        <family val="3"/>
        <charset val="128"/>
      </rPr>
      <t>を押して下さい。　申込む大会ボタンを押し下記の通り入力して下さい。</t>
    </r>
    <rPh sb="6" eb="8">
      <t>タイカイ</t>
    </rPh>
    <rPh sb="8" eb="10">
      <t>モウシコ</t>
    </rPh>
    <rPh sb="15" eb="16">
      <t>オ</t>
    </rPh>
    <rPh sb="18" eb="19">
      <t>クダ</t>
    </rPh>
    <rPh sb="23" eb="25">
      <t>モウシコ</t>
    </rPh>
    <rPh sb="26" eb="28">
      <t>タイカイ</t>
    </rPh>
    <rPh sb="32" eb="33">
      <t>オ</t>
    </rPh>
    <rPh sb="34" eb="36">
      <t>カキ</t>
    </rPh>
    <rPh sb="37" eb="38">
      <t>トオ</t>
    </rPh>
    <rPh sb="39" eb="41">
      <t>ニュウリョク</t>
    </rPh>
    <rPh sb="43" eb="44">
      <t>クダ</t>
    </rPh>
    <phoneticPr fontId="5"/>
  </si>
  <si>
    <t>11.10</t>
    <phoneticPr fontId="5"/>
  </si>
  <si>
    <t>計</t>
    <rPh sb="0" eb="1">
      <t>ケイ</t>
    </rPh>
    <phoneticPr fontId="5"/>
  </si>
  <si>
    <t>参加人数</t>
    <rPh sb="0" eb="2">
      <t>サンカ</t>
    </rPh>
    <rPh sb="2" eb="4">
      <t>ニンズウ</t>
    </rPh>
    <phoneticPr fontId="5"/>
  </si>
  <si>
    <t>マクロを有効にしてファイルを開いてください。</t>
    <rPh sb="4" eb="6">
      <t>ユウコウ</t>
    </rPh>
    <rPh sb="14" eb="15">
      <t>ヒラ</t>
    </rPh>
    <phoneticPr fontId="22"/>
  </si>
  <si>
    <t>マクロを有効にするには，</t>
    <rPh sb="4" eb="6">
      <t>ユウコウ</t>
    </rPh>
    <phoneticPr fontId="22"/>
  </si>
  <si>
    <t>１）上部メニューを「ツール(T)→マクロ(M)→セキュリティ(S)」の順に開きます。</t>
    <rPh sb="2" eb="4">
      <t>ジョウブ</t>
    </rPh>
    <rPh sb="35" eb="36">
      <t>ジュン</t>
    </rPh>
    <rPh sb="37" eb="38">
      <t>ヒラ</t>
    </rPh>
    <phoneticPr fontId="22"/>
  </si>
  <si>
    <t>２）「セキュリティレベル」を「中」に設定してください。</t>
    <rPh sb="15" eb="16">
      <t>チュウ</t>
    </rPh>
    <rPh sb="18" eb="20">
      <t>セッテイ</t>
    </rPh>
    <phoneticPr fontId="22"/>
  </si>
  <si>
    <t>４）マクロを有効にするかどうか聞いてきます。ここで「マクロを有効にする」を選択します。</t>
    <rPh sb="6" eb="8">
      <t>ユウコウ</t>
    </rPh>
    <rPh sb="15" eb="16">
      <t>キ</t>
    </rPh>
    <rPh sb="30" eb="32">
      <t>ユウコウ</t>
    </rPh>
    <rPh sb="37" eb="39">
      <t>センタク</t>
    </rPh>
    <phoneticPr fontId="22"/>
  </si>
  <si>
    <t>何らかの原因でマクロが停止した場合は，いったんファイルを保存し，再度開き直してください。</t>
    <rPh sb="0" eb="1">
      <t>ナン</t>
    </rPh>
    <rPh sb="4" eb="6">
      <t>ゲンイン</t>
    </rPh>
    <rPh sb="11" eb="13">
      <t>テイシ</t>
    </rPh>
    <rPh sb="15" eb="17">
      <t>バアイ</t>
    </rPh>
    <rPh sb="28" eb="30">
      <t>ホゾン</t>
    </rPh>
    <rPh sb="32" eb="34">
      <t>サイド</t>
    </rPh>
    <rPh sb="34" eb="35">
      <t>ヒラ</t>
    </rPh>
    <rPh sb="36" eb="37">
      <t>ナオ</t>
    </rPh>
    <phoneticPr fontId="22"/>
  </si>
  <si>
    <t>メールに必ず添付して下さい。</t>
    <rPh sb="4" eb="5">
      <t>カナラ</t>
    </rPh>
    <rPh sb="6" eb="8">
      <t>テンプ</t>
    </rPh>
    <rPh sb="10" eb="11">
      <t>クダ</t>
    </rPh>
    <phoneticPr fontId="5"/>
  </si>
  <si>
    <r>
      <t>３）</t>
    </r>
    <r>
      <rPr>
        <sz val="12"/>
        <color indexed="12"/>
        <rFont val="ＭＳ 明朝"/>
        <family val="1"/>
        <charset val="128"/>
      </rPr>
      <t>EXCELをいったん終了</t>
    </r>
    <r>
      <rPr>
        <b/>
        <sz val="12"/>
        <color indexed="10"/>
        <rFont val="ＭＳ 明朝"/>
        <family val="1"/>
        <charset val="128"/>
      </rPr>
      <t>（ファイルを保存しない）</t>
    </r>
    <r>
      <rPr>
        <sz val="12"/>
        <rFont val="ＭＳ 明朝"/>
        <family val="1"/>
        <charset val="128"/>
      </rPr>
      <t>し，再度ファイルを開きます。</t>
    </r>
    <rPh sb="12" eb="14">
      <t>シュウリョウ</t>
    </rPh>
    <rPh sb="20" eb="22">
      <t>ホゾン</t>
    </rPh>
    <rPh sb="28" eb="30">
      <t>サイド</t>
    </rPh>
    <rPh sb="35" eb="36">
      <t>ヒラ</t>
    </rPh>
    <phoneticPr fontId="22"/>
  </si>
  <si>
    <t>マクロが無効になっています。</t>
    <rPh sb="4" eb="6">
      <t>ムコウ</t>
    </rPh>
    <phoneticPr fontId="22"/>
  </si>
  <si>
    <t>入力を行うには，マクロを有効にする必要があります。</t>
    <rPh sb="0" eb="2">
      <t>ニュウリョク</t>
    </rPh>
    <rPh sb="3" eb="4">
      <t>オコナ</t>
    </rPh>
    <rPh sb="12" eb="14">
      <t>ユウコウ</t>
    </rPh>
    <rPh sb="17" eb="19">
      <t>ヒツヨウ</t>
    </rPh>
    <phoneticPr fontId="22"/>
  </si>
  <si>
    <r>
      <t>このエクセルファイルが保存されている同じ場所に、大会名の添付ファイルが作成されます</t>
    </r>
    <r>
      <rPr>
        <sz val="11"/>
        <rFont val="ＭＳ Ｐゴシック"/>
        <family val="3"/>
        <charset val="128"/>
      </rPr>
      <t>。</t>
    </r>
    <rPh sb="11" eb="13">
      <t>ホゾン</t>
    </rPh>
    <rPh sb="18" eb="19">
      <t>オナ</t>
    </rPh>
    <rPh sb="20" eb="22">
      <t>バショ</t>
    </rPh>
    <rPh sb="24" eb="26">
      <t>タイカイ</t>
    </rPh>
    <rPh sb="26" eb="27">
      <t>メイ</t>
    </rPh>
    <rPh sb="28" eb="30">
      <t>テンプ</t>
    </rPh>
    <rPh sb="35" eb="37">
      <t>サクセイ</t>
    </rPh>
    <phoneticPr fontId="5"/>
  </si>
  <si>
    <t>連絡先</t>
    <rPh sb="0" eb="1">
      <t>レン</t>
    </rPh>
    <rPh sb="1" eb="2">
      <t>ラク</t>
    </rPh>
    <rPh sb="2" eb="3">
      <t>サキ</t>
    </rPh>
    <phoneticPr fontId="5"/>
  </si>
  <si>
    <t>No</t>
    <phoneticPr fontId="5"/>
  </si>
  <si>
    <t>氏名</t>
    <rPh sb="0" eb="2">
      <t>シメイ</t>
    </rPh>
    <phoneticPr fontId="5"/>
  </si>
  <si>
    <t>フリガナ</t>
    <phoneticPr fontId="5"/>
  </si>
  <si>
    <t>区間を入力して下さい</t>
    <rPh sb="0" eb="2">
      <t>クカン</t>
    </rPh>
    <rPh sb="3" eb="5">
      <t>ニュウリョク</t>
    </rPh>
    <rPh sb="7" eb="8">
      <t>クダ</t>
    </rPh>
    <phoneticPr fontId="5"/>
  </si>
  <si>
    <t>補欠は空白で構いません。</t>
    <rPh sb="0" eb="2">
      <t>ホケツ</t>
    </rPh>
    <rPh sb="3" eb="5">
      <t>クウハク</t>
    </rPh>
    <rPh sb="6" eb="7">
      <t>カマ</t>
    </rPh>
    <phoneticPr fontId="5"/>
  </si>
  <si>
    <t>Noを入力して下さい。氏名、フリガナ、学年が転記されます。</t>
    <rPh sb="3" eb="5">
      <t>ニュウリョク</t>
    </rPh>
    <rPh sb="7" eb="8">
      <t>クダ</t>
    </rPh>
    <rPh sb="11" eb="13">
      <t>シメイ</t>
    </rPh>
    <rPh sb="19" eb="21">
      <t>ガクネン</t>
    </rPh>
    <rPh sb="22" eb="24">
      <t>テンキ</t>
    </rPh>
    <phoneticPr fontId="5"/>
  </si>
  <si>
    <t>登録外の選手は直接入力して下さい。</t>
    <rPh sb="0" eb="2">
      <t>トウロク</t>
    </rPh>
    <rPh sb="2" eb="3">
      <t>ガイ</t>
    </rPh>
    <rPh sb="4" eb="6">
      <t>センシュ</t>
    </rPh>
    <rPh sb="7" eb="9">
      <t>チョクセツ</t>
    </rPh>
    <rPh sb="9" eb="11">
      <t>ニュウリョク</t>
    </rPh>
    <rPh sb="13" eb="14">
      <t>クダ</t>
    </rPh>
    <phoneticPr fontId="5"/>
  </si>
  <si>
    <t>上記、本校生徒の出場を認めます。</t>
    <rPh sb="0" eb="2">
      <t>ジョウキ</t>
    </rPh>
    <rPh sb="3" eb="5">
      <t>ホンコウ</t>
    </rPh>
    <rPh sb="5" eb="7">
      <t>セイト</t>
    </rPh>
    <rPh sb="8" eb="10">
      <t>シュツジョウ</t>
    </rPh>
    <rPh sb="11" eb="12">
      <t>ミト</t>
    </rPh>
    <phoneticPr fontId="5"/>
  </si>
  <si>
    <t>中学校</t>
    <rPh sb="0" eb="1">
      <t>チュウ</t>
    </rPh>
    <rPh sb="1" eb="3">
      <t>ガッコウ</t>
    </rPh>
    <phoneticPr fontId="5"/>
  </si>
  <si>
    <t>選手の変更はできません。走順のみ入力して下さい。</t>
    <rPh sb="0" eb="2">
      <t>センシュ</t>
    </rPh>
    <rPh sb="3" eb="5">
      <t>ヘンコウ</t>
    </rPh>
    <rPh sb="12" eb="13">
      <t>ハシ</t>
    </rPh>
    <rPh sb="13" eb="14">
      <t>ジュン</t>
    </rPh>
    <rPh sb="16" eb="18">
      <t>ニュウリョク</t>
    </rPh>
    <rPh sb="20" eb="21">
      <t>クダ</t>
    </rPh>
    <phoneticPr fontId="5"/>
  </si>
  <si>
    <t>チームN0</t>
    <phoneticPr fontId="5"/>
  </si>
  <si>
    <t>学校長氏名捺印の上、印刷し大会当日受付へ提出て下さい。</t>
    <rPh sb="0" eb="3">
      <t>ガッコウチョウ</t>
    </rPh>
    <rPh sb="3" eb="5">
      <t>シメイ</t>
    </rPh>
    <rPh sb="5" eb="7">
      <t>ナツイン</t>
    </rPh>
    <rPh sb="8" eb="9">
      <t>ウエ</t>
    </rPh>
    <rPh sb="10" eb="12">
      <t>インサツ</t>
    </rPh>
    <rPh sb="13" eb="14">
      <t>ダイ</t>
    </rPh>
    <rPh sb="14" eb="15">
      <t>カイ</t>
    </rPh>
    <rPh sb="15" eb="17">
      <t>トウジツ</t>
    </rPh>
    <rPh sb="17" eb="19">
      <t>ウケツケ</t>
    </rPh>
    <rPh sb="20" eb="22">
      <t>テイシュツ</t>
    </rPh>
    <rPh sb="23" eb="24">
      <t>クダ</t>
    </rPh>
    <phoneticPr fontId="5"/>
  </si>
  <si>
    <t>男子D</t>
    <rPh sb="0" eb="2">
      <t>ダンシ</t>
    </rPh>
    <phoneticPr fontId="5"/>
  </si>
  <si>
    <t>女子D</t>
    <rPh sb="0" eb="2">
      <t>ジョシ</t>
    </rPh>
    <phoneticPr fontId="5"/>
  </si>
  <si>
    <t>エクセル2002以前のバージョンでは動作しません。エクセル2002以降のパソコンで作業して下さい</t>
  </si>
  <si>
    <t>公認記録がない場合は記入しない</t>
  </si>
  <si>
    <t>陸上競技大会申込者一覧表</t>
    <rPh sb="0" eb="2">
      <t>リクジョウ</t>
    </rPh>
    <rPh sb="2" eb="4">
      <t>キョウギ</t>
    </rPh>
    <rPh sb="4" eb="6">
      <t>タイカイ</t>
    </rPh>
    <rPh sb="6" eb="8">
      <t>モウシコ</t>
    </rPh>
    <rPh sb="8" eb="9">
      <t>モノ</t>
    </rPh>
    <rPh sb="9" eb="11">
      <t>イチラン</t>
    </rPh>
    <rPh sb="11" eb="12">
      <t>ヒョウ</t>
    </rPh>
    <phoneticPr fontId="22"/>
  </si>
  <si>
    <t>様式③</t>
    <rPh sb="0" eb="2">
      <t>ヨウシキ</t>
    </rPh>
    <phoneticPr fontId="22"/>
  </si>
  <si>
    <t>参加料</t>
    <rPh sb="0" eb="3">
      <t>サンカリョウ</t>
    </rPh>
    <phoneticPr fontId="22"/>
  </si>
  <si>
    <t>円</t>
    <rPh sb="0" eb="1">
      <t>エン</t>
    </rPh>
    <phoneticPr fontId="22"/>
  </si>
  <si>
    <t>男子</t>
    <rPh sb="0" eb="2">
      <t>ダンシ</t>
    </rPh>
    <phoneticPr fontId="22"/>
  </si>
  <si>
    <t>※女子は別紙に記入願います。</t>
    <rPh sb="1" eb="3">
      <t>ジョシ</t>
    </rPh>
    <rPh sb="4" eb="5">
      <t>ベツ</t>
    </rPh>
    <rPh sb="5" eb="6">
      <t>カミ</t>
    </rPh>
    <rPh sb="7" eb="9">
      <t>キニュウ</t>
    </rPh>
    <rPh sb="9" eb="10">
      <t>ネガ</t>
    </rPh>
    <phoneticPr fontId="56"/>
  </si>
  <si>
    <t>所属団体名</t>
    <rPh sb="0" eb="2">
      <t>ショゾク</t>
    </rPh>
    <rPh sb="2" eb="4">
      <t>ダンタイ</t>
    </rPh>
    <rPh sb="4" eb="5">
      <t>メイ</t>
    </rPh>
    <phoneticPr fontId="56"/>
  </si>
  <si>
    <t>所属長名・印</t>
    <rPh sb="0" eb="3">
      <t>ショゾクチョウ</t>
    </rPh>
    <rPh sb="3" eb="4">
      <t>メイ</t>
    </rPh>
    <rPh sb="5" eb="6">
      <t>イン</t>
    </rPh>
    <phoneticPr fontId="56"/>
  </si>
  <si>
    <t>監督名</t>
    <rPh sb="0" eb="2">
      <t>カントク</t>
    </rPh>
    <rPh sb="2" eb="3">
      <t>メイ</t>
    </rPh>
    <phoneticPr fontId="22"/>
  </si>
  <si>
    <t>所属　　コード</t>
    <rPh sb="0" eb="2">
      <t>ショゾク</t>
    </rPh>
    <phoneticPr fontId="22"/>
  </si>
  <si>
    <t>印</t>
    <rPh sb="0" eb="1">
      <t>イン</t>
    </rPh>
    <phoneticPr fontId="56"/>
  </si>
  <si>
    <t>監督連絡</t>
    <rPh sb="0" eb="2">
      <t>カントク</t>
    </rPh>
    <rPh sb="2" eb="4">
      <t>レンラク</t>
    </rPh>
    <phoneticPr fontId="56"/>
  </si>
  <si>
    <t>FAX</t>
    <phoneticPr fontId="22"/>
  </si>
  <si>
    <t>携帯電話</t>
    <rPh sb="0" eb="2">
      <t>ケイタイ</t>
    </rPh>
    <rPh sb="2" eb="4">
      <t>デンワ</t>
    </rPh>
    <phoneticPr fontId="56"/>
  </si>
  <si>
    <t>略称５文字以内で</t>
    <rPh sb="0" eb="2">
      <t>リャクショウ</t>
    </rPh>
    <rPh sb="3" eb="5">
      <t>モジ</t>
    </rPh>
    <rPh sb="5" eb="7">
      <t>イナイ</t>
    </rPh>
    <phoneticPr fontId="22"/>
  </si>
  <si>
    <t>mailアドレス</t>
    <phoneticPr fontId="22"/>
  </si>
  <si>
    <t>NO</t>
    <phoneticPr fontId="22"/>
  </si>
  <si>
    <t>競技者名（漢字）</t>
    <rPh sb="0" eb="2">
      <t>キョウギ</t>
    </rPh>
    <rPh sb="2" eb="4">
      <t>シャメイ</t>
    </rPh>
    <rPh sb="5" eb="7">
      <t>カンジ</t>
    </rPh>
    <phoneticPr fontId="56"/>
  </si>
  <si>
    <t>学年</t>
    <rPh sb="0" eb="2">
      <t>ガクネン</t>
    </rPh>
    <phoneticPr fontId="56"/>
  </si>
  <si>
    <t>競技者名（カナ）</t>
    <rPh sb="0" eb="2">
      <t>キョウギ</t>
    </rPh>
    <rPh sb="2" eb="4">
      <t>シャメイ</t>
    </rPh>
    <phoneticPr fontId="56"/>
  </si>
  <si>
    <t>姓</t>
    <rPh sb="0" eb="1">
      <t>セイ</t>
    </rPh>
    <phoneticPr fontId="56"/>
  </si>
  <si>
    <t>種目</t>
    <rPh sb="0" eb="2">
      <t>シュモク</t>
    </rPh>
    <phoneticPr fontId="22"/>
  </si>
  <si>
    <t>リレー</t>
    <phoneticPr fontId="22"/>
  </si>
  <si>
    <t>種目１</t>
    <rPh sb="0" eb="2">
      <t>シュモク</t>
    </rPh>
    <phoneticPr fontId="22"/>
  </si>
  <si>
    <t>種目２</t>
    <rPh sb="0" eb="2">
      <t>シュモク</t>
    </rPh>
    <phoneticPr fontId="22"/>
  </si>
  <si>
    <t>※</t>
    <phoneticPr fontId="22"/>
  </si>
  <si>
    <t>記入例</t>
    <rPh sb="0" eb="2">
      <t>キニュウ</t>
    </rPh>
    <rPh sb="2" eb="3">
      <t>レイ</t>
    </rPh>
    <phoneticPr fontId="22"/>
  </si>
  <si>
    <t>三重太郎</t>
    <rPh sb="0" eb="2">
      <t>ミエ</t>
    </rPh>
    <rPh sb="2" eb="4">
      <t>タロウ</t>
    </rPh>
    <phoneticPr fontId="22"/>
  </si>
  <si>
    <t>ﾐｴﾀﾛｳ</t>
    <phoneticPr fontId="22"/>
  </si>
  <si>
    <t>男</t>
    <rPh sb="0" eb="1">
      <t>オトコ</t>
    </rPh>
    <phoneticPr fontId="22"/>
  </si>
  <si>
    <t>100ｍ</t>
    <phoneticPr fontId="22"/>
  </si>
  <si>
    <t>記録</t>
    <rPh sb="0" eb="2">
      <t>キロク</t>
    </rPh>
    <phoneticPr fontId="22"/>
  </si>
  <si>
    <t>4×100R</t>
    <phoneticPr fontId="22"/>
  </si>
  <si>
    <t>60m</t>
    <phoneticPr fontId="22"/>
  </si>
  <si>
    <t>A</t>
    <phoneticPr fontId="22"/>
  </si>
  <si>
    <t>100m</t>
    <phoneticPr fontId="22"/>
  </si>
  <si>
    <t>B</t>
    <phoneticPr fontId="22"/>
  </si>
  <si>
    <t>800m</t>
    <phoneticPr fontId="22"/>
  </si>
  <si>
    <t>C</t>
    <phoneticPr fontId="22"/>
  </si>
  <si>
    <t>1000m</t>
    <phoneticPr fontId="22"/>
  </si>
  <si>
    <t>D</t>
    <phoneticPr fontId="22"/>
  </si>
  <si>
    <t>1500m</t>
    <phoneticPr fontId="22"/>
  </si>
  <si>
    <t>E</t>
    <phoneticPr fontId="22"/>
  </si>
  <si>
    <t>80mH</t>
    <phoneticPr fontId="22"/>
  </si>
  <si>
    <t>混成A</t>
    <rPh sb="0" eb="2">
      <t>コンセイ</t>
    </rPh>
    <phoneticPr fontId="22"/>
  </si>
  <si>
    <t>走高跳</t>
    <rPh sb="0" eb="1">
      <t>ハシ</t>
    </rPh>
    <rPh sb="1" eb="3">
      <t>タカト</t>
    </rPh>
    <phoneticPr fontId="22"/>
  </si>
  <si>
    <t>混成B</t>
    <rPh sb="0" eb="2">
      <t>コンセイ</t>
    </rPh>
    <phoneticPr fontId="22"/>
  </si>
  <si>
    <t>走幅跳</t>
    <rPh sb="0" eb="1">
      <t>ハシ</t>
    </rPh>
    <rPh sb="1" eb="3">
      <t>ハバト</t>
    </rPh>
    <phoneticPr fontId="22"/>
  </si>
  <si>
    <t>混成C</t>
    <rPh sb="0" eb="2">
      <t>コンセイ</t>
    </rPh>
    <phoneticPr fontId="22"/>
  </si>
  <si>
    <t>ボール投</t>
    <rPh sb="3" eb="4">
      <t>ナ</t>
    </rPh>
    <phoneticPr fontId="22"/>
  </si>
  <si>
    <t>混成D</t>
    <rPh sb="0" eb="2">
      <t>コンセイ</t>
    </rPh>
    <phoneticPr fontId="22"/>
  </si>
  <si>
    <t>混成E</t>
    <rPh sb="0" eb="2">
      <t>コンセイ</t>
    </rPh>
    <phoneticPr fontId="22"/>
  </si>
  <si>
    <t>三重陸上競技協会</t>
    <rPh sb="0" eb="2">
      <t>ミエ</t>
    </rPh>
    <rPh sb="2" eb="4">
      <t>リクジョウ</t>
    </rPh>
    <rPh sb="4" eb="6">
      <t>キョウギ</t>
    </rPh>
    <rPh sb="6" eb="8">
      <t>キョウカイ</t>
    </rPh>
    <phoneticPr fontId="22"/>
  </si>
  <si>
    <t>A</t>
  </si>
  <si>
    <t>B</t>
  </si>
  <si>
    <t>C</t>
  </si>
  <si>
    <t>D</t>
  </si>
  <si>
    <t>E</t>
  </si>
  <si>
    <t>様式⑤</t>
    <rPh sb="0" eb="2">
      <t>ヨウシキ</t>
    </rPh>
    <phoneticPr fontId="22"/>
  </si>
  <si>
    <t>男　子　個　　票　(1～25人）</t>
    <rPh sb="0" eb="1">
      <t>オトコ</t>
    </rPh>
    <rPh sb="2" eb="3">
      <t>コ</t>
    </rPh>
    <rPh sb="4" eb="5">
      <t>コ</t>
    </rPh>
    <rPh sb="7" eb="8">
      <t>ヒョウ</t>
    </rPh>
    <rPh sb="14" eb="15">
      <t>ニン</t>
    </rPh>
    <phoneticPr fontId="22"/>
  </si>
  <si>
    <t>1種目目</t>
    <rPh sb="1" eb="2">
      <t>シュ</t>
    </rPh>
    <rPh sb="2" eb="3">
      <t>メ</t>
    </rPh>
    <rPh sb="3" eb="4">
      <t>メ</t>
    </rPh>
    <phoneticPr fontId="22"/>
  </si>
  <si>
    <t>2種目目</t>
    <rPh sb="1" eb="3">
      <t>シュモク</t>
    </rPh>
    <rPh sb="3" eb="4">
      <t>メ</t>
    </rPh>
    <phoneticPr fontId="22"/>
  </si>
  <si>
    <t>性</t>
    <rPh sb="0" eb="1">
      <t>セイ</t>
    </rPh>
    <phoneticPr fontId="22"/>
  </si>
  <si>
    <t>ゼッケン</t>
    <phoneticPr fontId="22"/>
  </si>
  <si>
    <t>氏名</t>
    <rPh sb="0" eb="2">
      <t>シメイ</t>
    </rPh>
    <phoneticPr fontId="22"/>
  </si>
  <si>
    <t>学年</t>
    <rPh sb="0" eb="2">
      <t>ガクネン</t>
    </rPh>
    <phoneticPr fontId="22"/>
  </si>
  <si>
    <t>所属</t>
    <rPh sb="0" eb="2">
      <t>ショゾク</t>
    </rPh>
    <phoneticPr fontId="22"/>
  </si>
  <si>
    <t>男　子　個　　票　(26～50人）</t>
    <rPh sb="0" eb="1">
      <t>オトコ</t>
    </rPh>
    <rPh sb="2" eb="3">
      <t>コ</t>
    </rPh>
    <rPh sb="4" eb="5">
      <t>コ</t>
    </rPh>
    <rPh sb="7" eb="8">
      <t>ヒョウ</t>
    </rPh>
    <rPh sb="15" eb="16">
      <t>ニン</t>
    </rPh>
    <phoneticPr fontId="22"/>
  </si>
  <si>
    <t>リレー個票</t>
    <rPh sb="3" eb="4">
      <t>コ</t>
    </rPh>
    <rPh sb="4" eb="5">
      <t>ヒョウ</t>
    </rPh>
    <phoneticPr fontId="22"/>
  </si>
  <si>
    <t>B</t>
    <phoneticPr fontId="22"/>
  </si>
  <si>
    <t>ゼッケン</t>
    <phoneticPr fontId="22"/>
  </si>
  <si>
    <t>氏　　名</t>
    <rPh sb="0" eb="1">
      <t>シ</t>
    </rPh>
    <rPh sb="3" eb="4">
      <t>メイ</t>
    </rPh>
    <phoneticPr fontId="22"/>
  </si>
  <si>
    <t>C</t>
    <phoneticPr fontId="22"/>
  </si>
  <si>
    <t>ゼッケン</t>
    <phoneticPr fontId="22"/>
  </si>
  <si>
    <t>様式④</t>
    <rPh sb="0" eb="2">
      <t>ヨウシキ</t>
    </rPh>
    <phoneticPr fontId="22"/>
  </si>
  <si>
    <t>女子</t>
    <rPh sb="0" eb="2">
      <t>ジョシ</t>
    </rPh>
    <phoneticPr fontId="22"/>
  </si>
  <si>
    <t>※男子は別紙に記入願います。</t>
    <rPh sb="1" eb="3">
      <t>ダンシ</t>
    </rPh>
    <rPh sb="4" eb="5">
      <t>ベツ</t>
    </rPh>
    <rPh sb="5" eb="6">
      <t>カミ</t>
    </rPh>
    <rPh sb="7" eb="9">
      <t>キニュウ</t>
    </rPh>
    <rPh sb="9" eb="10">
      <t>ネガ</t>
    </rPh>
    <phoneticPr fontId="56"/>
  </si>
  <si>
    <t>リレー</t>
    <phoneticPr fontId="22"/>
  </si>
  <si>
    <t>100ｍ</t>
    <phoneticPr fontId="22"/>
  </si>
  <si>
    <t>80mH</t>
    <phoneticPr fontId="22"/>
  </si>
  <si>
    <t>リレー</t>
    <phoneticPr fontId="22"/>
  </si>
  <si>
    <t>女　子　個　　票　(1～25人）</t>
    <rPh sb="0" eb="1">
      <t>オンナ</t>
    </rPh>
    <rPh sb="2" eb="3">
      <t>コ</t>
    </rPh>
    <rPh sb="4" eb="5">
      <t>コ</t>
    </rPh>
    <rPh sb="7" eb="8">
      <t>ヒョウ</t>
    </rPh>
    <rPh sb="14" eb="15">
      <t>ニン</t>
    </rPh>
    <phoneticPr fontId="22"/>
  </si>
  <si>
    <t>女</t>
    <phoneticPr fontId="22"/>
  </si>
  <si>
    <t>女　子　個　　票　(26～50人）</t>
    <rPh sb="2" eb="3">
      <t>コ</t>
    </rPh>
    <rPh sb="4" eb="5">
      <t>コ</t>
    </rPh>
    <rPh sb="7" eb="8">
      <t>ヒョウ</t>
    </rPh>
    <rPh sb="15" eb="16">
      <t>ニン</t>
    </rPh>
    <phoneticPr fontId="22"/>
  </si>
  <si>
    <t>B</t>
    <phoneticPr fontId="22"/>
  </si>
  <si>
    <t>ゼッケン</t>
    <phoneticPr fontId="22"/>
  </si>
  <si>
    <t>C</t>
    <phoneticPr fontId="22"/>
  </si>
  <si>
    <t>中学生</t>
    <rPh sb="0" eb="3">
      <t>チュウガクセイ</t>
    </rPh>
    <phoneticPr fontId="22"/>
  </si>
  <si>
    <t>1年</t>
    <rPh sb="1" eb="2">
      <t>ネン</t>
    </rPh>
    <phoneticPr fontId="22"/>
  </si>
  <si>
    <t>2年</t>
    <rPh sb="1" eb="2">
      <t>ネン</t>
    </rPh>
    <phoneticPr fontId="22"/>
  </si>
  <si>
    <t>3年</t>
    <rPh sb="1" eb="2">
      <t>ネン</t>
    </rPh>
    <phoneticPr fontId="22"/>
  </si>
  <si>
    <t>共通</t>
    <rPh sb="0" eb="2">
      <t>キョウツウ</t>
    </rPh>
    <phoneticPr fontId="22"/>
  </si>
  <si>
    <t>100m</t>
    <phoneticPr fontId="22"/>
  </si>
  <si>
    <t>200m</t>
    <phoneticPr fontId="22"/>
  </si>
  <si>
    <t>800m</t>
    <phoneticPr fontId="22"/>
  </si>
  <si>
    <t>1500m</t>
    <phoneticPr fontId="22"/>
  </si>
  <si>
    <t>2000m</t>
    <phoneticPr fontId="22"/>
  </si>
  <si>
    <t>3000m</t>
    <phoneticPr fontId="22"/>
  </si>
  <si>
    <t>5000m</t>
    <phoneticPr fontId="22"/>
  </si>
  <si>
    <t>110mJH</t>
    <phoneticPr fontId="22"/>
  </si>
  <si>
    <t>110mMH</t>
    <phoneticPr fontId="22"/>
  </si>
  <si>
    <t>100mH</t>
    <phoneticPr fontId="22"/>
  </si>
  <si>
    <t>棒高跳</t>
    <rPh sb="0" eb="3">
      <t>ボウタカト</t>
    </rPh>
    <phoneticPr fontId="22"/>
  </si>
  <si>
    <t>三段跳</t>
    <rPh sb="0" eb="3">
      <t>サンダント</t>
    </rPh>
    <phoneticPr fontId="22"/>
  </si>
  <si>
    <t>砲丸投</t>
    <rPh sb="0" eb="2">
      <t>ホウガン</t>
    </rPh>
    <rPh sb="2" eb="3">
      <t>ナ</t>
    </rPh>
    <phoneticPr fontId="22"/>
  </si>
  <si>
    <t>円盤投</t>
    <rPh sb="0" eb="2">
      <t>エンバン</t>
    </rPh>
    <rPh sb="2" eb="3">
      <t>ナ</t>
    </rPh>
    <phoneticPr fontId="22"/>
  </si>
  <si>
    <t>ｼﾞｬﾍﾞﾘｯｸ</t>
    <phoneticPr fontId="22"/>
  </si>
  <si>
    <t>中学</t>
    <rPh sb="0" eb="2">
      <t>チュウガク</t>
    </rPh>
    <phoneticPr fontId="22"/>
  </si>
  <si>
    <t>400R　A</t>
    <phoneticPr fontId="22"/>
  </si>
  <si>
    <t>400R　B</t>
    <phoneticPr fontId="22"/>
  </si>
  <si>
    <t>400R　C</t>
    <phoneticPr fontId="22"/>
  </si>
  <si>
    <t>400R　D</t>
    <phoneticPr fontId="22"/>
  </si>
  <si>
    <t>800R　A</t>
    <phoneticPr fontId="22"/>
  </si>
  <si>
    <t>800R　B</t>
    <phoneticPr fontId="22"/>
  </si>
  <si>
    <t>800R　C</t>
    <phoneticPr fontId="22"/>
  </si>
  <si>
    <t>800R　D</t>
    <phoneticPr fontId="22"/>
  </si>
  <si>
    <t>低学年　A</t>
    <rPh sb="0" eb="3">
      <t>テイガクネン</t>
    </rPh>
    <phoneticPr fontId="22"/>
  </si>
  <si>
    <t>低学年　B</t>
    <rPh sb="0" eb="3">
      <t>テイガクネン</t>
    </rPh>
    <phoneticPr fontId="22"/>
  </si>
  <si>
    <t>低学年　C</t>
    <rPh sb="0" eb="3">
      <t>テイガクネン</t>
    </rPh>
    <phoneticPr fontId="22"/>
  </si>
  <si>
    <t>低学年　D</t>
    <rPh sb="0" eb="3">
      <t>テイガクネン</t>
    </rPh>
    <phoneticPr fontId="22"/>
  </si>
  <si>
    <t>4×100R</t>
    <phoneticPr fontId="22"/>
  </si>
  <si>
    <t>4×200R</t>
    <phoneticPr fontId="22"/>
  </si>
  <si>
    <t>低学年400R</t>
    <rPh sb="0" eb="3">
      <t>テイガクネン</t>
    </rPh>
    <phoneticPr fontId="22"/>
  </si>
  <si>
    <t>女</t>
    <rPh sb="0" eb="1">
      <t>オンナ</t>
    </rPh>
    <phoneticPr fontId="22"/>
  </si>
  <si>
    <t>三重一子</t>
    <rPh sb="0" eb="2">
      <t>ミエ</t>
    </rPh>
    <rPh sb="2" eb="4">
      <t>イッシ</t>
    </rPh>
    <phoneticPr fontId="22"/>
  </si>
  <si>
    <t>NO</t>
    <phoneticPr fontId="22"/>
  </si>
  <si>
    <t>400m</t>
    <phoneticPr fontId="22"/>
  </si>
  <si>
    <t>4種競技</t>
    <rPh sb="1" eb="2">
      <t>シュ</t>
    </rPh>
    <rPh sb="2" eb="4">
      <t>キョウギ</t>
    </rPh>
    <phoneticPr fontId="22"/>
  </si>
  <si>
    <t>mousikomi★mierk.jp</t>
    <phoneticPr fontId="5"/>
  </si>
  <si>
    <t>このファイルをまるごと送ることはやめて下さい。ファイルが大きすぎます。</t>
    <rPh sb="11" eb="12">
      <t>オク</t>
    </rPh>
    <rPh sb="19" eb="20">
      <t>クダ</t>
    </rPh>
    <rPh sb="28" eb="29">
      <t>オオ</t>
    </rPh>
    <phoneticPr fontId="5"/>
  </si>
  <si>
    <t>所属名</t>
    <rPh sb="0" eb="2">
      <t>ショゾク</t>
    </rPh>
    <rPh sb="2" eb="3">
      <t>メイ</t>
    </rPh>
    <phoneticPr fontId="5"/>
  </si>
  <si>
    <t>男子5k</t>
    <rPh sb="0" eb="2">
      <t>ダンシ</t>
    </rPh>
    <phoneticPr fontId="5"/>
  </si>
  <si>
    <t>女子3k</t>
    <rPh sb="0" eb="2">
      <t>ジョシ</t>
    </rPh>
    <phoneticPr fontId="5"/>
  </si>
  <si>
    <t>13.10</t>
    <phoneticPr fontId="5"/>
  </si>
  <si>
    <t>ｼﾞｬﾍﾞﾘｯｸ</t>
    <phoneticPr fontId="5"/>
  </si>
  <si>
    <t>40m00</t>
    <phoneticPr fontId="5"/>
  </si>
  <si>
    <t>13.70</t>
    <phoneticPr fontId="5"/>
  </si>
  <si>
    <t>9.50.00</t>
    <phoneticPr fontId="5"/>
  </si>
  <si>
    <t>110JH</t>
    <phoneticPr fontId="5"/>
  </si>
  <si>
    <t>110JH</t>
    <phoneticPr fontId="5"/>
  </si>
  <si>
    <t>11.20.00</t>
    <phoneticPr fontId="5"/>
  </si>
  <si>
    <t>100H</t>
    <phoneticPr fontId="5"/>
  </si>
  <si>
    <t>ｼﾞｬﾍﾞﾘｯｸ</t>
    <phoneticPr fontId="5"/>
  </si>
  <si>
    <t>100H</t>
    <phoneticPr fontId="5"/>
  </si>
  <si>
    <t>5.10.00</t>
    <phoneticPr fontId="5"/>
  </si>
  <si>
    <t>4m30</t>
    <phoneticPr fontId="5"/>
  </si>
  <si>
    <t>D</t>
    <phoneticPr fontId="22"/>
  </si>
  <si>
    <t>E</t>
    <phoneticPr fontId="22"/>
  </si>
  <si>
    <t>D</t>
    <phoneticPr fontId="22"/>
  </si>
  <si>
    <t>E</t>
    <phoneticPr fontId="22"/>
  </si>
  <si>
    <t>女</t>
    <phoneticPr fontId="22"/>
  </si>
  <si>
    <t>女</t>
    <phoneticPr fontId="22"/>
  </si>
  <si>
    <t>女</t>
    <phoneticPr fontId="22"/>
  </si>
  <si>
    <t>女</t>
    <phoneticPr fontId="22"/>
  </si>
  <si>
    <t>女</t>
    <phoneticPr fontId="22"/>
  </si>
  <si>
    <t>女</t>
    <phoneticPr fontId="22"/>
  </si>
  <si>
    <t>責任者</t>
    <rPh sb="0" eb="3">
      <t>セキニンシャ</t>
    </rPh>
    <phoneticPr fontId="22"/>
  </si>
  <si>
    <t>連絡先</t>
    <rPh sb="0" eb="3">
      <t>レンラクサキ</t>
    </rPh>
    <phoneticPr fontId="22"/>
  </si>
  <si>
    <t>種目別参加数</t>
    <rPh sb="0" eb="2">
      <t>シュモク</t>
    </rPh>
    <rPh sb="2" eb="3">
      <t>ベツ</t>
    </rPh>
    <rPh sb="3" eb="5">
      <t>サンカ</t>
    </rPh>
    <rPh sb="5" eb="6">
      <t>カズ</t>
    </rPh>
    <phoneticPr fontId="5"/>
  </si>
  <si>
    <t>参加費合計</t>
    <rPh sb="0" eb="3">
      <t>サンカヒ</t>
    </rPh>
    <rPh sb="3" eb="5">
      <t>ゴウケイ</t>
    </rPh>
    <phoneticPr fontId="22"/>
  </si>
  <si>
    <t>リレー</t>
    <phoneticPr fontId="22"/>
  </si>
  <si>
    <t>申し込み用紙</t>
  </si>
  <si>
    <t>オーダー用紙</t>
  </si>
  <si>
    <t>参加費</t>
    <rPh sb="0" eb="3">
      <t>サンカヒ</t>
    </rPh>
    <phoneticPr fontId="5"/>
  </si>
  <si>
    <t>少年B100YH</t>
    <rPh sb="0" eb="2">
      <t>ショウネン</t>
    </rPh>
    <phoneticPr fontId="5"/>
  </si>
  <si>
    <t>100m</t>
    <phoneticPr fontId="22"/>
  </si>
  <si>
    <t>400R　A</t>
    <phoneticPr fontId="22"/>
  </si>
  <si>
    <t>200m</t>
    <phoneticPr fontId="22"/>
  </si>
  <si>
    <t>400R　B</t>
    <phoneticPr fontId="22"/>
  </si>
  <si>
    <t>800m</t>
    <phoneticPr fontId="22"/>
  </si>
  <si>
    <t>400R　C</t>
    <phoneticPr fontId="22"/>
  </si>
  <si>
    <t>1500m</t>
    <phoneticPr fontId="22"/>
  </si>
  <si>
    <t>400R　D</t>
    <phoneticPr fontId="22"/>
  </si>
  <si>
    <t>2000m</t>
    <phoneticPr fontId="22"/>
  </si>
  <si>
    <t>3000m</t>
    <phoneticPr fontId="22"/>
  </si>
  <si>
    <t>100mYH</t>
    <phoneticPr fontId="22"/>
  </si>
  <si>
    <t>100mJH</t>
    <phoneticPr fontId="22"/>
  </si>
  <si>
    <t>100mH</t>
    <phoneticPr fontId="22"/>
  </si>
  <si>
    <t>ｼﾞｬﾍﾞﾘｯｸ</t>
    <phoneticPr fontId="22"/>
  </si>
  <si>
    <t>No</t>
    <phoneticPr fontId="5"/>
  </si>
  <si>
    <t>フリガナ</t>
    <phoneticPr fontId="5"/>
  </si>
  <si>
    <t>No</t>
    <phoneticPr fontId="5"/>
  </si>
  <si>
    <t>チームN0</t>
    <phoneticPr fontId="5"/>
  </si>
  <si>
    <t>No</t>
    <phoneticPr fontId="5"/>
  </si>
  <si>
    <t>①参加料が必要な大会は振込証明（振込票の写し）を様式⑨に貼付の上、送付のこと。</t>
    <rPh sb="1" eb="3">
      <t>サンカ</t>
    </rPh>
    <rPh sb="3" eb="4">
      <t>リョウ</t>
    </rPh>
    <rPh sb="5" eb="7">
      <t>ヒツヨウ</t>
    </rPh>
    <rPh sb="8" eb="10">
      <t>タイカイ</t>
    </rPh>
    <rPh sb="11" eb="13">
      <t>フリコ</t>
    </rPh>
    <rPh sb="13" eb="15">
      <t>ショウメイ</t>
    </rPh>
    <rPh sb="16" eb="18">
      <t>フリコ</t>
    </rPh>
    <rPh sb="18" eb="19">
      <t>ヒョウ</t>
    </rPh>
    <rPh sb="20" eb="21">
      <t>ウツ</t>
    </rPh>
    <rPh sb="24" eb="26">
      <t>ヨウシキ</t>
    </rPh>
    <rPh sb="28" eb="30">
      <t>ハリツケ</t>
    </rPh>
    <rPh sb="31" eb="32">
      <t>ウエ</t>
    </rPh>
    <rPh sb="33" eb="35">
      <t>ソウフ</t>
    </rPh>
    <phoneticPr fontId="5"/>
  </si>
  <si>
    <t>　 期日までに振込み及び送金がない場合は出場を認めない。</t>
    <rPh sb="10" eb="11">
      <t>オヨ</t>
    </rPh>
    <rPh sb="12" eb="14">
      <t>ソウキン</t>
    </rPh>
    <phoneticPr fontId="5"/>
  </si>
  <si>
    <r>
      <t>②</t>
    </r>
    <r>
      <rPr>
        <u/>
        <sz val="11"/>
        <color indexed="10"/>
        <rFont val="ＭＳ Ｐゴシック"/>
        <family val="3"/>
        <charset val="128"/>
      </rPr>
      <t>申込後の選手変更・種目変更は一切受付けない</t>
    </r>
    <r>
      <rPr>
        <sz val="11"/>
        <rFont val="ＭＳ Ｐゴシック"/>
        <family val="3"/>
        <charset val="128"/>
      </rPr>
      <t>ので、よく確認の上申し込むこと。</t>
    </r>
    <rPh sb="1" eb="3">
      <t>モウシコミ</t>
    </rPh>
    <rPh sb="3" eb="4">
      <t>ゴ</t>
    </rPh>
    <rPh sb="5" eb="7">
      <t>センシュ</t>
    </rPh>
    <rPh sb="7" eb="9">
      <t>ヘンコウ</t>
    </rPh>
    <rPh sb="10" eb="12">
      <t>シュモク</t>
    </rPh>
    <rPh sb="12" eb="14">
      <t>ヘンコウ</t>
    </rPh>
    <rPh sb="15" eb="17">
      <t>イッサイ</t>
    </rPh>
    <rPh sb="17" eb="19">
      <t>ウケツ</t>
    </rPh>
    <rPh sb="27" eb="29">
      <t>カクニン</t>
    </rPh>
    <rPh sb="30" eb="31">
      <t>ウエ</t>
    </rPh>
    <rPh sb="31" eb="32">
      <t>モウ</t>
    </rPh>
    <rPh sb="33" eb="34">
      <t>コ</t>
    </rPh>
    <phoneticPr fontId="5"/>
  </si>
  <si>
    <t>③振込人の名称は所属名を記載のこと。(個人名は間違いのもとになります。)</t>
    <rPh sb="1" eb="3">
      <t>フリコ</t>
    </rPh>
    <rPh sb="3" eb="4">
      <t>ニン</t>
    </rPh>
    <rPh sb="5" eb="7">
      <t>メイショウ</t>
    </rPh>
    <rPh sb="8" eb="10">
      <t>ショゾク</t>
    </rPh>
    <rPh sb="10" eb="11">
      <t>メイ</t>
    </rPh>
    <rPh sb="12" eb="14">
      <t>キサイ</t>
    </rPh>
    <rPh sb="19" eb="22">
      <t>コジンメイ</t>
    </rPh>
    <rPh sb="23" eb="25">
      <t>マチガ</t>
    </rPh>
    <phoneticPr fontId="5"/>
  </si>
  <si>
    <t>④極端に早い振込みも間違いのもとになるので配慮のこと。</t>
    <rPh sb="1" eb="3">
      <t>キョクタン</t>
    </rPh>
    <rPh sb="4" eb="5">
      <t>ハヤ</t>
    </rPh>
    <rPh sb="6" eb="8">
      <t>フリコ</t>
    </rPh>
    <rPh sb="10" eb="12">
      <t>マチガ</t>
    </rPh>
    <rPh sb="21" eb="23">
      <t>ハイリョ</t>
    </rPh>
    <phoneticPr fontId="5"/>
  </si>
  <si>
    <t>⑤学校長の認知書は大会当日受付で係員に渡すこと。。</t>
    <rPh sb="1" eb="4">
      <t>ガッコウチョウ</t>
    </rPh>
    <rPh sb="5" eb="7">
      <t>ニンチ</t>
    </rPh>
    <rPh sb="7" eb="8">
      <t>カ</t>
    </rPh>
    <rPh sb="9" eb="11">
      <t>タイカイ</t>
    </rPh>
    <rPh sb="11" eb="13">
      <t>トウジツ</t>
    </rPh>
    <rPh sb="13" eb="15">
      <t>ウケツケ</t>
    </rPh>
    <rPh sb="16" eb="18">
      <t>カカリイン</t>
    </rPh>
    <rPh sb="19" eb="20">
      <t>ワタ</t>
    </rPh>
    <phoneticPr fontId="5"/>
  </si>
  <si>
    <t>競技時間等は大会1週間前にホームページに掲載するので通知はしない。</t>
    <rPh sb="0" eb="2">
      <t>キョウギ</t>
    </rPh>
    <rPh sb="2" eb="4">
      <t>ジカン</t>
    </rPh>
    <rPh sb="4" eb="5">
      <t>ナド</t>
    </rPh>
    <rPh sb="6" eb="8">
      <t>タイカイ</t>
    </rPh>
    <rPh sb="9" eb="11">
      <t>シュウカン</t>
    </rPh>
    <rPh sb="11" eb="12">
      <t>マエ</t>
    </rPh>
    <rPh sb="20" eb="22">
      <t>ケイサイ</t>
    </rPh>
    <rPh sb="26" eb="28">
      <t>ツウチ</t>
    </rPh>
    <phoneticPr fontId="5"/>
  </si>
  <si>
    <t>大会参加費は一覧表上部に記載されるので、確認の上振り込むこと。</t>
    <rPh sb="0" eb="2">
      <t>タイカイ</t>
    </rPh>
    <rPh sb="2" eb="5">
      <t>サンカヒ</t>
    </rPh>
    <rPh sb="6" eb="8">
      <t>イチラン</t>
    </rPh>
    <rPh sb="8" eb="9">
      <t>ヒョウ</t>
    </rPh>
    <rPh sb="9" eb="11">
      <t>ジョウブ</t>
    </rPh>
    <rPh sb="12" eb="14">
      <t>キサイ</t>
    </rPh>
    <rPh sb="20" eb="22">
      <t>カクニン</t>
    </rPh>
    <rPh sb="23" eb="24">
      <t>ウエ</t>
    </rPh>
    <rPh sb="24" eb="25">
      <t>フ</t>
    </rPh>
    <rPh sb="26" eb="27">
      <t>コ</t>
    </rPh>
    <phoneticPr fontId="5"/>
  </si>
  <si>
    <t>申込みにNoが記入されていない場合は受理できません。</t>
    <rPh sb="0" eb="2">
      <t>モウシコ</t>
    </rPh>
    <rPh sb="7" eb="9">
      <t>キニュウ</t>
    </rPh>
    <rPh sb="15" eb="17">
      <t>バアイ</t>
    </rPh>
    <rPh sb="18" eb="20">
      <t>ジュリ</t>
    </rPh>
    <phoneticPr fontId="5"/>
  </si>
  <si>
    <t>中体連より割り振られたNOと選手詳細を入力して下さい。</t>
    <rPh sb="0" eb="1">
      <t>チュウ</t>
    </rPh>
    <rPh sb="1" eb="2">
      <t>カラダ</t>
    </rPh>
    <rPh sb="2" eb="3">
      <t>レン</t>
    </rPh>
    <rPh sb="5" eb="6">
      <t>ワ</t>
    </rPh>
    <rPh sb="7" eb="8">
      <t>フ</t>
    </rPh>
    <rPh sb="14" eb="16">
      <t>センシュ</t>
    </rPh>
    <rPh sb="16" eb="18">
      <t>ショウサイ</t>
    </rPh>
    <rPh sb="19" eb="21">
      <t>ニュウリョク</t>
    </rPh>
    <rPh sb="23" eb="24">
      <t>クダ</t>
    </rPh>
    <phoneticPr fontId="5"/>
  </si>
  <si>
    <t>40m00</t>
    <phoneticPr fontId="5"/>
  </si>
  <si>
    <t>エクセル２００２以前のバージョンではこのファイルは利用できない。</t>
    <rPh sb="8" eb="10">
      <t>イゼン</t>
    </rPh>
    <rPh sb="25" eb="27">
      <t>リヨウ</t>
    </rPh>
    <phoneticPr fontId="5"/>
  </si>
  <si>
    <r>
      <t>　</t>
    </r>
    <r>
      <rPr>
        <u/>
        <sz val="11"/>
        <color indexed="10"/>
        <rFont val="ＭＳ Ｐゴシック"/>
        <family val="3"/>
        <charset val="128"/>
      </rPr>
      <t>大会により参加費送付先が中体連と三重陸協に分かれますので、要項を熟読のこと。</t>
    </r>
    <rPh sb="1" eb="3">
      <t>タイカイ</t>
    </rPh>
    <rPh sb="6" eb="9">
      <t>サンカヒ</t>
    </rPh>
    <rPh sb="9" eb="11">
      <t>ソウフ</t>
    </rPh>
    <rPh sb="11" eb="12">
      <t>サキ</t>
    </rPh>
    <rPh sb="13" eb="14">
      <t>チュウ</t>
    </rPh>
    <rPh sb="14" eb="15">
      <t>カラダ</t>
    </rPh>
    <rPh sb="15" eb="16">
      <t>レン</t>
    </rPh>
    <rPh sb="17" eb="19">
      <t>ミエ</t>
    </rPh>
    <rPh sb="19" eb="21">
      <t>リクキョウ</t>
    </rPh>
    <rPh sb="22" eb="23">
      <t>ワ</t>
    </rPh>
    <rPh sb="30" eb="32">
      <t>ヨウコウ</t>
    </rPh>
    <rPh sb="33" eb="35">
      <t>ジュクドク</t>
    </rPh>
    <phoneticPr fontId="5"/>
  </si>
  <si>
    <t>⑥Noがない選手（未登録選手）は中体連よりNoを割り当ててもらうこと。</t>
    <rPh sb="6" eb="8">
      <t>センシュ</t>
    </rPh>
    <rPh sb="9" eb="12">
      <t>ミトウロク</t>
    </rPh>
    <rPh sb="12" eb="14">
      <t>センシュ</t>
    </rPh>
    <rPh sb="16" eb="19">
      <t>チュウタイレン</t>
    </rPh>
    <rPh sb="24" eb="25">
      <t>ワ</t>
    </rPh>
    <rPh sb="26" eb="27">
      <t>ア</t>
    </rPh>
    <phoneticPr fontId="5"/>
  </si>
  <si>
    <t>　登録連絡先は　cyutairen★mierk.jp　</t>
    <rPh sb="1" eb="3">
      <t>トウロク</t>
    </rPh>
    <rPh sb="3" eb="6">
      <t>レンラクサキ</t>
    </rPh>
    <phoneticPr fontId="5"/>
  </si>
  <si>
    <t>①選抜大会はメールでの受付けはしない。</t>
    <rPh sb="1" eb="3">
      <t>センバツ</t>
    </rPh>
    <rPh sb="3" eb="5">
      <t>タイカイ</t>
    </rPh>
    <rPh sb="11" eb="13">
      <t>ウケツ</t>
    </rPh>
    <phoneticPr fontId="5"/>
  </si>
  <si>
    <t>　 大会要項巻末の様式③④と個票⑤に記入の上、通信大会当日までに申し込むこと。</t>
    <rPh sb="2" eb="4">
      <t>タイカイ</t>
    </rPh>
    <rPh sb="4" eb="6">
      <t>ヨウコウ</t>
    </rPh>
    <rPh sb="6" eb="8">
      <t>カンマツ</t>
    </rPh>
    <rPh sb="9" eb="11">
      <t>ヨウシキ</t>
    </rPh>
    <rPh sb="14" eb="16">
      <t>コヒョウ</t>
    </rPh>
    <rPh sb="18" eb="20">
      <t>キニュウ</t>
    </rPh>
    <rPh sb="21" eb="22">
      <t>ウエ</t>
    </rPh>
    <rPh sb="23" eb="25">
      <t>ツウシン</t>
    </rPh>
    <rPh sb="25" eb="27">
      <t>タイカイ</t>
    </rPh>
    <rPh sb="27" eb="29">
      <t>トウジツ</t>
    </rPh>
    <rPh sb="32" eb="33">
      <t>モウ</t>
    </rPh>
    <rPh sb="34" eb="35">
      <t>コ</t>
    </rPh>
    <phoneticPr fontId="5"/>
  </si>
  <si>
    <t>出場認知書は学校長捺印の上、試合当日受付で渡すこと。</t>
    <rPh sb="0" eb="2">
      <t>シュツジョウ</t>
    </rPh>
    <rPh sb="2" eb="4">
      <t>ニンチ</t>
    </rPh>
    <rPh sb="4" eb="5">
      <t>ショ</t>
    </rPh>
    <rPh sb="6" eb="9">
      <t>ガッコウチョウ</t>
    </rPh>
    <rPh sb="9" eb="11">
      <t>ナツイン</t>
    </rPh>
    <rPh sb="12" eb="13">
      <t>ウエ</t>
    </rPh>
    <rPh sb="14" eb="16">
      <t>シアイ</t>
    </rPh>
    <rPh sb="16" eb="18">
      <t>トウジツ</t>
    </rPh>
    <rPh sb="18" eb="20">
      <t>ウケツケ</t>
    </rPh>
    <rPh sb="21" eb="22">
      <t>ワタ</t>
    </rPh>
    <phoneticPr fontId="5"/>
  </si>
  <si>
    <t>性別</t>
    <rPh sb="0" eb="2">
      <t>セイベツ</t>
    </rPh>
    <phoneticPr fontId="5"/>
  </si>
  <si>
    <t>メニューへ戻り上書き保存して下さい</t>
    <rPh sb="5" eb="6">
      <t>モド</t>
    </rPh>
    <rPh sb="7" eb="9">
      <t>ウワガ</t>
    </rPh>
    <rPh sb="10" eb="12">
      <t>ホゾン</t>
    </rPh>
    <rPh sb="14" eb="15">
      <t>クダ</t>
    </rPh>
    <phoneticPr fontId="22"/>
  </si>
  <si>
    <t>棒高跳</t>
    <rPh sb="0" eb="3">
      <t>ボウタカトビ</t>
    </rPh>
    <phoneticPr fontId="4"/>
  </si>
  <si>
    <t>走幅跳</t>
    <rPh sb="0" eb="1">
      <t>ハシ</t>
    </rPh>
    <rPh sb="1" eb="3">
      <t>ハバト</t>
    </rPh>
    <phoneticPr fontId="4"/>
  </si>
  <si>
    <t>三段跳</t>
    <rPh sb="0" eb="3">
      <t>サンダント</t>
    </rPh>
    <phoneticPr fontId="4"/>
  </si>
  <si>
    <t>砲丸投</t>
    <rPh sb="0" eb="2">
      <t>ホウガン</t>
    </rPh>
    <rPh sb="2" eb="3">
      <t>ナ</t>
    </rPh>
    <phoneticPr fontId="4"/>
  </si>
  <si>
    <t>円盤投</t>
    <rPh sb="0" eb="2">
      <t>エンバン</t>
    </rPh>
    <rPh sb="2" eb="3">
      <t>ナ</t>
    </rPh>
    <phoneticPr fontId="4"/>
  </si>
  <si>
    <t>ｼﾞｬﾍﾞﾘｯｸ</t>
    <phoneticPr fontId="4"/>
  </si>
  <si>
    <t>走高跳</t>
    <rPh sb="0" eb="1">
      <t>ハシ</t>
    </rPh>
    <rPh sb="1" eb="3">
      <t>タカトビ</t>
    </rPh>
    <phoneticPr fontId="4"/>
  </si>
  <si>
    <t>110H</t>
    <phoneticPr fontId="5"/>
  </si>
  <si>
    <t>A-走高跳</t>
  </si>
  <si>
    <t>A-砲丸投</t>
  </si>
  <si>
    <t>AB円盤投</t>
  </si>
  <si>
    <t>B-走幅跳</t>
  </si>
  <si>
    <t>B-砲丸投</t>
  </si>
  <si>
    <t>C-走幅跳</t>
  </si>
  <si>
    <t>中学女子3ｋ</t>
  </si>
  <si>
    <t>四種</t>
  </si>
  <si>
    <t>高跳の記録</t>
    <rPh sb="0" eb="2">
      <t>タカトビ</t>
    </rPh>
    <rPh sb="3" eb="5">
      <t>キロク</t>
    </rPh>
    <phoneticPr fontId="4"/>
  </si>
  <si>
    <t>記録</t>
    <phoneticPr fontId="5"/>
  </si>
  <si>
    <t>数</t>
    <rPh sb="0" eb="1">
      <t>カズ</t>
    </rPh>
    <phoneticPr fontId="5"/>
  </si>
  <si>
    <t>空</t>
    <rPh sb="0" eb="1">
      <t>ソラ</t>
    </rPh>
    <phoneticPr fontId="5"/>
  </si>
  <si>
    <t>名</t>
    <rPh sb="0" eb="1">
      <t>メイ</t>
    </rPh>
    <phoneticPr fontId="5"/>
  </si>
  <si>
    <t>姓</t>
    <rPh sb="0" eb="1">
      <t>セイ</t>
    </rPh>
    <phoneticPr fontId="5"/>
  </si>
  <si>
    <t>種目数</t>
    <rPh sb="0" eb="2">
      <t>シュモク</t>
    </rPh>
    <rPh sb="2" eb="3">
      <t>カズ</t>
    </rPh>
    <phoneticPr fontId="5"/>
  </si>
  <si>
    <t>人数(種目)</t>
    <rPh sb="0" eb="2">
      <t>ニンズウ</t>
    </rPh>
    <rPh sb="3" eb="5">
      <t>シュモク</t>
    </rPh>
    <phoneticPr fontId="22"/>
  </si>
  <si>
    <t>中学男子5ｋ</t>
  </si>
  <si>
    <t>公認記録記載欄(随時記録が更新された場合は、変更入力して下さい。全ての申し込みに反映されます。正確にお願いいたします</t>
    <rPh sb="47" eb="49">
      <t>セイカク</t>
    </rPh>
    <rPh sb="51" eb="52">
      <t>ネガ</t>
    </rPh>
    <phoneticPr fontId="4"/>
  </si>
  <si>
    <t>男子は3000mの記録</t>
    <rPh sb="0" eb="2">
      <t>ダンシ</t>
    </rPh>
    <rPh sb="9" eb="11">
      <t>キロク</t>
    </rPh>
    <phoneticPr fontId="5"/>
  </si>
  <si>
    <t>女子は2000mの記録</t>
    <rPh sb="0" eb="2">
      <t>ジョシ</t>
    </rPh>
    <rPh sb="9" eb="11">
      <t>キロク</t>
    </rPh>
    <phoneticPr fontId="5"/>
  </si>
  <si>
    <t>最新バージョンのエクセル(2007）使用の場合は、シートの上部にセキュリティの警告が出ますので</t>
    <rPh sb="0" eb="2">
      <t>サイシン</t>
    </rPh>
    <rPh sb="18" eb="20">
      <t>シヨウ</t>
    </rPh>
    <rPh sb="21" eb="23">
      <t>バアイ</t>
    </rPh>
    <rPh sb="29" eb="31">
      <t>ジョウブ</t>
    </rPh>
    <rPh sb="39" eb="41">
      <t>ケイコク</t>
    </rPh>
    <rPh sb="42" eb="43">
      <t>デ</t>
    </rPh>
    <phoneticPr fontId="22"/>
  </si>
  <si>
    <t>それ以前のエクセルは下記に従って下さい。</t>
    <rPh sb="2" eb="4">
      <t>イゼン</t>
    </rPh>
    <rPh sb="10" eb="12">
      <t>カキ</t>
    </rPh>
    <rPh sb="13" eb="14">
      <t>シタガ</t>
    </rPh>
    <rPh sb="16" eb="17">
      <t>クダ</t>
    </rPh>
    <phoneticPr fontId="22"/>
  </si>
  <si>
    <t>右側のオプションをクリックし、「このコンテンツを有効にする」にチェックを入れて下さい。</t>
    <rPh sb="0" eb="2">
      <t>ミギガワ</t>
    </rPh>
    <rPh sb="24" eb="26">
      <t>ユウコウ</t>
    </rPh>
    <rPh sb="36" eb="37">
      <t>イ</t>
    </rPh>
    <rPh sb="39" eb="40">
      <t>クダ</t>
    </rPh>
    <phoneticPr fontId="22"/>
  </si>
  <si>
    <t>TRIM</t>
    <phoneticPr fontId="4"/>
  </si>
  <si>
    <t>選手入力シートでの切り取り、貼り付けを行うと不具合が発生します。</t>
    <rPh sb="0" eb="2">
      <t>センシュ</t>
    </rPh>
    <rPh sb="2" eb="4">
      <t>ニュウリョク</t>
    </rPh>
    <rPh sb="9" eb="10">
      <t>キ</t>
    </rPh>
    <rPh sb="11" eb="12">
      <t>ト</t>
    </rPh>
    <rPh sb="14" eb="15">
      <t>ハ</t>
    </rPh>
    <rPh sb="16" eb="17">
      <t>ツ</t>
    </rPh>
    <rPh sb="19" eb="20">
      <t>オコナ</t>
    </rPh>
    <rPh sb="22" eb="25">
      <t>フグアイ</t>
    </rPh>
    <rPh sb="26" eb="28">
      <t>ハッセイ</t>
    </rPh>
    <phoneticPr fontId="5"/>
  </si>
  <si>
    <t>C-1500</t>
    <phoneticPr fontId="5"/>
  </si>
  <si>
    <t>C-800</t>
    <phoneticPr fontId="5"/>
  </si>
  <si>
    <t>9m50</t>
    <phoneticPr fontId="5"/>
  </si>
  <si>
    <t>2.45.00</t>
    <phoneticPr fontId="5"/>
  </si>
  <si>
    <t>(</t>
    <phoneticPr fontId="5"/>
  </si>
  <si>
    <t>)</t>
    <phoneticPr fontId="5"/>
  </si>
  <si>
    <t>監督</t>
    <rPh sb="0" eb="2">
      <t>カントク</t>
    </rPh>
    <phoneticPr fontId="5"/>
  </si>
  <si>
    <t>男子Ｃ</t>
    <rPh sb="0" eb="2">
      <t>ダンシ</t>
    </rPh>
    <phoneticPr fontId="5"/>
  </si>
  <si>
    <t>男子Ｄ</t>
    <rPh sb="0" eb="2">
      <t>ダンシ</t>
    </rPh>
    <phoneticPr fontId="5"/>
  </si>
  <si>
    <t>女子Ｃ</t>
    <rPh sb="0" eb="2">
      <t>ジョシ</t>
    </rPh>
    <phoneticPr fontId="5"/>
  </si>
  <si>
    <t>女子Ｄ</t>
    <rPh sb="0" eb="2">
      <t>ジョシ</t>
    </rPh>
    <phoneticPr fontId="5"/>
  </si>
  <si>
    <t>女子Ａ</t>
    <rPh sb="0" eb="2">
      <t>ジョシ</t>
    </rPh>
    <phoneticPr fontId="5"/>
  </si>
  <si>
    <t>女子Ｂ</t>
    <rPh sb="0" eb="2">
      <t>ジョシ</t>
    </rPh>
    <phoneticPr fontId="5"/>
  </si>
  <si>
    <t>男子Ｂ</t>
    <rPh sb="0" eb="2">
      <t>ダンシ</t>
    </rPh>
    <phoneticPr fontId="5"/>
  </si>
  <si>
    <t>男子Ａ</t>
    <rPh sb="0" eb="2">
      <t>ダンシ</t>
    </rPh>
    <phoneticPr fontId="5"/>
  </si>
  <si>
    <t>(監督が違う場合は直接入力)</t>
    <rPh sb="1" eb="3">
      <t>カントク</t>
    </rPh>
    <rPh sb="4" eb="5">
      <t>チガ</t>
    </rPh>
    <rPh sb="6" eb="8">
      <t>バアイ</t>
    </rPh>
    <rPh sb="9" eb="11">
      <t>チョクセツ</t>
    </rPh>
    <rPh sb="11" eb="13">
      <t>ニュウリョク</t>
    </rPh>
    <phoneticPr fontId="5"/>
  </si>
  <si>
    <t>男子4×100mR</t>
    <rPh sb="0" eb="2">
      <t>ダンシ</t>
    </rPh>
    <phoneticPr fontId="5"/>
  </si>
  <si>
    <t>Ａ</t>
    <phoneticPr fontId="5"/>
  </si>
  <si>
    <t>Ｂ</t>
    <phoneticPr fontId="5"/>
  </si>
  <si>
    <t>Ｃ</t>
    <phoneticPr fontId="5"/>
  </si>
  <si>
    <t>女子4×100mR</t>
    <rPh sb="0" eb="2">
      <t>ジョシ</t>
    </rPh>
    <phoneticPr fontId="5"/>
  </si>
  <si>
    <t>記録</t>
    <rPh sb="0" eb="2">
      <t>キロク</t>
    </rPh>
    <phoneticPr fontId="5"/>
  </si>
  <si>
    <t>所属コード２</t>
    <rPh sb="0" eb="2">
      <t>ショゾク</t>
    </rPh>
    <phoneticPr fontId="5"/>
  </si>
  <si>
    <t>生年</t>
    <rPh sb="0" eb="2">
      <t>セイネン</t>
    </rPh>
    <phoneticPr fontId="5"/>
  </si>
  <si>
    <t>月日</t>
    <phoneticPr fontId="5"/>
  </si>
  <si>
    <t>ナンバーA</t>
    <phoneticPr fontId="5"/>
  </si>
  <si>
    <t>所属コードB</t>
    <phoneticPr fontId="5"/>
  </si>
  <si>
    <t>コード２</t>
    <phoneticPr fontId="5"/>
  </si>
  <si>
    <t>月日</t>
    <rPh sb="0" eb="2">
      <t>ガッピ</t>
    </rPh>
    <phoneticPr fontId="5"/>
  </si>
  <si>
    <t>緊急連絡先（携帯）</t>
    <rPh sb="0" eb="2">
      <t>キンキュウ</t>
    </rPh>
    <rPh sb="2" eb="5">
      <t>レンラクサキ</t>
    </rPh>
    <rPh sb="6" eb="8">
      <t>ケイタイ</t>
    </rPh>
    <phoneticPr fontId="4"/>
  </si>
  <si>
    <t>年</t>
    <phoneticPr fontId="5"/>
  </si>
  <si>
    <t>光陵</t>
    <phoneticPr fontId="56"/>
  </si>
  <si>
    <t>長島</t>
    <phoneticPr fontId="56"/>
  </si>
  <si>
    <t>津田学園</t>
    <phoneticPr fontId="56"/>
  </si>
  <si>
    <t>常磐</t>
  </si>
  <si>
    <t>西</t>
  </si>
  <si>
    <t>大紀</t>
    <rPh sb="1" eb="2">
      <t>キ</t>
    </rPh>
    <phoneticPr fontId="56"/>
  </si>
  <si>
    <t>南勢</t>
  </si>
  <si>
    <t>城東</t>
    <rPh sb="0" eb="1">
      <t>シロ</t>
    </rPh>
    <rPh sb="1" eb="2">
      <t>ヒガシ</t>
    </rPh>
    <phoneticPr fontId="56"/>
  </si>
  <si>
    <t>南</t>
  </si>
  <si>
    <t>一身田国児</t>
    <phoneticPr fontId="4"/>
  </si>
  <si>
    <t>セントヨゼフ</t>
    <phoneticPr fontId="4"/>
  </si>
  <si>
    <t>三重大附属</t>
    <phoneticPr fontId="4"/>
  </si>
  <si>
    <t>伊勢港</t>
    <phoneticPr fontId="4"/>
  </si>
  <si>
    <t>少年B砲丸投</t>
    <rPh sb="0" eb="2">
      <t>ショウネン</t>
    </rPh>
    <rPh sb="3" eb="5">
      <t>ホウガン</t>
    </rPh>
    <rPh sb="5" eb="6">
      <t>ナ</t>
    </rPh>
    <phoneticPr fontId="5"/>
  </si>
  <si>
    <t>110H</t>
    <phoneticPr fontId="5"/>
  </si>
  <si>
    <t>100H</t>
    <phoneticPr fontId="5"/>
  </si>
  <si>
    <t>400H</t>
    <phoneticPr fontId="5"/>
  </si>
  <si>
    <t>3000SC</t>
    <phoneticPr fontId="5"/>
  </si>
  <si>
    <t>5000W</t>
    <phoneticPr fontId="5"/>
  </si>
  <si>
    <t>少年B砲丸投</t>
    <rPh sb="0" eb="1">
      <t>ショウ</t>
    </rPh>
    <rPh sb="1" eb="2">
      <t>ネン</t>
    </rPh>
    <rPh sb="3" eb="6">
      <t>ホウガンナ</t>
    </rPh>
    <phoneticPr fontId="5"/>
  </si>
  <si>
    <t>ABCｼﾞｬﾍﾞﾘｯｸ</t>
    <phoneticPr fontId="5"/>
  </si>
  <si>
    <t>ABCｼﾞｬﾍﾞﾘｯｸ</t>
    <phoneticPr fontId="5"/>
  </si>
  <si>
    <t>ABCｼﾞｬﾍﾞﾘｯｸ</t>
    <phoneticPr fontId="4"/>
  </si>
  <si>
    <t>登録番号</t>
    <rPh sb="0" eb="2">
      <t>トウロク</t>
    </rPh>
    <rPh sb="2" eb="4">
      <t>バンゴウ</t>
    </rPh>
    <phoneticPr fontId="5"/>
  </si>
  <si>
    <t>フリガナ</t>
    <phoneticPr fontId="5"/>
  </si>
  <si>
    <t>生年月日</t>
    <rPh sb="0" eb="2">
      <t>セイネン</t>
    </rPh>
    <rPh sb="2" eb="4">
      <t>ガッピ</t>
    </rPh>
    <phoneticPr fontId="5"/>
  </si>
  <si>
    <t>選手番号</t>
    <rPh sb="0" eb="2">
      <t>センシュ</t>
    </rPh>
    <rPh sb="2" eb="4">
      <t>バンゴウ</t>
    </rPh>
    <phoneticPr fontId="5"/>
  </si>
  <si>
    <t>（姓と名の間は全角１文字スペース）</t>
    <rPh sb="1" eb="2">
      <t>セイ</t>
    </rPh>
    <rPh sb="3" eb="4">
      <t>メイ</t>
    </rPh>
    <rPh sb="5" eb="6">
      <t>アイダ</t>
    </rPh>
    <rPh sb="7" eb="9">
      <t>ゼンカク</t>
    </rPh>
    <rPh sb="10" eb="12">
      <t>モジ</t>
    </rPh>
    <phoneticPr fontId="5"/>
  </si>
  <si>
    <t>（全角カタカナで入力、姓と名の間は全角１文字スペース）</t>
    <rPh sb="1" eb="3">
      <t>ゼンカク</t>
    </rPh>
    <rPh sb="8" eb="10">
      <t>ニュウリョク</t>
    </rPh>
    <rPh sb="11" eb="12">
      <t>セイ</t>
    </rPh>
    <rPh sb="13" eb="14">
      <t>メイ</t>
    </rPh>
    <rPh sb="15" eb="16">
      <t>アイダ</t>
    </rPh>
    <rPh sb="17" eb="19">
      <t>ゼンカク</t>
    </rPh>
    <rPh sb="20" eb="22">
      <t>モジ</t>
    </rPh>
    <phoneticPr fontId="5"/>
  </si>
  <si>
    <t>年（西暦）</t>
    <rPh sb="0" eb="1">
      <t>ネン</t>
    </rPh>
    <rPh sb="2" eb="4">
      <t>セイレキ</t>
    </rPh>
    <phoneticPr fontId="5"/>
  </si>
  <si>
    <t>ナンバーA</t>
    <phoneticPr fontId="5"/>
  </si>
  <si>
    <t>月日</t>
    <phoneticPr fontId="5"/>
  </si>
  <si>
    <t>コード</t>
    <phoneticPr fontId="5"/>
  </si>
  <si>
    <t>記録</t>
    <phoneticPr fontId="5"/>
  </si>
  <si>
    <t>記録3</t>
    <phoneticPr fontId="5"/>
  </si>
  <si>
    <t>4×400R</t>
    <phoneticPr fontId="5"/>
  </si>
  <si>
    <t>リレー</t>
    <phoneticPr fontId="5"/>
  </si>
  <si>
    <t>記録5</t>
    <phoneticPr fontId="5"/>
  </si>
  <si>
    <t>正和</t>
    <phoneticPr fontId="4"/>
  </si>
  <si>
    <t>100H</t>
  </si>
  <si>
    <t>110H</t>
  </si>
  <si>
    <t>セントヨゼフ</t>
  </si>
  <si>
    <t>スポーツF</t>
    <phoneticPr fontId="5"/>
  </si>
  <si>
    <t>決定No</t>
    <rPh sb="0" eb="2">
      <t>ケッテイ</t>
    </rPh>
    <phoneticPr fontId="5"/>
  </si>
  <si>
    <r>
      <t>最後に添付ファイル作成ボタンをクリックのこと。添付ファイルが作成されます</t>
    </r>
    <r>
      <rPr>
        <sz val="11"/>
        <rFont val="ＭＳ Ｐゴシック"/>
        <family val="3"/>
        <charset val="128"/>
      </rPr>
      <t>。</t>
    </r>
    <rPh sb="0" eb="2">
      <t>サイゴ</t>
    </rPh>
    <rPh sb="3" eb="5">
      <t>テンプ</t>
    </rPh>
    <rPh sb="9" eb="11">
      <t>サクセイ</t>
    </rPh>
    <rPh sb="23" eb="25">
      <t>テンプ</t>
    </rPh>
    <rPh sb="30" eb="32">
      <t>サクセイ</t>
    </rPh>
    <phoneticPr fontId="5"/>
  </si>
  <si>
    <t>中学</t>
    <rPh sb="0" eb="2">
      <t>チュウガク</t>
    </rPh>
    <phoneticPr fontId="5"/>
  </si>
  <si>
    <t>インターネットに接続できれば申込できます</t>
    <rPh sb="8" eb="10">
      <t>セツゾク</t>
    </rPh>
    <rPh sb="14" eb="16">
      <t>モウシコミ</t>
    </rPh>
    <phoneticPr fontId="5"/>
  </si>
  <si>
    <t>11.90</t>
    <phoneticPr fontId="5"/>
  </si>
  <si>
    <t>1m60</t>
    <phoneticPr fontId="5"/>
  </si>
  <si>
    <t>4.45.00</t>
    <phoneticPr fontId="5"/>
  </si>
  <si>
    <t>23m00</t>
    <phoneticPr fontId="5"/>
  </si>
  <si>
    <t>ASSA-TC</t>
  </si>
  <si>
    <t>伊賀ＴＣ</t>
  </si>
  <si>
    <t>名張クラブ</t>
  </si>
  <si>
    <t>三重</t>
    <rPh sb="0" eb="2">
      <t>ミエ</t>
    </rPh>
    <phoneticPr fontId="4"/>
  </si>
  <si>
    <t>Y_W_C</t>
    <phoneticPr fontId="4"/>
  </si>
  <si>
    <t>桑員</t>
    <rPh sb="0" eb="1">
      <t>クワ</t>
    </rPh>
    <rPh sb="1" eb="2">
      <t>イン</t>
    </rPh>
    <phoneticPr fontId="4"/>
  </si>
  <si>
    <t>三泗</t>
    <rPh sb="0" eb="2">
      <t>サンシ</t>
    </rPh>
    <phoneticPr fontId="4"/>
  </si>
  <si>
    <t>鈴亀</t>
    <rPh sb="0" eb="1">
      <t>スズ</t>
    </rPh>
    <rPh sb="1" eb="2">
      <t>カメ</t>
    </rPh>
    <phoneticPr fontId="4"/>
  </si>
  <si>
    <t>津</t>
    <phoneticPr fontId="4"/>
  </si>
  <si>
    <t>松多</t>
    <rPh sb="1" eb="2">
      <t>タ</t>
    </rPh>
    <phoneticPr fontId="4"/>
  </si>
  <si>
    <t>伊度</t>
    <rPh sb="1" eb="2">
      <t>ド</t>
    </rPh>
    <phoneticPr fontId="4"/>
  </si>
  <si>
    <t>鳥志</t>
    <rPh sb="1" eb="2">
      <t>ココロザシ</t>
    </rPh>
    <phoneticPr fontId="4"/>
  </si>
  <si>
    <t>伊賀</t>
    <rPh sb="0" eb="2">
      <t>イガ</t>
    </rPh>
    <phoneticPr fontId="4"/>
  </si>
  <si>
    <t>名張</t>
    <phoneticPr fontId="4"/>
  </si>
  <si>
    <t>尾北</t>
    <rPh sb="1" eb="2">
      <t>キタ</t>
    </rPh>
    <phoneticPr fontId="4"/>
  </si>
  <si>
    <t>熊南</t>
    <rPh sb="1" eb="2">
      <t>ミナミ</t>
    </rPh>
    <phoneticPr fontId="4"/>
  </si>
  <si>
    <t>三泗</t>
    <rPh sb="0" eb="2">
      <t>サンシ</t>
    </rPh>
    <phoneticPr fontId="4"/>
  </si>
  <si>
    <t>ASSA-TC</t>
    <phoneticPr fontId="4"/>
  </si>
  <si>
    <t>Y_W_C</t>
  </si>
  <si>
    <t>Y_W_C</t>
    <phoneticPr fontId="4"/>
  </si>
  <si>
    <t>伊賀TC</t>
  </si>
  <si>
    <t>伊賀TC</t>
    <phoneticPr fontId="4"/>
  </si>
  <si>
    <t>名張ｸﾗﾌﾞ</t>
  </si>
  <si>
    <t>名張ｸﾗﾌﾞ</t>
    <phoneticPr fontId="4"/>
  </si>
  <si>
    <t>イムラＡＡ</t>
  </si>
  <si>
    <t>上野ＡＣ</t>
  </si>
  <si>
    <t>橋南スポク</t>
  </si>
  <si>
    <t>熊野ＲＣ</t>
  </si>
  <si>
    <t>J＆E久居</t>
  </si>
  <si>
    <t>四日市陸上</t>
  </si>
  <si>
    <t>伊賀</t>
    <rPh sb="0" eb="2">
      <t>イガ</t>
    </rPh>
    <phoneticPr fontId="4"/>
  </si>
  <si>
    <t>津</t>
    <rPh sb="0" eb="1">
      <t>ツ</t>
    </rPh>
    <phoneticPr fontId="4"/>
  </si>
  <si>
    <t>23</t>
    <phoneticPr fontId="5"/>
  </si>
  <si>
    <t>国体1次選考競技会</t>
    <rPh sb="0" eb="2">
      <t>コクタイ</t>
    </rPh>
    <rPh sb="3" eb="4">
      <t>ジ</t>
    </rPh>
    <rPh sb="4" eb="6">
      <t>センコウ</t>
    </rPh>
    <rPh sb="6" eb="9">
      <t>キョウギカイ</t>
    </rPh>
    <phoneticPr fontId="5"/>
  </si>
  <si>
    <t>23</t>
    <phoneticPr fontId="4"/>
  </si>
  <si>
    <t>三重県選手権</t>
    <rPh sb="0" eb="2">
      <t>ミエ</t>
    </rPh>
    <rPh sb="2" eb="3">
      <t>ケン</t>
    </rPh>
    <rPh sb="3" eb="6">
      <t>センシュケン</t>
    </rPh>
    <phoneticPr fontId="5"/>
  </si>
  <si>
    <t>5m20</t>
    <phoneticPr fontId="5"/>
  </si>
  <si>
    <t>28m00</t>
    <phoneticPr fontId="5"/>
  </si>
  <si>
    <t>8m00</t>
    <phoneticPr fontId="5"/>
  </si>
  <si>
    <t>4m00</t>
    <phoneticPr fontId="5"/>
  </si>
  <si>
    <t>地区推薦は大会名に推薦と入力して下さい。それ以外は受理致しません。</t>
    <rPh sb="0" eb="2">
      <t>チク</t>
    </rPh>
    <rPh sb="2" eb="4">
      <t>スイセン</t>
    </rPh>
    <rPh sb="5" eb="7">
      <t>タイカイ</t>
    </rPh>
    <rPh sb="7" eb="8">
      <t>メイ</t>
    </rPh>
    <rPh sb="9" eb="11">
      <t>スイセン</t>
    </rPh>
    <rPh sb="12" eb="14">
      <t>ニュウリョク</t>
    </rPh>
    <rPh sb="16" eb="17">
      <t>クダ</t>
    </rPh>
    <rPh sb="22" eb="24">
      <t>イガイ</t>
    </rPh>
    <rPh sb="25" eb="27">
      <t>ジュリ</t>
    </rPh>
    <rPh sb="27" eb="28">
      <t>イタ</t>
    </rPh>
    <phoneticPr fontId="5"/>
  </si>
  <si>
    <t>三重タスキリレー大会　</t>
    <rPh sb="0" eb="2">
      <t>ミエ</t>
    </rPh>
    <rPh sb="8" eb="10">
      <t>タイカイ</t>
    </rPh>
    <phoneticPr fontId="5"/>
  </si>
  <si>
    <t>中日三重お伊勢さんマラソン</t>
    <rPh sb="0" eb="2">
      <t>チュウニチ</t>
    </rPh>
    <rPh sb="2" eb="4">
      <t>ミエ</t>
    </rPh>
    <rPh sb="5" eb="7">
      <t>イセ</t>
    </rPh>
    <phoneticPr fontId="5"/>
  </si>
  <si>
    <t>大王</t>
    <rPh sb="0" eb="2">
      <t>ダイオウ</t>
    </rPh>
    <phoneticPr fontId="5"/>
  </si>
  <si>
    <t>ｱｽﾘｰﾄY</t>
    <phoneticPr fontId="5"/>
  </si>
  <si>
    <t>100ｍ参加資格</t>
    <rPh sb="4" eb="6">
      <t>サンカ</t>
    </rPh>
    <rPh sb="6" eb="8">
      <t>シカク</t>
    </rPh>
    <phoneticPr fontId="5"/>
  </si>
  <si>
    <t>　　百五銀行　生桑(ｲｸﾜ)支店　普通預金　口座番号　４４０２６６　口座名　一般財団保人三重陸上競技協会</t>
    <rPh sb="2" eb="4">
      <t>１０５</t>
    </rPh>
    <rPh sb="4" eb="6">
      <t>ギンコウ</t>
    </rPh>
    <rPh sb="7" eb="8">
      <t>イ</t>
    </rPh>
    <rPh sb="8" eb="9">
      <t>クワ</t>
    </rPh>
    <rPh sb="14" eb="16">
      <t>シテン</t>
    </rPh>
    <rPh sb="17" eb="19">
      <t>フツウ</t>
    </rPh>
    <rPh sb="19" eb="21">
      <t>ヨキン</t>
    </rPh>
    <rPh sb="22" eb="24">
      <t>コウザ</t>
    </rPh>
    <rPh sb="24" eb="26">
      <t>バンゴウ</t>
    </rPh>
    <rPh sb="34" eb="36">
      <t>コウザ</t>
    </rPh>
    <rPh sb="36" eb="37">
      <t>メイ</t>
    </rPh>
    <rPh sb="38" eb="40">
      <t>イッパン</t>
    </rPh>
    <rPh sb="40" eb="42">
      <t>ザイダン</t>
    </rPh>
    <rPh sb="42" eb="43">
      <t>ホ</t>
    </rPh>
    <rPh sb="43" eb="44">
      <t>ジン</t>
    </rPh>
    <rPh sb="44" eb="46">
      <t>ミエ</t>
    </rPh>
    <rPh sb="46" eb="48">
      <t>リクジョウ</t>
    </rPh>
    <rPh sb="48" eb="50">
      <t>キョウギ</t>
    </rPh>
    <rPh sb="50" eb="52">
      <t>キョウカイ</t>
    </rPh>
    <phoneticPr fontId="5"/>
  </si>
  <si>
    <t>左記、白枠は必ず入れて下さい</t>
    <rPh sb="0" eb="2">
      <t>サキ</t>
    </rPh>
    <rPh sb="3" eb="4">
      <t>シロ</t>
    </rPh>
    <rPh sb="4" eb="5">
      <t>ワク</t>
    </rPh>
    <rPh sb="6" eb="7">
      <t>カナラ</t>
    </rPh>
    <rPh sb="8" eb="9">
      <t>イ</t>
    </rPh>
    <rPh sb="11" eb="12">
      <t>クダ</t>
    </rPh>
    <phoneticPr fontId="5"/>
  </si>
  <si>
    <t>中学生大会申込み概要</t>
    <rPh sb="0" eb="3">
      <t>チュウガクセイ</t>
    </rPh>
    <rPh sb="3" eb="5">
      <t>タイカイ</t>
    </rPh>
    <rPh sb="5" eb="7">
      <t>モウシコミ</t>
    </rPh>
    <rPh sb="8" eb="10">
      <t>ガイヨウ</t>
    </rPh>
    <phoneticPr fontId="5"/>
  </si>
  <si>
    <t>*</t>
    <phoneticPr fontId="5"/>
  </si>
  <si>
    <t>プログラム冊数</t>
    <rPh sb="5" eb="7">
      <t>サッスウ</t>
    </rPh>
    <phoneticPr fontId="5"/>
  </si>
  <si>
    <t>冊</t>
    <rPh sb="0" eb="1">
      <t>サツ</t>
    </rPh>
    <phoneticPr fontId="5"/>
  </si>
  <si>
    <t>少年B100</t>
    <rPh sb="0" eb="2">
      <t>ショウネン</t>
    </rPh>
    <phoneticPr fontId="5"/>
  </si>
  <si>
    <t>4m40</t>
    <phoneticPr fontId="5"/>
  </si>
  <si>
    <t>1m35</t>
    <phoneticPr fontId="5"/>
  </si>
  <si>
    <t>19.00</t>
    <phoneticPr fontId="5"/>
  </si>
  <si>
    <t>14.20</t>
    <phoneticPr fontId="5"/>
  </si>
  <si>
    <t>JAAF ID</t>
  </si>
  <si>
    <t>会員名</t>
  </si>
  <si>
    <t>会員名カナ</t>
  </si>
  <si>
    <t>登録都道府県コード</t>
  </si>
  <si>
    <t>登録都道府県名</t>
  </si>
  <si>
    <t>団体ID</t>
  </si>
  <si>
    <t>団体名</t>
  </si>
  <si>
    <t>団体名カナ</t>
  </si>
  <si>
    <t>団体名略称</t>
  </si>
  <si>
    <t>生年月日</t>
  </si>
  <si>
    <t>都道府県(学連)登録番号</t>
  </si>
  <si>
    <t>旧団体コード</t>
  </si>
  <si>
    <t>備考</t>
  </si>
  <si>
    <t>JAAF登録サイトより貼り付け</t>
    <rPh sb="4" eb="6">
      <t>トウロク</t>
    </rPh>
    <rPh sb="11" eb="12">
      <t>ハ</t>
    </rPh>
    <rPh sb="13" eb="14">
      <t>ツ</t>
    </rPh>
    <phoneticPr fontId="5"/>
  </si>
  <si>
    <t>日本陸連ID</t>
    <rPh sb="0" eb="2">
      <t>ニホン</t>
    </rPh>
    <rPh sb="2" eb="4">
      <t>リクレン</t>
    </rPh>
    <phoneticPr fontId="5"/>
  </si>
  <si>
    <t>235001</t>
  </si>
  <si>
    <t>235002</t>
  </si>
  <si>
    <t>235003</t>
  </si>
  <si>
    <t>235004</t>
  </si>
  <si>
    <t>235005</t>
  </si>
  <si>
    <t>235006</t>
  </si>
  <si>
    <t>235007</t>
  </si>
  <si>
    <t>235008</t>
  </si>
  <si>
    <t>235009</t>
  </si>
  <si>
    <t>235010</t>
  </si>
  <si>
    <t>235011</t>
  </si>
  <si>
    <t>235012</t>
  </si>
  <si>
    <t>235013</t>
  </si>
  <si>
    <t>235014</t>
  </si>
  <si>
    <t>235015</t>
  </si>
  <si>
    <t>235016</t>
  </si>
  <si>
    <t>235017</t>
  </si>
  <si>
    <t>235018</t>
  </si>
  <si>
    <t>235019</t>
  </si>
  <si>
    <t>235020</t>
  </si>
  <si>
    <t>235021</t>
  </si>
  <si>
    <t>235022</t>
  </si>
  <si>
    <t>235023</t>
  </si>
  <si>
    <t>235024</t>
  </si>
  <si>
    <t>235025</t>
  </si>
  <si>
    <t>235026</t>
  </si>
  <si>
    <t>235027</t>
  </si>
  <si>
    <t>235028</t>
  </si>
  <si>
    <t>235029</t>
  </si>
  <si>
    <t>235030</t>
  </si>
  <si>
    <t>235031</t>
  </si>
  <si>
    <t>235032</t>
  </si>
  <si>
    <t>235033</t>
  </si>
  <si>
    <t>235034</t>
  </si>
  <si>
    <t>235035</t>
  </si>
  <si>
    <t>235036</t>
  </si>
  <si>
    <t>235037</t>
  </si>
  <si>
    <t>235038</t>
  </si>
  <si>
    <t>235039</t>
  </si>
  <si>
    <t>235040</t>
  </si>
  <si>
    <t>235041</t>
  </si>
  <si>
    <t>235042</t>
  </si>
  <si>
    <t>235043</t>
  </si>
  <si>
    <t>235044</t>
  </si>
  <si>
    <t>235045</t>
  </si>
  <si>
    <t>235046</t>
  </si>
  <si>
    <t>235047</t>
  </si>
  <si>
    <t>235048</t>
  </si>
  <si>
    <t>235049</t>
  </si>
  <si>
    <t>235050</t>
  </si>
  <si>
    <t>235051</t>
  </si>
  <si>
    <t>235052</t>
  </si>
  <si>
    <t>235053</t>
  </si>
  <si>
    <t>235054</t>
  </si>
  <si>
    <t>235055</t>
  </si>
  <si>
    <t>235056</t>
  </si>
  <si>
    <t>235057</t>
  </si>
  <si>
    <t>235058</t>
  </si>
  <si>
    <t>235059</t>
  </si>
  <si>
    <t>235060</t>
  </si>
  <si>
    <t>235061</t>
  </si>
  <si>
    <t>235062</t>
  </si>
  <si>
    <t>235063</t>
  </si>
  <si>
    <t>235064</t>
  </si>
  <si>
    <t>235065</t>
  </si>
  <si>
    <t>235066</t>
  </si>
  <si>
    <t>235067</t>
  </si>
  <si>
    <t>235068</t>
  </si>
  <si>
    <t>235069</t>
  </si>
  <si>
    <t>235070</t>
  </si>
  <si>
    <t>235071</t>
  </si>
  <si>
    <t>235072</t>
  </si>
  <si>
    <t>235073</t>
  </si>
  <si>
    <t>235074</t>
  </si>
  <si>
    <t>235075</t>
  </si>
  <si>
    <t>235076</t>
  </si>
  <si>
    <t>235077</t>
  </si>
  <si>
    <t>235078</t>
  </si>
  <si>
    <t>235079</t>
  </si>
  <si>
    <t>235080</t>
  </si>
  <si>
    <t>235081</t>
  </si>
  <si>
    <t>235082</t>
  </si>
  <si>
    <t>235083</t>
  </si>
  <si>
    <t>235084</t>
  </si>
  <si>
    <t>235085</t>
  </si>
  <si>
    <t>235086</t>
  </si>
  <si>
    <t>235087</t>
  </si>
  <si>
    <t>235088</t>
  </si>
  <si>
    <t>235089</t>
  </si>
  <si>
    <t>235090</t>
  </si>
  <si>
    <t>235091</t>
  </si>
  <si>
    <t>235092</t>
  </si>
  <si>
    <t>235093</t>
  </si>
  <si>
    <t>235094</t>
  </si>
  <si>
    <t>235095</t>
  </si>
  <si>
    <t>235096</t>
  </si>
  <si>
    <t>235097</t>
  </si>
  <si>
    <t>235098</t>
  </si>
  <si>
    <t>235099</t>
  </si>
  <si>
    <t>235100</t>
  </si>
  <si>
    <t>235101</t>
  </si>
  <si>
    <t>235102</t>
  </si>
  <si>
    <t>235103</t>
  </si>
  <si>
    <t>235104</t>
  </si>
  <si>
    <t>235105</t>
  </si>
  <si>
    <t>235106</t>
  </si>
  <si>
    <t>235107</t>
  </si>
  <si>
    <t>235108</t>
  </si>
  <si>
    <t>235109</t>
  </si>
  <si>
    <t>235110</t>
  </si>
  <si>
    <t>235111</t>
  </si>
  <si>
    <t>235112</t>
  </si>
  <si>
    <t>235113</t>
  </si>
  <si>
    <t>235114</t>
  </si>
  <si>
    <t>235115</t>
  </si>
  <si>
    <t>235116</t>
  </si>
  <si>
    <t>235117</t>
  </si>
  <si>
    <t>235119</t>
  </si>
  <si>
    <t>235121</t>
  </si>
  <si>
    <t>235122</t>
  </si>
  <si>
    <t>235123</t>
  </si>
  <si>
    <t>235124</t>
  </si>
  <si>
    <t>235125</t>
  </si>
  <si>
    <t>235126</t>
  </si>
  <si>
    <t>235127</t>
  </si>
  <si>
    <t>235128</t>
  </si>
  <si>
    <t>235129</t>
  </si>
  <si>
    <t>235130</t>
  </si>
  <si>
    <t>235131</t>
  </si>
  <si>
    <t>235132</t>
  </si>
  <si>
    <t>235133</t>
  </si>
  <si>
    <t>235134</t>
  </si>
  <si>
    <t>235135</t>
  </si>
  <si>
    <t>235136</t>
  </si>
  <si>
    <t>235137</t>
  </si>
  <si>
    <t>235138</t>
  </si>
  <si>
    <t>235139</t>
  </si>
  <si>
    <t>235140</t>
  </si>
  <si>
    <t>235141</t>
  </si>
  <si>
    <t>235142</t>
  </si>
  <si>
    <t>235143</t>
  </si>
  <si>
    <t>235144</t>
  </si>
  <si>
    <t>235146</t>
  </si>
  <si>
    <t>235147</t>
  </si>
  <si>
    <t>235148</t>
  </si>
  <si>
    <t>235149</t>
  </si>
  <si>
    <t>235150</t>
  </si>
  <si>
    <t>235151</t>
  </si>
  <si>
    <t>235152</t>
  </si>
  <si>
    <t>235153</t>
  </si>
  <si>
    <t>235154</t>
  </si>
  <si>
    <t>235155</t>
  </si>
  <si>
    <t>235156</t>
  </si>
  <si>
    <t>235157</t>
  </si>
  <si>
    <t>235158</t>
  </si>
  <si>
    <t>235159</t>
  </si>
  <si>
    <t>235160</t>
  </si>
  <si>
    <t>235161</t>
  </si>
  <si>
    <t>235162</t>
  </si>
  <si>
    <t>235163</t>
  </si>
  <si>
    <t>235164</t>
  </si>
  <si>
    <t>235165</t>
  </si>
  <si>
    <t>235166</t>
  </si>
  <si>
    <t>235167</t>
  </si>
  <si>
    <t>235168</t>
  </si>
  <si>
    <t>235169</t>
  </si>
  <si>
    <t>235170</t>
  </si>
  <si>
    <t>235171</t>
  </si>
  <si>
    <t>235172</t>
  </si>
  <si>
    <t>235173</t>
  </si>
  <si>
    <t>235174</t>
  </si>
  <si>
    <t>235175</t>
  </si>
  <si>
    <t>235176</t>
  </si>
  <si>
    <t>235177</t>
  </si>
  <si>
    <t>235178</t>
  </si>
  <si>
    <t>235179</t>
  </si>
  <si>
    <t>235180</t>
  </si>
  <si>
    <t>235181</t>
  </si>
  <si>
    <t>230082</t>
  </si>
  <si>
    <t>239128</t>
  </si>
  <si>
    <t>230081</t>
  </si>
  <si>
    <t>239125</t>
  </si>
  <si>
    <t>230096</t>
  </si>
  <si>
    <t>239127</t>
  </si>
  <si>
    <t>230092</t>
  </si>
  <si>
    <t>230116</t>
  </si>
  <si>
    <t>230115</t>
  </si>
  <si>
    <t>少年B走幅跳</t>
    <rPh sb="0" eb="1">
      <t>ショウ</t>
    </rPh>
    <rPh sb="1" eb="2">
      <t>ネン</t>
    </rPh>
    <rPh sb="3" eb="4">
      <t>ハシ</t>
    </rPh>
    <rPh sb="4" eb="6">
      <t>ハバト</t>
    </rPh>
    <phoneticPr fontId="5"/>
  </si>
  <si>
    <t>少年B走幅跳</t>
    <rPh sb="0" eb="2">
      <t>ショウネン</t>
    </rPh>
    <rPh sb="3" eb="4">
      <t>ハシ</t>
    </rPh>
    <rPh sb="4" eb="6">
      <t>ハバト</t>
    </rPh>
    <phoneticPr fontId="5"/>
  </si>
  <si>
    <t>陸連ID</t>
    <phoneticPr fontId="5"/>
  </si>
  <si>
    <t>三重</t>
    <rPh sb="0" eb="2">
      <t>ミエ</t>
    </rPh>
    <phoneticPr fontId="5"/>
  </si>
  <si>
    <t>陸連ID</t>
    <rPh sb="0" eb="2">
      <t>リクレン</t>
    </rPh>
    <phoneticPr fontId="5"/>
  </si>
  <si>
    <t>棒高跳</t>
    <rPh sb="0" eb="3">
      <t>ボウタカト</t>
    </rPh>
    <phoneticPr fontId="5"/>
  </si>
  <si>
    <t>三段跳</t>
    <rPh sb="0" eb="3">
      <t>サンダント</t>
    </rPh>
    <phoneticPr fontId="5"/>
  </si>
  <si>
    <t>桜丘</t>
    <rPh sb="0" eb="1">
      <t>サクラ</t>
    </rPh>
    <rPh sb="1" eb="2">
      <t>オカ</t>
    </rPh>
    <phoneticPr fontId="4"/>
  </si>
  <si>
    <t>志摩</t>
    <rPh sb="0" eb="2">
      <t>シマ</t>
    </rPh>
    <phoneticPr fontId="4"/>
  </si>
  <si>
    <t>*</t>
    <phoneticPr fontId="4"/>
  </si>
  <si>
    <t>*</t>
    <phoneticPr fontId="5"/>
  </si>
  <si>
    <t>志摩</t>
    <rPh sb="0" eb="2">
      <t>シマ</t>
    </rPh>
    <phoneticPr fontId="5"/>
  </si>
  <si>
    <t>桜丘</t>
    <rPh sb="0" eb="1">
      <t>サクラ</t>
    </rPh>
    <rPh sb="1" eb="2">
      <t>オカ</t>
    </rPh>
    <phoneticPr fontId="5"/>
  </si>
  <si>
    <t>100m</t>
  </si>
  <si>
    <t>200m</t>
  </si>
  <si>
    <t>400m</t>
  </si>
  <si>
    <t>800m</t>
  </si>
  <si>
    <t>1500m</t>
  </si>
  <si>
    <t>5000m</t>
  </si>
  <si>
    <t>10000m</t>
  </si>
  <si>
    <t>110mH</t>
    <phoneticPr fontId="5"/>
  </si>
  <si>
    <t>400mH</t>
    <phoneticPr fontId="5"/>
  </si>
  <si>
    <t>3000mSC</t>
    <phoneticPr fontId="5"/>
  </si>
  <si>
    <t>5000mW</t>
  </si>
  <si>
    <t>走高跳</t>
  </si>
  <si>
    <t>棒高跳</t>
  </si>
  <si>
    <t>走幅跳</t>
  </si>
  <si>
    <t>三段跳</t>
  </si>
  <si>
    <t>砲丸投</t>
    <phoneticPr fontId="5"/>
  </si>
  <si>
    <t>円盤投</t>
    <phoneticPr fontId="5"/>
  </si>
  <si>
    <t>ハンマー投</t>
    <phoneticPr fontId="5"/>
  </si>
  <si>
    <t>やり投</t>
    <phoneticPr fontId="5"/>
  </si>
  <si>
    <t>少年3000m</t>
  </si>
  <si>
    <t>少年砲丸投</t>
    <phoneticPr fontId="5"/>
  </si>
  <si>
    <t>少年円盤投</t>
    <phoneticPr fontId="5"/>
  </si>
  <si>
    <t>少年ハンマー投</t>
    <phoneticPr fontId="5"/>
  </si>
  <si>
    <t>少年B走幅跳</t>
  </si>
  <si>
    <t>少年B砲丸投</t>
    <phoneticPr fontId="5"/>
  </si>
  <si>
    <t>100mH</t>
    <phoneticPr fontId="5"/>
  </si>
  <si>
    <t>100m</t>
    <phoneticPr fontId="5"/>
  </si>
  <si>
    <t>200m</t>
    <phoneticPr fontId="5"/>
  </si>
  <si>
    <t>400m</t>
    <phoneticPr fontId="5"/>
  </si>
  <si>
    <t>800m</t>
    <phoneticPr fontId="5"/>
  </si>
  <si>
    <t>1500m</t>
    <phoneticPr fontId="5"/>
  </si>
  <si>
    <t>2000m</t>
    <phoneticPr fontId="5"/>
  </si>
  <si>
    <t>3000m</t>
    <phoneticPr fontId="5"/>
  </si>
  <si>
    <t>110mH</t>
    <phoneticPr fontId="4"/>
  </si>
  <si>
    <t>100mH</t>
    <phoneticPr fontId="4"/>
  </si>
  <si>
    <t>100m</t>
    <phoneticPr fontId="4"/>
  </si>
  <si>
    <t>200m</t>
    <phoneticPr fontId="4"/>
  </si>
  <si>
    <t>400m</t>
    <phoneticPr fontId="4"/>
  </si>
  <si>
    <t>800m</t>
    <phoneticPr fontId="4"/>
  </si>
  <si>
    <t>1500m</t>
    <phoneticPr fontId="4"/>
  </si>
  <si>
    <t>2000m</t>
    <phoneticPr fontId="4"/>
  </si>
  <si>
    <t>3000m</t>
    <phoneticPr fontId="4"/>
  </si>
  <si>
    <t>少年B砲丸投</t>
  </si>
  <si>
    <t>2年100m</t>
    <phoneticPr fontId="5"/>
  </si>
  <si>
    <t>100m</t>
    <phoneticPr fontId="5"/>
  </si>
  <si>
    <t>1500m</t>
    <phoneticPr fontId="5"/>
  </si>
  <si>
    <t>走高跳</t>
    <phoneticPr fontId="5"/>
  </si>
  <si>
    <t>砲丸投</t>
  </si>
  <si>
    <t>砲丸投</t>
    <phoneticPr fontId="5"/>
  </si>
  <si>
    <t>円盤投</t>
  </si>
  <si>
    <t>円盤投</t>
    <phoneticPr fontId="5"/>
  </si>
  <si>
    <t>円盤投</t>
    <phoneticPr fontId="5"/>
  </si>
  <si>
    <t>混合4×200R</t>
    <rPh sb="0" eb="2">
      <t>コンゴウ</t>
    </rPh>
    <phoneticPr fontId="5"/>
  </si>
  <si>
    <t>混合4×200mR</t>
    <rPh sb="0" eb="2">
      <t>コンゴウ</t>
    </rPh>
    <phoneticPr fontId="5"/>
  </si>
  <si>
    <t>混合4×200mR</t>
    <phoneticPr fontId="5"/>
  </si>
  <si>
    <t>種目数</t>
    <rPh sb="0" eb="2">
      <t>シュモク</t>
    </rPh>
    <rPh sb="2" eb="3">
      <t>スウ</t>
    </rPh>
    <phoneticPr fontId="5"/>
  </si>
  <si>
    <t>110mJH</t>
    <phoneticPr fontId="4"/>
  </si>
  <si>
    <t>少年B110mJH</t>
    <rPh sb="0" eb="2">
      <t>ショウネン</t>
    </rPh>
    <phoneticPr fontId="4"/>
  </si>
  <si>
    <t>少年B100mYH</t>
    <phoneticPr fontId="5"/>
  </si>
  <si>
    <t>100mYH</t>
    <phoneticPr fontId="4"/>
  </si>
  <si>
    <t>2年100m</t>
    <phoneticPr fontId="5"/>
  </si>
  <si>
    <t>2年1500m</t>
    <phoneticPr fontId="5"/>
  </si>
  <si>
    <t>1年100m</t>
    <phoneticPr fontId="5"/>
  </si>
  <si>
    <t>1年1500m</t>
    <phoneticPr fontId="5"/>
  </si>
  <si>
    <t>1年800m</t>
    <phoneticPr fontId="5"/>
  </si>
  <si>
    <t>A-100m</t>
    <phoneticPr fontId="5"/>
  </si>
  <si>
    <t>A-200m</t>
    <phoneticPr fontId="5"/>
  </si>
  <si>
    <t>A-3000m</t>
    <phoneticPr fontId="5"/>
  </si>
  <si>
    <t>A-110mH</t>
    <phoneticPr fontId="5"/>
  </si>
  <si>
    <t>A-100mH</t>
    <phoneticPr fontId="5"/>
  </si>
  <si>
    <t>B-100m</t>
    <phoneticPr fontId="5"/>
  </si>
  <si>
    <t>B-1500m</t>
    <phoneticPr fontId="5"/>
  </si>
  <si>
    <t>B-110mH</t>
    <phoneticPr fontId="5"/>
  </si>
  <si>
    <t>B-100mH</t>
    <phoneticPr fontId="5"/>
  </si>
  <si>
    <t>C-800m</t>
    <phoneticPr fontId="4"/>
  </si>
  <si>
    <t>C-100m</t>
    <phoneticPr fontId="5"/>
  </si>
  <si>
    <t>C-1500m</t>
    <phoneticPr fontId="4"/>
  </si>
  <si>
    <t>110mJH</t>
    <phoneticPr fontId="4"/>
  </si>
  <si>
    <t>少年B100mYH</t>
    <phoneticPr fontId="4"/>
  </si>
  <si>
    <t>2年100m</t>
    <phoneticPr fontId="4"/>
  </si>
  <si>
    <t>2年1500m</t>
    <phoneticPr fontId="4"/>
  </si>
  <si>
    <t>1年100m</t>
    <phoneticPr fontId="4"/>
  </si>
  <si>
    <t>1年1500m</t>
    <phoneticPr fontId="4"/>
  </si>
  <si>
    <t>1年800m</t>
    <phoneticPr fontId="4"/>
  </si>
  <si>
    <t>リレー2種目は　　　　　　　出場できません</t>
    <rPh sb="4" eb="5">
      <t>シュ</t>
    </rPh>
    <rPh sb="14" eb="16">
      <t>シュツジョウ</t>
    </rPh>
    <phoneticPr fontId="5"/>
  </si>
  <si>
    <t>110mH</t>
  </si>
  <si>
    <t>400mH</t>
  </si>
  <si>
    <t>3000mSC</t>
  </si>
  <si>
    <t>ハンマー投</t>
  </si>
  <si>
    <t>やり投</t>
  </si>
  <si>
    <t>少年砲丸投</t>
  </si>
  <si>
    <t>少年円盤投</t>
  </si>
  <si>
    <t>少年ハンマー投</t>
  </si>
  <si>
    <t>少年B100m</t>
  </si>
  <si>
    <t>100mH</t>
  </si>
  <si>
    <t>少年B100m</t>
    <phoneticPr fontId="5"/>
  </si>
  <si>
    <t>少年B100m</t>
    <phoneticPr fontId="4"/>
  </si>
  <si>
    <t>A 100m</t>
  </si>
  <si>
    <t>A 200m</t>
  </si>
  <si>
    <t>A 3000m</t>
  </si>
  <si>
    <t>A 110mJH</t>
  </si>
  <si>
    <t>A 走高跳</t>
  </si>
  <si>
    <t>A 砲丸投</t>
  </si>
  <si>
    <t>B 100m</t>
  </si>
  <si>
    <t>B 1500m</t>
  </si>
  <si>
    <t>B 110mYH</t>
  </si>
  <si>
    <t>B 走幅跳</t>
  </si>
  <si>
    <t>C 100m</t>
  </si>
  <si>
    <t>C 走幅跳</t>
  </si>
  <si>
    <t>C 1500m</t>
  </si>
  <si>
    <t>B 砲丸投</t>
  </si>
  <si>
    <t>A 100mYH</t>
  </si>
  <si>
    <t>B 100mMH</t>
  </si>
  <si>
    <t>C 800m</t>
  </si>
  <si>
    <t>共通ジャベリック</t>
  </si>
  <si>
    <t>共通ジャベリック</t>
    <rPh sb="0" eb="2">
      <t>キョウツウ</t>
    </rPh>
    <phoneticPr fontId="5"/>
  </si>
  <si>
    <t>A 100m</t>
    <phoneticPr fontId="5"/>
  </si>
  <si>
    <t>A 110mJH</t>
    <phoneticPr fontId="4"/>
  </si>
  <si>
    <t>AB共通円盤投</t>
    <rPh sb="2" eb="4">
      <t>キョウツウ</t>
    </rPh>
    <phoneticPr fontId="5"/>
  </si>
  <si>
    <t>AB共通円盤投</t>
    <rPh sb="2" eb="4">
      <t>キョウツウ</t>
    </rPh>
    <phoneticPr fontId="4"/>
  </si>
  <si>
    <t>AB共通円盤投</t>
    <phoneticPr fontId="5"/>
  </si>
  <si>
    <t>共通ジャベリック</t>
    <phoneticPr fontId="4"/>
  </si>
  <si>
    <t>A 100mYH</t>
    <phoneticPr fontId="4"/>
  </si>
  <si>
    <t>B 110mYH</t>
    <phoneticPr fontId="4"/>
  </si>
  <si>
    <t>B 100mMH</t>
    <phoneticPr fontId="4"/>
  </si>
  <si>
    <t>大会名　略字でよい</t>
    <rPh sb="0" eb="2">
      <t>タイカイ</t>
    </rPh>
    <rPh sb="2" eb="3">
      <t>メイ</t>
    </rPh>
    <rPh sb="4" eb="5">
      <t>リャク</t>
    </rPh>
    <rPh sb="5" eb="6">
      <t>ジ</t>
    </rPh>
    <phoneticPr fontId="5"/>
  </si>
  <si>
    <t>24.20</t>
    <phoneticPr fontId="5"/>
  </si>
  <si>
    <t>18.30</t>
    <phoneticPr fontId="5"/>
  </si>
  <si>
    <t>12.40</t>
    <phoneticPr fontId="5"/>
  </si>
  <si>
    <t>21.00</t>
    <phoneticPr fontId="5"/>
  </si>
  <si>
    <t>5k  8m00</t>
    <phoneticPr fontId="5"/>
  </si>
  <si>
    <t>4k 10m00</t>
    <phoneticPr fontId="5"/>
  </si>
  <si>
    <t>13.50</t>
    <phoneticPr fontId="5"/>
  </si>
  <si>
    <t>28.40</t>
    <phoneticPr fontId="5"/>
  </si>
  <si>
    <t>17.50</t>
    <phoneticPr fontId="5"/>
  </si>
  <si>
    <t>4k  7m00</t>
    <phoneticPr fontId="5"/>
  </si>
  <si>
    <t>2.7k 9m50</t>
    <phoneticPr fontId="5"/>
  </si>
  <si>
    <t>5.30.00</t>
    <phoneticPr fontId="5"/>
  </si>
  <si>
    <t>三重陸協記録会</t>
    <rPh sb="0" eb="2">
      <t>ミエ</t>
    </rPh>
    <rPh sb="2" eb="3">
      <t>リク</t>
    </rPh>
    <rPh sb="3" eb="4">
      <t>キョウ</t>
    </rPh>
    <rPh sb="4" eb="6">
      <t>キロク</t>
    </rPh>
    <rPh sb="6" eb="7">
      <t>カイ</t>
    </rPh>
    <phoneticPr fontId="5"/>
  </si>
  <si>
    <t>3000m</t>
    <phoneticPr fontId="5"/>
  </si>
  <si>
    <t>棒高跳</t>
    <phoneticPr fontId="5"/>
  </si>
  <si>
    <t>100m</t>
    <phoneticPr fontId="5"/>
  </si>
  <si>
    <t>1500m</t>
    <phoneticPr fontId="5"/>
  </si>
  <si>
    <t>クラブ名</t>
    <rPh sb="3" eb="4">
      <t>メイ</t>
    </rPh>
    <phoneticPr fontId="4"/>
  </si>
  <si>
    <t>責任者名</t>
    <rPh sb="0" eb="3">
      <t>セキニンシャ</t>
    </rPh>
    <rPh sb="3" eb="4">
      <t>ナ</t>
    </rPh>
    <phoneticPr fontId="4"/>
  </si>
  <si>
    <t>責任者名</t>
    <rPh sb="0" eb="3">
      <t>セキニンシャ</t>
    </rPh>
    <rPh sb="3" eb="4">
      <t>メイ</t>
    </rPh>
    <phoneticPr fontId="4"/>
  </si>
  <si>
    <t>責任者名</t>
    <rPh sb="0" eb="3">
      <t>セキニンシャ</t>
    </rPh>
    <rPh sb="3" eb="4">
      <t>メイ</t>
    </rPh>
    <phoneticPr fontId="5"/>
  </si>
  <si>
    <t>責任者連絡先</t>
    <rPh sb="0" eb="3">
      <t>セキニンシャ</t>
    </rPh>
    <rPh sb="3" eb="6">
      <t>レンラクサキ</t>
    </rPh>
    <phoneticPr fontId="5"/>
  </si>
</sst>
</file>

<file path=xl/styles.xml><?xml version="1.0" encoding="utf-8"?>
<styleSheet xmlns="http://schemas.openxmlformats.org/spreadsheetml/2006/main">
  <numFmts count="8">
    <numFmt numFmtId="176" formatCode="&quot;¥&quot;#,##0_);\(&quot;¥&quot;#,##0\)"/>
    <numFmt numFmtId="177" formatCode="0_ "/>
    <numFmt numFmtId="178" formatCode="0_);[Red]\(0\)"/>
    <numFmt numFmtId="179" formatCode="##&quot;人&quot;"/>
    <numFmt numFmtId="180" formatCode="##&quot;種目&quot;"/>
    <numFmt numFmtId="181" formatCode="#\ &quot;日&quot;"/>
    <numFmt numFmtId="182" formatCode="&quot;計&quot;##&quot;人&quot;"/>
    <numFmt numFmtId="183" formatCode="m/d;@"/>
  </numFmts>
  <fonts count="104">
    <font>
      <sz val="11"/>
      <name val="ＭＳ Ｐゴシック"/>
      <family val="3"/>
      <charset val="128"/>
    </font>
    <font>
      <sz val="11"/>
      <name val="ＭＳ Ｐゴシック"/>
      <family val="3"/>
      <charset val="128"/>
    </font>
    <font>
      <sz val="11"/>
      <name val="ＭＳ Ｐゴシック"/>
      <family val="3"/>
      <charset val="128"/>
    </font>
    <font>
      <u/>
      <sz val="11"/>
      <color indexed="12"/>
      <name val="ＭＳ Ｐゴシック"/>
      <family val="3"/>
      <charset val="128"/>
    </font>
    <font>
      <sz val="9"/>
      <name val="ＭＳ Ｐゴシック"/>
      <family val="3"/>
      <charset val="128"/>
    </font>
    <font>
      <sz val="6"/>
      <name val="ＭＳ Ｐゴシック"/>
      <family val="3"/>
      <charset val="128"/>
    </font>
    <font>
      <sz val="9"/>
      <name val="ＭＳ ゴシック"/>
      <family val="3"/>
      <charset val="128"/>
    </font>
    <font>
      <sz val="10"/>
      <name val="ＭＳ ゴシック"/>
      <family val="3"/>
      <charset val="128"/>
    </font>
    <font>
      <sz val="11"/>
      <name val="ＭＳ 明朝"/>
      <family val="1"/>
      <charset val="128"/>
    </font>
    <font>
      <b/>
      <sz val="11"/>
      <name val="ＭＳ Ｐゴシック"/>
      <family val="3"/>
      <charset val="128"/>
    </font>
    <font>
      <sz val="9"/>
      <name val="ＭＳ 明朝"/>
      <family val="1"/>
      <charset val="128"/>
    </font>
    <font>
      <b/>
      <u/>
      <sz val="11"/>
      <color indexed="10"/>
      <name val="ＭＳ Ｐゴシック"/>
      <family val="3"/>
      <charset val="128"/>
    </font>
    <font>
      <b/>
      <sz val="11"/>
      <color indexed="10"/>
      <name val="ＭＳ Ｐゴシック"/>
      <family val="3"/>
      <charset val="128"/>
    </font>
    <font>
      <b/>
      <sz val="12"/>
      <color indexed="10"/>
      <name val="ＭＳ Ｐゴシック"/>
      <family val="3"/>
      <charset val="128"/>
    </font>
    <font>
      <sz val="10"/>
      <name val="ＭＳ 明朝"/>
      <family val="1"/>
      <charset val="128"/>
    </font>
    <font>
      <sz val="10"/>
      <name val="ＭＳ Ｐゴシック"/>
      <family val="3"/>
      <charset val="128"/>
    </font>
    <font>
      <b/>
      <sz val="14"/>
      <name val="ＭＳ Ｐゴシック"/>
      <family val="3"/>
      <charset val="128"/>
    </font>
    <font>
      <sz val="11"/>
      <color indexed="10"/>
      <name val="ＭＳ Ｐゴシック"/>
      <family val="3"/>
      <charset val="128"/>
    </font>
    <font>
      <b/>
      <i/>
      <sz val="11"/>
      <name val="ＭＳ Ｐゴシック"/>
      <family val="3"/>
      <charset val="128"/>
    </font>
    <font>
      <b/>
      <sz val="10"/>
      <name val="ＭＳ 明朝"/>
      <family val="1"/>
      <charset val="128"/>
    </font>
    <font>
      <b/>
      <sz val="16"/>
      <color indexed="10"/>
      <name val="ＭＳ Ｐゴシック"/>
      <family val="3"/>
      <charset val="128"/>
    </font>
    <font>
      <b/>
      <sz val="12"/>
      <name val="ＭＳ Ｐゴシック"/>
      <family val="3"/>
      <charset val="128"/>
    </font>
    <font>
      <sz val="6"/>
      <name val="ＭＳ 明朝"/>
      <family val="1"/>
      <charset val="128"/>
    </font>
    <font>
      <sz val="16"/>
      <name val="ＭＳ 明朝"/>
      <family val="1"/>
      <charset val="128"/>
    </font>
    <font>
      <sz val="14"/>
      <name val="ＭＳ 明朝"/>
      <family val="1"/>
      <charset val="128"/>
    </font>
    <font>
      <b/>
      <sz val="14"/>
      <name val="ＭＳ 明朝"/>
      <family val="1"/>
      <charset val="128"/>
    </font>
    <font>
      <sz val="18"/>
      <name val="ＭＳ 明朝"/>
      <family val="1"/>
      <charset val="128"/>
    </font>
    <font>
      <sz val="11"/>
      <color indexed="10"/>
      <name val="ＭＳ 明朝"/>
      <family val="1"/>
      <charset val="128"/>
    </font>
    <font>
      <u/>
      <sz val="11"/>
      <color indexed="10"/>
      <name val="ＭＳ Ｐゴシック"/>
      <family val="3"/>
      <charset val="128"/>
    </font>
    <font>
      <u/>
      <sz val="11"/>
      <name val="ＭＳ Ｐゴシック"/>
      <family val="3"/>
      <charset val="128"/>
    </font>
    <font>
      <sz val="20"/>
      <name val="ＭＳ Ｐゴシック"/>
      <family val="3"/>
      <charset val="128"/>
    </font>
    <font>
      <sz val="14"/>
      <name val="ＭＳ Ｐゴシック"/>
      <family val="3"/>
      <charset val="128"/>
    </font>
    <font>
      <b/>
      <sz val="11"/>
      <name val="ＭＳ 明朝"/>
      <family val="1"/>
      <charset val="128"/>
    </font>
    <font>
      <b/>
      <sz val="9"/>
      <color indexed="10"/>
      <name val="ＭＳ ゴシック"/>
      <family val="3"/>
      <charset val="128"/>
    </font>
    <font>
      <sz val="16"/>
      <name val="ＭＳ Ｐゴシック"/>
      <family val="3"/>
      <charset val="128"/>
    </font>
    <font>
      <b/>
      <sz val="11"/>
      <color indexed="8"/>
      <name val="ＭＳ Ｐゴシック"/>
      <family val="3"/>
      <charset val="128"/>
    </font>
    <font>
      <sz val="12"/>
      <name val="ＭＳ ゴシック"/>
      <family val="3"/>
      <charset val="128"/>
    </font>
    <font>
      <b/>
      <sz val="9"/>
      <name val="ＭＳ 明朝"/>
      <family val="1"/>
      <charset val="128"/>
    </font>
    <font>
      <b/>
      <sz val="12"/>
      <name val="ＭＳ 明朝"/>
      <family val="1"/>
      <charset val="128"/>
    </font>
    <font>
      <b/>
      <sz val="12"/>
      <color indexed="10"/>
      <name val="ＭＳ 明朝"/>
      <family val="1"/>
      <charset val="128"/>
    </font>
    <font>
      <b/>
      <u/>
      <sz val="11"/>
      <name val="ＭＳ Ｐゴシック"/>
      <family val="3"/>
      <charset val="128"/>
    </font>
    <font>
      <b/>
      <u/>
      <sz val="14"/>
      <name val="ＭＳ Ｐゴシック"/>
      <family val="3"/>
      <charset val="128"/>
    </font>
    <font>
      <b/>
      <sz val="10"/>
      <name val="ＭＳ ゴシック"/>
      <family val="3"/>
      <charset val="128"/>
    </font>
    <font>
      <b/>
      <sz val="11"/>
      <color indexed="10"/>
      <name val="ＭＳ 明朝"/>
      <family val="1"/>
      <charset val="128"/>
    </font>
    <font>
      <sz val="12"/>
      <name val="ＭＳ 明朝"/>
      <family val="1"/>
      <charset val="128"/>
    </font>
    <font>
      <sz val="18"/>
      <name val="ＭＳ ゴシック"/>
      <family val="3"/>
      <charset val="128"/>
    </font>
    <font>
      <sz val="12"/>
      <color indexed="12"/>
      <name val="ＭＳ 明朝"/>
      <family val="1"/>
      <charset val="128"/>
    </font>
    <font>
      <b/>
      <sz val="14"/>
      <color indexed="12"/>
      <name val="ＭＳ Ｐゴシック"/>
      <family val="3"/>
      <charset val="128"/>
    </font>
    <font>
      <b/>
      <i/>
      <sz val="14"/>
      <color indexed="12"/>
      <name val="ＭＳ Ｐゴシック"/>
      <family val="3"/>
      <charset val="128"/>
    </font>
    <font>
      <sz val="11"/>
      <color indexed="12"/>
      <name val="ＭＳ Ｐゴシック"/>
      <family val="3"/>
      <charset val="128"/>
    </font>
    <font>
      <sz val="9"/>
      <color indexed="8"/>
      <name val="ＭＳ 明朝"/>
      <family val="1"/>
      <charset val="128"/>
    </font>
    <font>
      <sz val="14"/>
      <color indexed="8"/>
      <name val="ＭＳ ゴシック"/>
      <family val="3"/>
      <charset val="128"/>
    </font>
    <font>
      <sz val="10"/>
      <color indexed="8"/>
      <name val="ＭＳ ゴシック"/>
      <family val="3"/>
      <charset val="128"/>
    </font>
    <font>
      <b/>
      <sz val="10"/>
      <color indexed="8"/>
      <name val="ＭＳ ゴシック"/>
      <family val="3"/>
      <charset val="128"/>
    </font>
    <font>
      <b/>
      <sz val="14"/>
      <color indexed="8"/>
      <name val="ＭＳ ゴシック"/>
      <family val="3"/>
      <charset val="128"/>
    </font>
    <font>
      <sz val="10.5"/>
      <color indexed="8"/>
      <name val="ＭＳ ゴシック"/>
      <family val="3"/>
      <charset val="128"/>
    </font>
    <font>
      <sz val="6"/>
      <name val="ＭＳ ゴシック"/>
      <family val="3"/>
      <charset val="128"/>
    </font>
    <font>
      <sz val="8"/>
      <color indexed="8"/>
      <name val="ＭＳ 明朝"/>
      <family val="1"/>
      <charset val="128"/>
    </font>
    <font>
      <sz val="12"/>
      <color indexed="8"/>
      <name val="ＭＳ 明朝"/>
      <family val="1"/>
      <charset val="128"/>
    </font>
    <font>
      <sz val="8"/>
      <color indexed="8"/>
      <name val="ＭＳ ゴシック"/>
      <family val="3"/>
      <charset val="128"/>
    </font>
    <font>
      <sz val="10"/>
      <color indexed="8"/>
      <name val="ＭＳ 明朝"/>
      <family val="1"/>
      <charset val="128"/>
    </font>
    <font>
      <sz val="8"/>
      <name val="ＭＳ 明朝"/>
      <family val="1"/>
      <charset val="128"/>
    </font>
    <font>
      <b/>
      <sz val="14"/>
      <color indexed="10"/>
      <name val="ＭＳ ゴシック"/>
      <family val="3"/>
      <charset val="128"/>
    </font>
    <font>
      <sz val="8"/>
      <color indexed="10"/>
      <name val="ＭＳ 明朝"/>
      <family val="1"/>
      <charset val="128"/>
    </font>
    <font>
      <sz val="8"/>
      <color indexed="10"/>
      <name val="ＭＳ ゴシック"/>
      <family val="3"/>
      <charset val="128"/>
    </font>
    <font>
      <sz val="10"/>
      <color indexed="10"/>
      <name val="ＭＳ 明朝"/>
      <family val="1"/>
      <charset val="128"/>
    </font>
    <font>
      <b/>
      <sz val="12"/>
      <color indexed="8"/>
      <name val="ＭＳ 明朝"/>
      <family val="1"/>
      <charset val="128"/>
    </font>
    <font>
      <b/>
      <sz val="11"/>
      <color indexed="8"/>
      <name val="ＭＳ 明朝"/>
      <family val="1"/>
      <charset val="128"/>
    </font>
    <font>
      <b/>
      <sz val="16"/>
      <name val="ＭＳ 明朝"/>
      <family val="1"/>
      <charset val="128"/>
    </font>
    <font>
      <sz val="10"/>
      <color indexed="8"/>
      <name val="ＭＳ Ｐゴシック"/>
      <family val="3"/>
      <charset val="128"/>
    </font>
    <font>
      <b/>
      <sz val="18"/>
      <color indexed="8"/>
      <name val="ＭＳ 明朝"/>
      <family val="1"/>
      <charset val="128"/>
    </font>
    <font>
      <sz val="18"/>
      <color indexed="8"/>
      <name val="ＭＳ 明朝"/>
      <family val="1"/>
      <charset val="128"/>
    </font>
    <font>
      <b/>
      <sz val="16"/>
      <color indexed="8"/>
      <name val="ＭＳ 明朝"/>
      <family val="1"/>
      <charset val="128"/>
    </font>
    <font>
      <b/>
      <sz val="18"/>
      <name val="ＭＳ 明朝"/>
      <family val="1"/>
      <charset val="128"/>
    </font>
    <font>
      <sz val="11"/>
      <name val="ＭＳ ゴシック"/>
      <family val="3"/>
      <charset val="128"/>
    </font>
    <font>
      <sz val="16"/>
      <name val="ＭＳ ゴシック"/>
      <family val="3"/>
      <charset val="128"/>
    </font>
    <font>
      <b/>
      <sz val="16"/>
      <name val="ＭＳ ゴシック"/>
      <family val="3"/>
      <charset val="128"/>
    </font>
    <font>
      <sz val="11"/>
      <color indexed="10"/>
      <name val="ＭＳ ゴシック"/>
      <family val="3"/>
      <charset val="128"/>
    </font>
    <font>
      <sz val="20"/>
      <name val="ＭＳ ゴシック"/>
      <family val="3"/>
      <charset val="128"/>
    </font>
    <font>
      <b/>
      <sz val="11"/>
      <name val="ＭＳ ゴシック"/>
      <family val="3"/>
      <charset val="128"/>
    </font>
    <font>
      <b/>
      <sz val="11"/>
      <color indexed="10"/>
      <name val="ＭＳ ゴシック"/>
      <family val="3"/>
      <charset val="128"/>
    </font>
    <font>
      <sz val="9"/>
      <color indexed="8"/>
      <name val="ＭＳ ゴシック"/>
      <family val="3"/>
      <charset val="128"/>
    </font>
    <font>
      <b/>
      <sz val="12"/>
      <color indexed="10"/>
      <name val="ＭＳ ゴシック"/>
      <family val="3"/>
      <charset val="128"/>
    </font>
    <font>
      <b/>
      <sz val="12"/>
      <name val="ＭＳ ゴシック"/>
      <family val="3"/>
      <charset val="128"/>
    </font>
    <font>
      <b/>
      <sz val="14"/>
      <name val="ＭＳ ゴシック"/>
      <family val="3"/>
      <charset val="128"/>
    </font>
    <font>
      <sz val="11"/>
      <color indexed="8"/>
      <name val="ＭＳ Ｐゴシック"/>
      <family val="3"/>
      <charset val="128"/>
    </font>
    <font>
      <sz val="10"/>
      <color indexed="16"/>
      <name val="ＭＳ Ｐ明朝"/>
      <family val="1"/>
      <charset val="128"/>
    </font>
    <font>
      <sz val="9"/>
      <color indexed="16"/>
      <name val="ＭＳ Ｐ明朝"/>
      <family val="1"/>
      <charset val="128"/>
    </font>
    <font>
      <sz val="12"/>
      <color indexed="16"/>
      <name val="ＭＳ Ｐ明朝"/>
      <family val="1"/>
      <charset val="128"/>
    </font>
    <font>
      <sz val="8"/>
      <color indexed="16"/>
      <name val="ＭＳ Ｐ明朝"/>
      <family val="1"/>
      <charset val="128"/>
    </font>
    <font>
      <sz val="9"/>
      <color indexed="10"/>
      <name val="ＭＳ Ｐゴシック"/>
      <family val="3"/>
      <charset val="128"/>
    </font>
    <font>
      <sz val="8"/>
      <name val="ＭＳ Ｐゴシック"/>
      <family val="3"/>
      <charset val="128"/>
    </font>
    <font>
      <sz val="11"/>
      <color indexed="43"/>
      <name val="ＭＳ ゴシック"/>
      <family val="3"/>
      <charset val="128"/>
    </font>
    <font>
      <sz val="11"/>
      <color rgb="FF333333"/>
      <name val="MS PGothic"/>
      <family val="3"/>
    </font>
    <font>
      <b/>
      <sz val="10"/>
      <color rgb="FFFF0000"/>
      <name val="ＭＳ 明朝"/>
      <family val="1"/>
      <charset val="128"/>
    </font>
    <font>
      <sz val="11"/>
      <color rgb="FFFFFF99"/>
      <name val="ＭＳ ゴシック"/>
      <family val="3"/>
      <charset val="128"/>
    </font>
    <font>
      <b/>
      <sz val="14"/>
      <color rgb="FFFF0000"/>
      <name val="ＭＳ ゴシック"/>
      <family val="3"/>
      <charset val="128"/>
    </font>
    <font>
      <b/>
      <sz val="12"/>
      <color rgb="FFFF0000"/>
      <name val="ＭＳ ゴシック"/>
      <family val="3"/>
      <charset val="128"/>
    </font>
    <font>
      <b/>
      <sz val="11"/>
      <color theme="1"/>
      <name val="ＭＳ 明朝"/>
      <family val="1"/>
      <charset val="128"/>
    </font>
    <font>
      <sz val="11"/>
      <color rgb="FFFFFF99"/>
      <name val="ＭＳ 明朝"/>
      <family val="1"/>
      <charset val="128"/>
    </font>
    <font>
      <sz val="26"/>
      <name val="ＭＳ ゴシック"/>
      <family val="3"/>
      <charset val="128"/>
    </font>
    <font>
      <sz val="11"/>
      <color rgb="FFFFFF99"/>
      <name val="ＭＳ Ｐゴシック"/>
      <family val="3"/>
      <charset val="128"/>
    </font>
    <font>
      <sz val="10"/>
      <color rgb="FFFFFF99"/>
      <name val="ＭＳ 明朝"/>
      <family val="1"/>
      <charset val="128"/>
    </font>
    <font>
      <b/>
      <sz val="10"/>
      <color theme="0"/>
      <name val="ＭＳ 明朝"/>
      <family val="1"/>
      <charset val="128"/>
    </font>
  </fonts>
  <fills count="20">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17"/>
        <bgColor indexed="64"/>
      </patternFill>
    </fill>
    <fill>
      <patternFill patternType="solid">
        <fgColor indexed="41"/>
        <bgColor indexed="64"/>
      </patternFill>
    </fill>
    <fill>
      <patternFill patternType="solid">
        <fgColor indexed="45"/>
        <bgColor indexed="64"/>
      </patternFill>
    </fill>
    <fill>
      <patternFill patternType="solid">
        <fgColor indexed="15"/>
        <bgColor indexed="64"/>
      </patternFill>
    </fill>
    <fill>
      <patternFill patternType="solid">
        <fgColor indexed="11"/>
        <bgColor indexed="64"/>
      </patternFill>
    </fill>
    <fill>
      <patternFill patternType="solid">
        <fgColor indexed="27"/>
        <bgColor indexed="64"/>
      </patternFill>
    </fill>
    <fill>
      <patternFill patternType="solid">
        <fgColor indexed="40"/>
        <bgColor indexed="64"/>
      </patternFill>
    </fill>
    <fill>
      <patternFill patternType="solid">
        <fgColor rgb="FFFFFF99"/>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00FFFF"/>
        <bgColor indexed="64"/>
      </patternFill>
    </fill>
    <fill>
      <patternFill patternType="solid">
        <fgColor theme="1"/>
        <bgColor indexed="64"/>
      </patternFill>
    </fill>
  </fills>
  <borders count="199">
    <border>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style="thin">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hair">
        <color indexed="64"/>
      </left>
      <right style="thin">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hair">
        <color indexed="64"/>
      </left>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thin">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thin">
        <color indexed="64"/>
      </left>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diagonal/>
    </border>
    <border>
      <left/>
      <right/>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bottom style="medium">
        <color indexed="64"/>
      </bottom>
      <diagonal/>
    </border>
    <border>
      <left style="thin">
        <color indexed="64"/>
      </left>
      <right style="hair">
        <color indexed="64"/>
      </right>
      <top style="hair">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top/>
      <bottom style="hair">
        <color indexed="64"/>
      </bottom>
      <diagonal/>
    </border>
    <border>
      <left/>
      <right/>
      <top style="hair">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hair">
        <color indexed="64"/>
      </bottom>
      <diagonal/>
    </border>
    <border>
      <left style="hair">
        <color indexed="64"/>
      </left>
      <right style="medium">
        <color indexed="64"/>
      </right>
      <top style="hair">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thin">
        <color indexed="64"/>
      </top>
      <bottom style="thin">
        <color indexed="64"/>
      </bottom>
      <diagonal/>
    </border>
    <border>
      <left/>
      <right/>
      <top style="hair">
        <color indexed="64"/>
      </top>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hair">
        <color indexed="64"/>
      </left>
      <right/>
      <top style="hair">
        <color indexed="64"/>
      </top>
      <bottom/>
      <diagonal/>
    </border>
    <border>
      <left style="thin">
        <color indexed="16"/>
      </left>
      <right style="thin">
        <color indexed="16"/>
      </right>
      <top/>
      <bottom/>
      <diagonal/>
    </border>
    <border>
      <left style="dotted">
        <color indexed="16"/>
      </left>
      <right style="thin">
        <color indexed="16"/>
      </right>
      <top style="thin">
        <color indexed="16"/>
      </top>
      <bottom/>
      <diagonal/>
    </border>
    <border>
      <left style="thin">
        <color indexed="16"/>
      </left>
      <right style="dotted">
        <color indexed="16"/>
      </right>
      <top style="thin">
        <color indexed="16"/>
      </top>
      <bottom/>
      <diagonal/>
    </border>
    <border>
      <left style="thin">
        <color indexed="16"/>
      </left>
      <right style="thin">
        <color indexed="16"/>
      </right>
      <top style="medium">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16"/>
      </left>
      <right style="thin">
        <color indexed="16"/>
      </right>
      <top style="thin">
        <color indexed="16"/>
      </top>
      <bottom/>
      <diagonal/>
    </border>
    <border>
      <left style="thin">
        <color indexed="16"/>
      </left>
      <right style="medium">
        <color indexed="64"/>
      </right>
      <top style="thin">
        <color indexed="16"/>
      </top>
      <bottom/>
      <diagonal/>
    </border>
    <border>
      <left style="medium">
        <color indexed="64"/>
      </left>
      <right style="medium">
        <color indexed="64"/>
      </right>
      <top style="medium">
        <color indexed="64"/>
      </top>
      <bottom style="medium">
        <color indexed="64"/>
      </bottom>
      <diagonal/>
    </border>
    <border>
      <left style="thin">
        <color indexed="16"/>
      </left>
      <right style="thin">
        <color indexed="16"/>
      </right>
      <top style="medium">
        <color indexed="64"/>
      </top>
      <bottom style="thin">
        <color indexed="16"/>
      </bottom>
      <diagonal/>
    </border>
    <border>
      <left style="thin">
        <color indexed="16"/>
      </left>
      <right style="medium">
        <color indexed="64"/>
      </right>
      <top style="medium">
        <color indexed="64"/>
      </top>
      <bottom style="thin">
        <color indexed="16"/>
      </bottom>
      <diagonal/>
    </border>
    <border>
      <left style="thin">
        <color indexed="16"/>
      </left>
      <right/>
      <top style="medium">
        <color indexed="64"/>
      </top>
      <bottom style="thin">
        <color indexed="16"/>
      </bottom>
      <diagonal/>
    </border>
    <border>
      <left/>
      <right style="thin">
        <color indexed="16"/>
      </right>
      <top style="medium">
        <color indexed="64"/>
      </top>
      <bottom style="thin">
        <color indexed="16"/>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hair">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indexed="64"/>
      </right>
      <top style="thin">
        <color indexed="64"/>
      </top>
      <bottom/>
      <diagonal/>
    </border>
    <border>
      <left/>
      <right style="hair">
        <color indexed="64"/>
      </right>
      <top style="medium">
        <color indexed="64"/>
      </top>
      <bottom/>
      <diagonal/>
    </border>
    <border>
      <left style="medium">
        <color indexed="64"/>
      </left>
      <right style="thin">
        <color indexed="64"/>
      </right>
      <top/>
      <bottom/>
      <diagonal/>
    </border>
    <border>
      <left/>
      <right style="thin">
        <color indexed="64"/>
      </right>
      <top style="hair">
        <color indexed="64"/>
      </top>
      <bottom/>
      <diagonal/>
    </border>
    <border>
      <left/>
      <right style="hair">
        <color indexed="64"/>
      </right>
      <top/>
      <bottom/>
      <diagonal/>
    </border>
    <border>
      <left style="medium">
        <color indexed="64"/>
      </left>
      <right/>
      <top/>
      <bottom style="medium">
        <color indexed="64"/>
      </bottom>
      <diagonal/>
    </border>
    <border>
      <left style="hair">
        <color indexed="64"/>
      </left>
      <right style="hair">
        <color indexed="64"/>
      </right>
      <top/>
      <bottom/>
      <diagonal/>
    </border>
    <border>
      <left style="thick">
        <color indexed="64"/>
      </left>
      <right/>
      <top style="thick">
        <color indexed="64"/>
      </top>
      <bottom/>
      <diagonal/>
    </border>
    <border>
      <left/>
      <right style="medium">
        <color indexed="64"/>
      </right>
      <top style="thick">
        <color indexed="64"/>
      </top>
      <bottom/>
      <diagonal/>
    </border>
    <border>
      <left style="thick">
        <color indexed="64"/>
      </left>
      <right/>
      <top/>
      <bottom/>
      <diagonal/>
    </border>
    <border>
      <left/>
      <right style="medium">
        <color indexed="64"/>
      </right>
      <top/>
      <bottom/>
      <diagonal/>
    </border>
    <border>
      <left style="thick">
        <color indexed="64"/>
      </left>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s>
  <cellStyleXfs count="15">
    <xf numFmtId="0" fontId="0" fillId="0" borderId="0">
      <alignment vertical="center"/>
    </xf>
    <xf numFmtId="0" fontId="3" fillId="0" borderId="0" applyNumberFormat="0" applyFill="0" applyBorder="0" applyAlignment="0" applyProtection="0">
      <alignment vertical="top"/>
      <protection locked="0"/>
    </xf>
    <xf numFmtId="0" fontId="2" fillId="0" borderId="0">
      <alignment vertical="center"/>
    </xf>
    <xf numFmtId="0" fontId="44" fillId="0" borderId="0" applyNumberFormat="0" applyFont="0" applyFill="0" applyBorder="0" applyProtection="0">
      <alignment vertical="center"/>
    </xf>
    <xf numFmtId="0" fontId="8" fillId="0" borderId="0">
      <alignment vertical="center"/>
    </xf>
    <xf numFmtId="0" fontId="2" fillId="0" borderId="0"/>
    <xf numFmtId="0" fontId="1" fillId="0" borderId="0"/>
    <xf numFmtId="0" fontId="10"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85" fillId="0" borderId="0"/>
  </cellStyleXfs>
  <cellXfs count="1663">
    <xf numFmtId="0" fontId="0" fillId="0" borderId="0" xfId="0">
      <alignment vertical="center"/>
    </xf>
    <xf numFmtId="49" fontId="0" fillId="0" borderId="0" xfId="0" applyNumberFormat="1">
      <alignment vertical="center"/>
    </xf>
    <xf numFmtId="0" fontId="0" fillId="0" borderId="0" xfId="0" applyNumberFormat="1">
      <alignment vertical="center"/>
    </xf>
    <xf numFmtId="0" fontId="4" fillId="0" borderId="0" xfId="5" applyFont="1" applyFill="1"/>
    <xf numFmtId="0" fontId="6" fillId="0" borderId="0" xfId="0" applyFont="1" applyFill="1" applyAlignment="1">
      <alignment horizontal="center" vertical="center"/>
    </xf>
    <xf numFmtId="0" fontId="6" fillId="0" borderId="0" xfId="6"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49" fontId="0" fillId="0" borderId="0" xfId="0" applyNumberFormat="1" applyAlignment="1">
      <alignment horizontal="right" vertical="center"/>
    </xf>
    <xf numFmtId="0" fontId="0" fillId="0" borderId="0" xfId="0" applyAlignment="1">
      <alignment vertical="center"/>
    </xf>
    <xf numFmtId="0" fontId="0" fillId="0" borderId="0" xfId="0" applyBorder="1">
      <alignment vertical="center"/>
    </xf>
    <xf numFmtId="0" fontId="6" fillId="0" borderId="0" xfId="0" applyNumberFormat="1" applyFont="1" applyFill="1" applyAlignment="1">
      <alignment horizontal="center" vertical="center"/>
    </xf>
    <xf numFmtId="0" fontId="7" fillId="0" borderId="0" xfId="0" applyFont="1" applyFill="1" applyAlignment="1">
      <alignment horizontal="distributed" vertical="center"/>
    </xf>
    <xf numFmtId="0" fontId="6" fillId="0" borderId="0" xfId="6" applyFont="1" applyFill="1" applyBorder="1" applyAlignment="1">
      <alignment vertical="center"/>
    </xf>
    <xf numFmtId="0" fontId="0" fillId="0" borderId="0" xfId="0" applyProtection="1">
      <alignment vertical="center"/>
      <protection hidden="1"/>
    </xf>
    <xf numFmtId="0" fontId="12" fillId="0" borderId="0" xfId="0" applyFont="1">
      <alignment vertical="center"/>
    </xf>
    <xf numFmtId="0" fontId="13" fillId="0" borderId="0" xfId="0" applyFont="1">
      <alignment vertical="center"/>
    </xf>
    <xf numFmtId="0" fontId="0" fillId="3" borderId="0" xfId="0" applyFill="1">
      <alignment vertical="center"/>
    </xf>
    <xf numFmtId="0" fontId="8" fillId="0" borderId="0" xfId="8" applyFont="1" applyProtection="1">
      <protection hidden="1"/>
    </xf>
    <xf numFmtId="0" fontId="8" fillId="0" borderId="0" xfId="0" applyFont="1" applyProtection="1">
      <alignment vertical="center"/>
      <protection hidden="1"/>
    </xf>
    <xf numFmtId="0" fontId="8" fillId="0" borderId="4" xfId="8" applyFont="1" applyBorder="1" applyProtection="1">
      <protection hidden="1"/>
    </xf>
    <xf numFmtId="0" fontId="8" fillId="0" borderId="0" xfId="8" applyNumberFormat="1" applyFont="1" applyProtection="1">
      <protection hidden="1"/>
    </xf>
    <xf numFmtId="49" fontId="8" fillId="0" borderId="0" xfId="8" applyNumberFormat="1" applyFont="1" applyProtection="1">
      <protection hidden="1"/>
    </xf>
    <xf numFmtId="49" fontId="8" fillId="0" borderId="0" xfId="8" applyNumberFormat="1" applyFont="1" applyFill="1" applyAlignment="1" applyProtection="1">
      <alignment shrinkToFit="1"/>
      <protection locked="0" hidden="1"/>
    </xf>
    <xf numFmtId="0" fontId="8" fillId="0" borderId="0" xfId="8" applyFont="1" applyProtection="1">
      <protection locked="0" hidden="1"/>
    </xf>
    <xf numFmtId="49" fontId="8" fillId="0" borderId="0" xfId="8" applyNumberFormat="1" applyFont="1" applyFill="1" applyProtection="1">
      <protection locked="0" hidden="1"/>
    </xf>
    <xf numFmtId="0" fontId="14" fillId="0" borderId="5" xfId="8" applyFont="1" applyBorder="1" applyAlignment="1" applyProtection="1">
      <alignment horizontal="center" vertical="center" shrinkToFit="1"/>
      <protection hidden="1"/>
    </xf>
    <xf numFmtId="49" fontId="14" fillId="0" borderId="5" xfId="8" applyNumberFormat="1" applyFont="1" applyBorder="1" applyAlignment="1" applyProtection="1">
      <alignment horizontal="center" vertical="center" shrinkToFit="1"/>
      <protection hidden="1"/>
    </xf>
    <xf numFmtId="0" fontId="14" fillId="0" borderId="0" xfId="8" applyFont="1" applyAlignment="1" applyProtection="1">
      <alignment horizontal="left" vertical="center" shrinkToFit="1"/>
      <protection hidden="1"/>
    </xf>
    <xf numFmtId="0" fontId="14" fillId="0" borderId="0" xfId="8"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49" fontId="14" fillId="0" borderId="6" xfId="8" applyNumberFormat="1" applyFont="1" applyFill="1" applyBorder="1" applyAlignment="1" applyProtection="1">
      <alignment horizontal="center" vertical="center" shrinkToFit="1"/>
      <protection locked="0" hidden="1"/>
    </xf>
    <xf numFmtId="49" fontId="14" fillId="0" borderId="0" xfId="8" applyNumberFormat="1" applyFont="1" applyAlignment="1" applyProtection="1">
      <alignment horizontal="right"/>
      <protection locked="0" hidden="1"/>
    </xf>
    <xf numFmtId="49" fontId="14" fillId="0" borderId="0" xfId="8" applyNumberFormat="1" applyFont="1" applyFill="1" applyAlignment="1" applyProtection="1">
      <alignment shrinkToFit="1"/>
      <protection locked="0" hidden="1"/>
    </xf>
    <xf numFmtId="0" fontId="15" fillId="0" borderId="0" xfId="0" applyFont="1" applyAlignment="1" applyProtection="1">
      <alignment vertical="center" shrinkToFit="1"/>
      <protection hidden="1"/>
    </xf>
    <xf numFmtId="0" fontId="14" fillId="0" borderId="0" xfId="8" applyNumberFormat="1" applyFont="1" applyAlignment="1" applyProtection="1">
      <alignment horizontal="right"/>
      <protection locked="0" hidden="1"/>
    </xf>
    <xf numFmtId="0" fontId="16" fillId="0" borderId="0" xfId="0" applyFont="1">
      <alignment vertical="center"/>
    </xf>
    <xf numFmtId="0" fontId="18" fillId="0" borderId="0" xfId="0" applyFont="1">
      <alignment vertical="center"/>
    </xf>
    <xf numFmtId="0" fontId="17" fillId="0" borderId="0" xfId="0" applyFont="1">
      <alignment vertical="center"/>
    </xf>
    <xf numFmtId="0" fontId="8" fillId="0" borderId="0" xfId="13" applyNumberFormat="1" applyFont="1" applyProtection="1">
      <protection hidden="1"/>
    </xf>
    <xf numFmtId="49" fontId="0" fillId="0" borderId="7" xfId="0" applyNumberFormat="1" applyBorder="1">
      <alignment vertical="center"/>
    </xf>
    <xf numFmtId="0" fontId="0" fillId="0" borderId="8" xfId="0" applyBorder="1">
      <alignment vertical="center"/>
    </xf>
    <xf numFmtId="0" fontId="0" fillId="0" borderId="8" xfId="0" applyNumberFormat="1" applyBorder="1">
      <alignment vertical="center"/>
    </xf>
    <xf numFmtId="0" fontId="0" fillId="0" borderId="7" xfId="0" applyBorder="1">
      <alignment vertical="center"/>
    </xf>
    <xf numFmtId="0" fontId="0" fillId="0" borderId="9" xfId="0" applyNumberFormat="1" applyBorder="1">
      <alignment vertical="center"/>
    </xf>
    <xf numFmtId="0" fontId="0" fillId="0" borderId="10" xfId="0" applyNumberFormat="1" applyBorder="1">
      <alignment vertical="center"/>
    </xf>
    <xf numFmtId="0" fontId="0" fillId="0" borderId="9" xfId="0" applyBorder="1">
      <alignment vertical="center"/>
    </xf>
    <xf numFmtId="0" fontId="0" fillId="0" borderId="10" xfId="0" applyBorder="1">
      <alignment vertical="center"/>
    </xf>
    <xf numFmtId="49" fontId="0" fillId="0" borderId="9" xfId="0" applyNumberFormat="1" applyBorder="1">
      <alignment vertical="center"/>
    </xf>
    <xf numFmtId="0" fontId="0" fillId="0" borderId="11" xfId="0" applyBorder="1">
      <alignment vertical="center"/>
    </xf>
    <xf numFmtId="49" fontId="0" fillId="0" borderId="12" xfId="0" applyNumberFormat="1" applyBorder="1">
      <alignment vertical="center"/>
    </xf>
    <xf numFmtId="0" fontId="0" fillId="0" borderId="11" xfId="0" applyNumberFormat="1" applyBorder="1">
      <alignment vertical="center"/>
    </xf>
    <xf numFmtId="49" fontId="0" fillId="0" borderId="8" xfId="0" applyNumberFormat="1" applyBorder="1">
      <alignment vertical="center"/>
    </xf>
    <xf numFmtId="0" fontId="20" fillId="0" borderId="0" xfId="0" applyFont="1">
      <alignment vertical="center"/>
    </xf>
    <xf numFmtId="0" fontId="0" fillId="0" borderId="13" xfId="0" applyBorder="1">
      <alignment vertical="center"/>
    </xf>
    <xf numFmtId="0" fontId="9" fillId="0" borderId="0" xfId="0" applyFont="1">
      <alignment vertical="center"/>
    </xf>
    <xf numFmtId="0" fontId="8" fillId="0" borderId="0" xfId="8" applyFont="1" applyBorder="1" applyProtection="1">
      <protection hidden="1"/>
    </xf>
    <xf numFmtId="0" fontId="8" fillId="0" borderId="0" xfId="4">
      <alignment vertical="center"/>
    </xf>
    <xf numFmtId="0" fontId="29" fillId="0" borderId="0" xfId="0" applyFont="1">
      <alignment vertical="center"/>
    </xf>
    <xf numFmtId="0" fontId="0" fillId="0" borderId="0" xfId="0" applyNumberFormat="1" applyBorder="1">
      <alignment vertical="center"/>
    </xf>
    <xf numFmtId="0" fontId="21" fillId="0" borderId="0" xfId="0" applyFont="1">
      <alignment vertical="center"/>
    </xf>
    <xf numFmtId="0" fontId="28" fillId="0" borderId="0" xfId="0" applyFont="1">
      <alignment vertical="center"/>
    </xf>
    <xf numFmtId="49" fontId="0" fillId="0" borderId="7" xfId="0" applyNumberFormat="1" applyBorder="1" applyAlignment="1">
      <alignment horizontal="left" vertical="center"/>
    </xf>
    <xf numFmtId="0" fontId="0" fillId="0" borderId="7" xfId="0" applyBorder="1" applyAlignment="1">
      <alignment horizontal="left" vertical="center"/>
    </xf>
    <xf numFmtId="0" fontId="0" fillId="0" borderId="9" xfId="0" applyNumberFormat="1" applyBorder="1" applyAlignment="1">
      <alignment horizontal="left" vertical="center"/>
    </xf>
    <xf numFmtId="0" fontId="0" fillId="0" borderId="9" xfId="0" applyBorder="1" applyAlignment="1">
      <alignment horizontal="left" vertical="center"/>
    </xf>
    <xf numFmtId="49" fontId="0" fillId="0" borderId="9" xfId="0" applyNumberFormat="1" applyBorder="1" applyAlignment="1">
      <alignment horizontal="left" vertical="center"/>
    </xf>
    <xf numFmtId="0" fontId="0" fillId="0" borderId="12" xfId="0" applyBorder="1" applyAlignment="1">
      <alignment horizontal="left" vertical="center"/>
    </xf>
    <xf numFmtId="49" fontId="0" fillId="0" borderId="12" xfId="0" applyNumberFormat="1" applyBorder="1" applyAlignment="1">
      <alignment horizontal="left" vertical="center"/>
    </xf>
    <xf numFmtId="49" fontId="0" fillId="0" borderId="0" xfId="0" applyNumberFormat="1" applyAlignment="1">
      <alignment horizontal="left" vertical="center"/>
    </xf>
    <xf numFmtId="0" fontId="0" fillId="0" borderId="11" xfId="0" applyNumberFormat="1" applyFill="1" applyBorder="1">
      <alignment vertical="center"/>
    </xf>
    <xf numFmtId="0" fontId="0" fillId="0" borderId="0" xfId="0" applyNumberFormat="1" applyAlignment="1">
      <alignment horizontal="left" vertical="center"/>
    </xf>
    <xf numFmtId="0" fontId="0" fillId="0" borderId="0" xfId="0" applyFill="1" applyBorder="1">
      <alignment vertical="center"/>
    </xf>
    <xf numFmtId="0" fontId="4" fillId="0" borderId="0" xfId="5" applyFont="1" applyFill="1" applyAlignment="1">
      <alignment horizontal="center"/>
    </xf>
    <xf numFmtId="0" fontId="6" fillId="0" borderId="0" xfId="0" applyFont="1" applyFill="1" applyAlignment="1" applyProtection="1">
      <alignment horizontal="center" vertical="center"/>
      <protection locked="0" hidden="1"/>
    </xf>
    <xf numFmtId="0" fontId="6" fillId="0" borderId="0" xfId="0" applyFont="1" applyFill="1" applyAlignment="1" applyProtection="1">
      <alignment vertical="center"/>
      <protection locked="0" hidden="1"/>
    </xf>
    <xf numFmtId="0" fontId="6" fillId="0" borderId="0" xfId="6" applyFont="1" applyFill="1" applyBorder="1" applyAlignment="1" applyProtection="1">
      <alignment horizontal="center" vertical="center"/>
      <protection locked="0" hidden="1"/>
    </xf>
    <xf numFmtId="0" fontId="0" fillId="0" borderId="10" xfId="0" applyNumberFormat="1" applyFill="1" applyBorder="1">
      <alignment vertical="center"/>
    </xf>
    <xf numFmtId="49" fontId="0" fillId="0" borderId="0" xfId="0" applyNumberFormat="1" applyBorder="1">
      <alignment vertical="center"/>
    </xf>
    <xf numFmtId="0" fontId="6" fillId="0" borderId="0" xfId="6" applyFont="1" applyFill="1" applyBorder="1" applyAlignment="1" applyProtection="1">
      <alignment horizontal="center" vertical="center"/>
      <protection hidden="1"/>
    </xf>
    <xf numFmtId="0" fontId="6" fillId="0" borderId="0" xfId="6" applyFont="1" applyFill="1" applyBorder="1" applyAlignment="1" applyProtection="1">
      <alignment vertical="center"/>
      <protection hidden="1"/>
    </xf>
    <xf numFmtId="0" fontId="8" fillId="0" borderId="0" xfId="0" applyFont="1">
      <alignment vertical="center"/>
    </xf>
    <xf numFmtId="0" fontId="0" fillId="0" borderId="10" xfId="0" applyFill="1" applyBorder="1">
      <alignment vertical="center"/>
    </xf>
    <xf numFmtId="0" fontId="14" fillId="0" borderId="0" xfId="8" applyFont="1" applyBorder="1" applyAlignment="1" applyProtection="1">
      <alignment horizontal="center" vertical="center" shrinkToFit="1"/>
      <protection hidden="1"/>
    </xf>
    <xf numFmtId="0" fontId="0" fillId="0" borderId="25" xfId="0" applyBorder="1">
      <alignment vertical="center"/>
    </xf>
    <xf numFmtId="0" fontId="0" fillId="0" borderId="25" xfId="0" applyBorder="1"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0" fillId="0" borderId="0" xfId="0" applyProtection="1">
      <alignment vertical="center"/>
      <protection locked="0"/>
    </xf>
    <xf numFmtId="0" fontId="14" fillId="0" borderId="27" xfId="8" applyFont="1" applyBorder="1" applyAlignment="1" applyProtection="1">
      <alignment horizontal="center" vertical="center" shrinkToFit="1"/>
      <protection hidden="1"/>
    </xf>
    <xf numFmtId="0" fontId="14" fillId="0" borderId="0" xfId="8" applyFont="1" applyAlignment="1" applyProtection="1">
      <alignment horizontal="center"/>
      <protection hidden="1"/>
    </xf>
    <xf numFmtId="0" fontId="0" fillId="0" borderId="0" xfId="0" applyFill="1">
      <alignment vertical="center"/>
    </xf>
    <xf numFmtId="0" fontId="14" fillId="0" borderId="0" xfId="13" applyNumberFormat="1" applyFont="1" applyFill="1" applyAlignment="1" applyProtection="1">
      <alignment shrinkToFit="1"/>
      <protection locked="0" hidden="1"/>
    </xf>
    <xf numFmtId="0" fontId="14" fillId="0" borderId="0" xfId="13" applyNumberFormat="1" applyFont="1" applyProtection="1">
      <protection hidden="1"/>
    </xf>
    <xf numFmtId="0" fontId="14" fillId="0" borderId="0" xfId="13" applyNumberFormat="1" applyFont="1" applyAlignment="1" applyProtection="1">
      <alignment horizontal="right"/>
      <protection locked="0" hidden="1"/>
    </xf>
    <xf numFmtId="0" fontId="8" fillId="0" borderId="0" xfId="13" applyNumberFormat="1" applyFont="1" applyFill="1" applyAlignment="1" applyProtection="1">
      <alignment shrinkToFit="1"/>
      <protection locked="0" hidden="1"/>
    </xf>
    <xf numFmtId="0" fontId="10" fillId="0" borderId="0" xfId="13" applyNumberFormat="1" applyFont="1" applyProtection="1">
      <protection locked="0" hidden="1"/>
    </xf>
    <xf numFmtId="0" fontId="8" fillId="0" borderId="0" xfId="0" applyNumberFormat="1" applyFont="1" applyProtection="1">
      <alignment vertical="center"/>
      <protection hidden="1"/>
    </xf>
    <xf numFmtId="0" fontId="8" fillId="0" borderId="0" xfId="13" applyNumberFormat="1" applyFont="1" applyProtection="1">
      <protection locked="0" hidden="1"/>
    </xf>
    <xf numFmtId="0" fontId="14" fillId="0" borderId="0" xfId="13" applyNumberFormat="1" applyFont="1" applyAlignment="1" applyProtection="1">
      <alignment horizontal="left" vertical="center" shrinkToFit="1"/>
      <protection hidden="1"/>
    </xf>
    <xf numFmtId="0" fontId="14" fillId="0" borderId="28" xfId="13" applyNumberFormat="1" applyFont="1" applyBorder="1" applyAlignment="1" applyProtection="1">
      <alignment horizontal="center" vertical="center" shrinkToFit="1"/>
      <protection hidden="1"/>
    </xf>
    <xf numFmtId="0" fontId="14" fillId="0" borderId="29" xfId="13" applyNumberFormat="1" applyFont="1" applyBorder="1" applyAlignment="1" applyProtection="1">
      <alignment horizontal="center" vertical="center" shrinkToFit="1"/>
      <protection hidden="1"/>
    </xf>
    <xf numFmtId="0" fontId="14" fillId="0" borderId="31" xfId="13" applyNumberFormat="1" applyFont="1" applyBorder="1" applyAlignment="1" applyProtection="1">
      <alignment horizontal="center" vertical="center" shrinkToFit="1"/>
      <protection hidden="1"/>
    </xf>
    <xf numFmtId="0" fontId="14" fillId="0" borderId="32" xfId="13" applyNumberFormat="1" applyFont="1" applyFill="1" applyBorder="1" applyAlignment="1" applyProtection="1">
      <alignment horizontal="center" vertical="center" shrinkToFit="1"/>
      <protection hidden="1"/>
    </xf>
    <xf numFmtId="0" fontId="14" fillId="0" borderId="5" xfId="13" applyNumberFormat="1" applyFont="1" applyBorder="1" applyAlignment="1" applyProtection="1">
      <alignment horizontal="left" vertical="center" shrinkToFit="1"/>
      <protection hidden="1"/>
    </xf>
    <xf numFmtId="0" fontId="14" fillId="0" borderId="33" xfId="13" applyNumberFormat="1" applyFont="1" applyBorder="1" applyAlignment="1" applyProtection="1">
      <alignment horizontal="center" vertical="center" shrinkToFit="1"/>
      <protection hidden="1"/>
    </xf>
    <xf numFmtId="0" fontId="14" fillId="0" borderId="32" xfId="13" applyNumberFormat="1" applyFont="1" applyFill="1" applyBorder="1" applyAlignment="1" applyProtection="1">
      <alignment horizontal="center" vertical="center" shrinkToFit="1"/>
      <protection locked="0" hidden="1"/>
    </xf>
    <xf numFmtId="0" fontId="14" fillId="0" borderId="34" xfId="13" applyNumberFormat="1" applyFont="1" applyBorder="1" applyAlignment="1" applyProtection="1">
      <alignment horizontal="center" vertical="center" shrinkToFit="1"/>
      <protection locked="0" hidden="1"/>
    </xf>
    <xf numFmtId="0" fontId="14" fillId="0" borderId="30" xfId="13" applyNumberFormat="1" applyFont="1" applyFill="1" applyBorder="1" applyAlignment="1" applyProtection="1">
      <alignment horizontal="center" vertical="center" shrinkToFit="1"/>
      <protection locked="0" hidden="1"/>
    </xf>
    <xf numFmtId="0" fontId="14" fillId="0" borderId="30" xfId="13" applyNumberFormat="1" applyFont="1" applyBorder="1" applyAlignment="1" applyProtection="1">
      <alignment horizontal="left" vertical="center" shrinkToFit="1"/>
      <protection hidden="1"/>
    </xf>
    <xf numFmtId="0" fontId="14" fillId="0" borderId="30" xfId="13" applyNumberFormat="1" applyFont="1" applyBorder="1" applyAlignment="1" applyProtection="1">
      <alignment horizontal="left" vertical="center" shrinkToFit="1"/>
      <protection locked="0" hidden="1"/>
    </xf>
    <xf numFmtId="0" fontId="14" fillId="0" borderId="35" xfId="13" applyNumberFormat="1" applyFont="1" applyBorder="1" applyAlignment="1" applyProtection="1">
      <alignment horizontal="left" vertical="center" shrinkToFit="1"/>
      <protection locked="0" hidden="1"/>
    </xf>
    <xf numFmtId="0" fontId="14" fillId="0" borderId="0" xfId="0" applyNumberFormat="1" applyFont="1" applyAlignment="1" applyProtection="1">
      <alignment horizontal="center" vertical="center" shrinkToFit="1"/>
      <protection hidden="1"/>
    </xf>
    <xf numFmtId="0" fontId="14" fillId="0" borderId="0" xfId="13" applyNumberFormat="1" applyFont="1" applyAlignment="1" applyProtection="1">
      <alignment horizontal="center" vertical="center" shrinkToFit="1"/>
      <protection hidden="1"/>
    </xf>
    <xf numFmtId="0" fontId="14" fillId="5" borderId="24" xfId="13" applyNumberFormat="1" applyFont="1" applyFill="1" applyBorder="1" applyAlignment="1" applyProtection="1">
      <alignment shrinkToFit="1"/>
      <protection locked="0" hidden="1"/>
    </xf>
    <xf numFmtId="0" fontId="14" fillId="0" borderId="18" xfId="13" applyNumberFormat="1" applyFont="1" applyBorder="1" applyProtection="1">
      <protection hidden="1"/>
    </xf>
    <xf numFmtId="0" fontId="14" fillId="6" borderId="36" xfId="13" applyNumberFormat="1" applyFont="1" applyFill="1" applyBorder="1" applyAlignment="1" applyProtection="1">
      <alignment horizontal="right"/>
      <protection locked="0" hidden="1"/>
    </xf>
    <xf numFmtId="0" fontId="14" fillId="6" borderId="19" xfId="13" applyNumberFormat="1" applyFont="1" applyFill="1" applyBorder="1" applyAlignment="1" applyProtection="1">
      <alignment horizontal="right"/>
      <protection locked="0" hidden="1"/>
    </xf>
    <xf numFmtId="0" fontId="8" fillId="5" borderId="24" xfId="13" applyNumberFormat="1" applyFont="1" applyFill="1" applyBorder="1" applyAlignment="1" applyProtection="1">
      <alignment shrinkToFit="1"/>
      <protection locked="0" hidden="1"/>
    </xf>
    <xf numFmtId="0" fontId="8" fillId="0" borderId="18" xfId="13" applyNumberFormat="1" applyFont="1" applyBorder="1" applyProtection="1">
      <protection hidden="1"/>
    </xf>
    <xf numFmtId="0" fontId="10" fillId="6" borderId="18" xfId="13" applyNumberFormat="1" applyFont="1" applyFill="1" applyBorder="1" applyProtection="1">
      <protection locked="0" hidden="1"/>
    </xf>
    <xf numFmtId="0" fontId="8" fillId="5" borderId="18" xfId="13" applyNumberFormat="1" applyFont="1" applyFill="1" applyBorder="1" applyAlignment="1" applyProtection="1">
      <alignment shrinkToFit="1"/>
      <protection locked="0" hidden="1"/>
    </xf>
    <xf numFmtId="0" fontId="10" fillId="6" borderId="19" xfId="13" applyNumberFormat="1" applyFont="1" applyFill="1" applyBorder="1" applyProtection="1">
      <protection locked="0" hidden="1"/>
    </xf>
    <xf numFmtId="0" fontId="14" fillId="0" borderId="4" xfId="13" applyNumberFormat="1" applyFont="1" applyBorder="1" applyProtection="1">
      <protection hidden="1"/>
    </xf>
    <xf numFmtId="0" fontId="14" fillId="5" borderId="22" xfId="13" applyNumberFormat="1" applyFont="1" applyFill="1" applyBorder="1" applyAlignment="1" applyProtection="1">
      <alignment shrinkToFit="1"/>
      <protection locked="0" hidden="1"/>
    </xf>
    <xf numFmtId="0" fontId="8" fillId="5" borderId="22" xfId="13" applyNumberFormat="1" applyFont="1" applyFill="1" applyBorder="1" applyAlignment="1" applyProtection="1">
      <alignment shrinkToFit="1"/>
      <protection locked="0" hidden="1"/>
    </xf>
    <xf numFmtId="0" fontId="8" fillId="0" borderId="4" xfId="13" applyNumberFormat="1" applyFont="1" applyBorder="1" applyProtection="1">
      <protection hidden="1"/>
    </xf>
    <xf numFmtId="0" fontId="8" fillId="5" borderId="4" xfId="13" applyNumberFormat="1" applyFont="1" applyFill="1" applyBorder="1" applyAlignment="1" applyProtection="1">
      <alignment shrinkToFit="1"/>
      <protection locked="0" hidden="1"/>
    </xf>
    <xf numFmtId="0" fontId="0" fillId="0" borderId="0" xfId="0" applyNumberFormat="1" applyProtection="1">
      <alignment vertical="center"/>
      <protection hidden="1"/>
    </xf>
    <xf numFmtId="0" fontId="8" fillId="0" borderId="37" xfId="8" applyNumberFormat="1" applyFont="1" applyBorder="1" applyAlignment="1" applyProtection="1">
      <alignment horizontal="left" shrinkToFit="1"/>
      <protection locked="0" hidden="1"/>
    </xf>
    <xf numFmtId="0" fontId="8" fillId="0" borderId="38" xfId="8" applyNumberFormat="1" applyFont="1" applyBorder="1" applyAlignment="1" applyProtection="1">
      <alignment horizontal="center"/>
      <protection locked="0" hidden="1"/>
    </xf>
    <xf numFmtId="0" fontId="8" fillId="0" borderId="39" xfId="8" applyNumberFormat="1" applyFont="1" applyBorder="1" applyAlignment="1" applyProtection="1">
      <alignment horizontal="left" shrinkToFit="1"/>
      <protection locked="0" hidden="1"/>
    </xf>
    <xf numFmtId="0" fontId="8" fillId="0" borderId="40" xfId="8" applyNumberFormat="1" applyFont="1" applyBorder="1" applyAlignment="1" applyProtection="1">
      <alignment horizontal="center"/>
      <protection locked="0" hidden="1"/>
    </xf>
    <xf numFmtId="0" fontId="14" fillId="0" borderId="0" xfId="13" applyNumberFormat="1" applyFont="1" applyAlignment="1" applyProtection="1">
      <alignment horizontal="center"/>
      <protection hidden="1"/>
    </xf>
    <xf numFmtId="0" fontId="8" fillId="0" borderId="0" xfId="9" applyFont="1" applyProtection="1">
      <protection hidden="1"/>
    </xf>
    <xf numFmtId="49" fontId="8" fillId="0" borderId="0" xfId="9" applyNumberFormat="1" applyFont="1" applyProtection="1">
      <protection hidden="1"/>
    </xf>
    <xf numFmtId="0" fontId="8" fillId="0" borderId="0" xfId="9" applyFont="1" applyAlignment="1" applyProtection="1">
      <alignment horizontal="center"/>
      <protection hidden="1"/>
    </xf>
    <xf numFmtId="0" fontId="8" fillId="0" borderId="0" xfId="9" applyFont="1" applyAlignment="1" applyProtection="1">
      <alignment horizontal="center" shrinkToFit="1"/>
      <protection hidden="1"/>
    </xf>
    <xf numFmtId="49" fontId="8" fillId="0" borderId="0" xfId="9" applyNumberFormat="1" applyFont="1" applyAlignment="1" applyProtection="1">
      <alignment horizontal="right" shrinkToFit="1"/>
      <protection hidden="1"/>
    </xf>
    <xf numFmtId="49" fontId="8" fillId="0" borderId="0" xfId="9" applyNumberFormat="1" applyFont="1" applyFill="1" applyAlignment="1" applyProtection="1">
      <alignment shrinkToFit="1"/>
      <protection hidden="1"/>
    </xf>
    <xf numFmtId="0" fontId="8" fillId="0" borderId="0" xfId="9" applyFont="1" applyAlignment="1" applyProtection="1">
      <alignment shrinkToFit="1"/>
      <protection hidden="1"/>
    </xf>
    <xf numFmtId="49" fontId="8" fillId="0" borderId="0" xfId="9" applyNumberFormat="1" applyFont="1" applyFill="1" applyAlignment="1" applyProtection="1">
      <alignment horizontal="center" shrinkToFit="1"/>
      <protection hidden="1"/>
    </xf>
    <xf numFmtId="0" fontId="8" fillId="0" borderId="0" xfId="9" applyFont="1" applyAlignment="1" applyProtection="1">
      <alignment horizontal="left"/>
      <protection hidden="1"/>
    </xf>
    <xf numFmtId="0" fontId="14" fillId="0" borderId="0" xfId="9" applyFont="1" applyAlignment="1" applyProtection="1">
      <alignment horizontal="center" vertical="center"/>
      <protection hidden="1"/>
    </xf>
    <xf numFmtId="0" fontId="14" fillId="0" borderId="27" xfId="0" applyFont="1" applyBorder="1" applyAlignment="1" applyProtection="1">
      <alignment horizontal="center" vertical="center"/>
      <protection hidden="1"/>
    </xf>
    <xf numFmtId="49" fontId="14" fillId="0" borderId="41" xfId="9" applyNumberFormat="1" applyFont="1" applyFill="1" applyBorder="1" applyAlignment="1" applyProtection="1">
      <alignment horizontal="center" vertical="center" shrinkToFit="1"/>
      <protection hidden="1"/>
    </xf>
    <xf numFmtId="0" fontId="14" fillId="0" borderId="5" xfId="9" applyFont="1" applyBorder="1" applyAlignment="1" applyProtection="1">
      <alignment horizontal="center" vertical="center" shrinkToFit="1"/>
      <protection hidden="1"/>
    </xf>
    <xf numFmtId="49" fontId="14" fillId="0" borderId="33" xfId="9" applyNumberFormat="1" applyFont="1" applyBorder="1" applyAlignment="1" applyProtection="1">
      <alignment horizontal="center" vertical="center" shrinkToFit="1"/>
      <protection hidden="1"/>
    </xf>
    <xf numFmtId="49" fontId="14" fillId="0" borderId="34" xfId="9" applyNumberFormat="1" applyFont="1" applyBorder="1" applyAlignment="1" applyProtection="1">
      <alignment horizontal="center" vertical="center" shrinkToFit="1"/>
      <protection hidden="1"/>
    </xf>
    <xf numFmtId="0" fontId="14" fillId="0" borderId="0" xfId="0" applyFont="1" applyAlignment="1" applyProtection="1">
      <alignment horizontal="center" vertical="center"/>
      <protection hidden="1"/>
    </xf>
    <xf numFmtId="0" fontId="8" fillId="0" borderId="6" xfId="9" applyFont="1" applyFill="1" applyBorder="1" applyProtection="1">
      <protection hidden="1"/>
    </xf>
    <xf numFmtId="0" fontId="8" fillId="0" borderId="6" xfId="9" applyFont="1" applyFill="1" applyBorder="1" applyAlignment="1" applyProtection="1">
      <alignment horizontal="center"/>
      <protection hidden="1"/>
    </xf>
    <xf numFmtId="49" fontId="8" fillId="6" borderId="42" xfId="9" applyNumberFormat="1" applyFont="1" applyFill="1" applyBorder="1" applyAlignment="1" applyProtection="1">
      <alignment horizontal="right" shrinkToFit="1"/>
      <protection locked="0" hidden="1"/>
    </xf>
    <xf numFmtId="49" fontId="8" fillId="6" borderId="14" xfId="9" applyNumberFormat="1" applyFont="1" applyFill="1" applyBorder="1" applyAlignment="1" applyProtection="1">
      <alignment horizontal="right" shrinkToFit="1"/>
      <protection locked="0" hidden="1"/>
    </xf>
    <xf numFmtId="49" fontId="8" fillId="5" borderId="21" xfId="9" applyNumberFormat="1" applyFont="1" applyFill="1" applyBorder="1" applyAlignment="1" applyProtection="1">
      <alignment shrinkToFit="1"/>
      <protection locked="0" hidden="1"/>
    </xf>
    <xf numFmtId="0" fontId="8" fillId="0" borderId="6" xfId="9" applyFont="1" applyBorder="1" applyAlignment="1" applyProtection="1">
      <alignment shrinkToFit="1"/>
      <protection hidden="1"/>
    </xf>
    <xf numFmtId="49" fontId="8" fillId="5" borderId="38" xfId="9" applyNumberFormat="1" applyFont="1" applyFill="1" applyBorder="1" applyAlignment="1" applyProtection="1">
      <alignment horizontal="center" shrinkToFit="1"/>
      <protection locked="0" hidden="1"/>
    </xf>
    <xf numFmtId="0" fontId="8" fillId="0" borderId="43" xfId="9" applyFont="1" applyBorder="1" applyAlignment="1" applyProtection="1">
      <alignment shrinkToFit="1"/>
      <protection hidden="1"/>
    </xf>
    <xf numFmtId="49" fontId="8" fillId="6" borderId="44" xfId="9" applyNumberFormat="1" applyFont="1" applyFill="1" applyBorder="1" applyAlignment="1" applyProtection="1">
      <alignment horizontal="right" shrinkToFit="1"/>
      <protection locked="0" hidden="1"/>
    </xf>
    <xf numFmtId="49" fontId="8" fillId="5" borderId="24" xfId="9" applyNumberFormat="1" applyFont="1" applyFill="1" applyBorder="1" applyAlignment="1" applyProtection="1">
      <alignment shrinkToFit="1"/>
      <protection locked="0" hidden="1"/>
    </xf>
    <xf numFmtId="0" fontId="8" fillId="0" borderId="18" xfId="9" applyFont="1" applyBorder="1" applyAlignment="1" applyProtection="1">
      <alignment shrinkToFit="1"/>
      <protection hidden="1"/>
    </xf>
    <xf numFmtId="0" fontId="8" fillId="0" borderId="4" xfId="9" applyFont="1" applyFill="1" applyBorder="1" applyProtection="1">
      <protection hidden="1"/>
    </xf>
    <xf numFmtId="49" fontId="8" fillId="6" borderId="45" xfId="9" applyNumberFormat="1" applyFont="1" applyFill="1" applyBorder="1" applyAlignment="1" applyProtection="1">
      <alignment horizontal="right" shrinkToFit="1"/>
      <protection locked="0" hidden="1"/>
    </xf>
    <xf numFmtId="49" fontId="8" fillId="6" borderId="15" xfId="9" applyNumberFormat="1" applyFont="1" applyFill="1" applyBorder="1" applyAlignment="1" applyProtection="1">
      <alignment horizontal="right" shrinkToFit="1"/>
      <protection locked="0" hidden="1"/>
    </xf>
    <xf numFmtId="0" fontId="8" fillId="0" borderId="4" xfId="9" applyFont="1" applyBorder="1" applyAlignment="1" applyProtection="1">
      <alignment shrinkToFit="1"/>
      <protection hidden="1"/>
    </xf>
    <xf numFmtId="49" fontId="8" fillId="5" borderId="46" xfId="9" applyNumberFormat="1" applyFont="1" applyFill="1" applyBorder="1" applyAlignment="1" applyProtection="1">
      <alignment horizontal="center" shrinkToFit="1"/>
      <protection locked="0" hidden="1"/>
    </xf>
    <xf numFmtId="0" fontId="8" fillId="0" borderId="47" xfId="9" applyFont="1" applyBorder="1" applyAlignment="1" applyProtection="1">
      <alignment shrinkToFit="1"/>
      <protection hidden="1"/>
    </xf>
    <xf numFmtId="49" fontId="0" fillId="0" borderId="0" xfId="0" applyNumberFormat="1" applyBorder="1" applyAlignment="1">
      <alignment horizontal="left" vertical="center"/>
    </xf>
    <xf numFmtId="0" fontId="8" fillId="0" borderId="0" xfId="9" applyFont="1" applyBorder="1" applyAlignment="1" applyProtection="1">
      <alignment horizontal="left"/>
      <protection hidden="1"/>
    </xf>
    <xf numFmtId="0" fontId="8" fillId="0" borderId="16" xfId="9" applyFont="1" applyFill="1" applyBorder="1" applyProtection="1">
      <protection hidden="1"/>
    </xf>
    <xf numFmtId="49" fontId="8" fillId="6" borderId="48" xfId="9" applyNumberFormat="1" applyFont="1" applyFill="1" applyBorder="1" applyAlignment="1" applyProtection="1">
      <alignment horizontal="right" shrinkToFit="1"/>
      <protection locked="0" hidden="1"/>
    </xf>
    <xf numFmtId="49" fontId="8" fillId="5" borderId="49" xfId="9" applyNumberFormat="1" applyFont="1" applyFill="1" applyBorder="1" applyAlignment="1" applyProtection="1">
      <alignment shrinkToFit="1"/>
      <protection locked="0" hidden="1"/>
    </xf>
    <xf numFmtId="0" fontId="8" fillId="0" borderId="16" xfId="9" applyFont="1" applyBorder="1" applyAlignment="1" applyProtection="1">
      <alignment shrinkToFit="1"/>
      <protection hidden="1"/>
    </xf>
    <xf numFmtId="49" fontId="8" fillId="5" borderId="40" xfId="9" applyNumberFormat="1" applyFont="1" applyFill="1" applyBorder="1" applyAlignment="1" applyProtection="1">
      <alignment horizontal="center" shrinkToFit="1"/>
      <protection locked="0" hidden="1"/>
    </xf>
    <xf numFmtId="0" fontId="8" fillId="0" borderId="50" xfId="9" applyFont="1" applyBorder="1" applyAlignment="1" applyProtection="1">
      <alignment shrinkToFit="1"/>
      <protection hidden="1"/>
    </xf>
    <xf numFmtId="49" fontId="8" fillId="0" borderId="0" xfId="9" applyNumberFormat="1" applyFont="1" applyAlignment="1" applyProtection="1">
      <alignment horizontal="right" shrinkToFit="1"/>
      <protection locked="0" hidden="1"/>
    </xf>
    <xf numFmtId="49" fontId="8" fillId="0" borderId="0" xfId="9" applyNumberFormat="1" applyFont="1" applyFill="1" applyAlignment="1" applyProtection="1">
      <alignment shrinkToFit="1"/>
      <protection locked="0" hidden="1"/>
    </xf>
    <xf numFmtId="49" fontId="14" fillId="0" borderId="32" xfId="9" applyNumberFormat="1" applyFont="1" applyFill="1" applyBorder="1" applyAlignment="1" applyProtection="1">
      <alignment horizontal="center" vertical="center" shrinkToFit="1"/>
      <protection hidden="1"/>
    </xf>
    <xf numFmtId="49" fontId="14" fillId="0" borderId="30" xfId="9" applyNumberFormat="1" applyFont="1" applyFill="1" applyBorder="1" applyAlignment="1" applyProtection="1">
      <alignment horizontal="center" vertical="center" shrinkToFit="1"/>
      <protection hidden="1"/>
    </xf>
    <xf numFmtId="0" fontId="8" fillId="0" borderId="51" xfId="9" applyFont="1" applyFill="1" applyBorder="1" applyProtection="1">
      <protection hidden="1"/>
    </xf>
    <xf numFmtId="0" fontId="0" fillId="0" borderId="52" xfId="0" applyNumberFormat="1" applyBorder="1" applyAlignment="1">
      <alignment horizontal="center" vertical="center"/>
    </xf>
    <xf numFmtId="0" fontId="8" fillId="0" borderId="53" xfId="9" applyFont="1" applyFill="1" applyBorder="1" applyProtection="1">
      <protection hidden="1"/>
    </xf>
    <xf numFmtId="0" fontId="0" fillId="0" borderId="46" xfId="0" applyNumberFormat="1" applyBorder="1" applyAlignment="1">
      <alignment horizontal="center" vertical="center"/>
    </xf>
    <xf numFmtId="49" fontId="0" fillId="0" borderId="25" xfId="0" applyNumberFormat="1" applyBorder="1" applyAlignment="1">
      <alignment horizontal="left" vertical="center"/>
    </xf>
    <xf numFmtId="0" fontId="8" fillId="0" borderId="54" xfId="9" applyFont="1" applyFill="1" applyBorder="1" applyProtection="1">
      <protection hidden="1"/>
    </xf>
    <xf numFmtId="0" fontId="0" fillId="0" borderId="40" xfId="0" applyNumberFormat="1" applyBorder="1" applyAlignment="1">
      <alignment horizontal="center" vertical="center"/>
    </xf>
    <xf numFmtId="0" fontId="8" fillId="0" borderId="4" xfId="9" applyFont="1" applyFill="1" applyBorder="1" applyAlignment="1" applyProtection="1">
      <alignment horizontal="center"/>
      <protection hidden="1"/>
    </xf>
    <xf numFmtId="0" fontId="8" fillId="0" borderId="16" xfId="9" applyFont="1" applyFill="1" applyBorder="1" applyAlignment="1" applyProtection="1">
      <alignment horizontal="center"/>
      <protection hidden="1"/>
    </xf>
    <xf numFmtId="0" fontId="8" fillId="0" borderId="55" xfId="9" applyNumberFormat="1" applyFont="1" applyFill="1" applyBorder="1" applyAlignment="1" applyProtection="1">
      <alignment horizontal="center"/>
      <protection hidden="1"/>
    </xf>
    <xf numFmtId="0" fontId="8" fillId="0" borderId="56" xfId="9" applyNumberFormat="1" applyFont="1" applyFill="1" applyBorder="1" applyAlignment="1" applyProtection="1">
      <alignment horizontal="center"/>
      <protection hidden="1"/>
    </xf>
    <xf numFmtId="0" fontId="8" fillId="0" borderId="57" xfId="9" applyNumberFormat="1" applyFont="1" applyFill="1" applyBorder="1" applyAlignment="1" applyProtection="1">
      <alignment horizontal="center"/>
      <protection hidden="1"/>
    </xf>
    <xf numFmtId="0" fontId="14" fillId="0" borderId="58" xfId="9" applyFont="1" applyBorder="1" applyAlignment="1" applyProtection="1">
      <alignment horizontal="center" vertical="center"/>
      <protection hidden="1"/>
    </xf>
    <xf numFmtId="0" fontId="31" fillId="0" borderId="0" xfId="0" applyFont="1">
      <alignment vertical="center"/>
    </xf>
    <xf numFmtId="0" fontId="40" fillId="0" borderId="0" xfId="0" applyFont="1">
      <alignment vertical="center"/>
    </xf>
    <xf numFmtId="0" fontId="14" fillId="0" borderId="38" xfId="12" applyFont="1" applyBorder="1" applyAlignment="1" applyProtection="1">
      <alignment horizontal="center"/>
      <protection hidden="1"/>
    </xf>
    <xf numFmtId="0" fontId="14" fillId="0" borderId="46" xfId="12" applyFont="1" applyBorder="1" applyAlignment="1" applyProtection="1">
      <alignment horizontal="center"/>
      <protection hidden="1"/>
    </xf>
    <xf numFmtId="0" fontId="14" fillId="0" borderId="61" xfId="12" applyFont="1" applyBorder="1" applyAlignment="1" applyProtection="1">
      <alignment horizontal="center"/>
      <protection hidden="1"/>
    </xf>
    <xf numFmtId="49" fontId="15" fillId="0" borderId="62" xfId="0" applyNumberFormat="1" applyFont="1" applyBorder="1" applyAlignment="1">
      <alignment horizontal="center" vertical="center" shrinkToFit="1"/>
    </xf>
    <xf numFmtId="0" fontId="14" fillId="0" borderId="3" xfId="12" applyFont="1" applyBorder="1" applyAlignment="1" applyProtection="1">
      <alignment horizontal="center" shrinkToFit="1"/>
      <protection hidden="1"/>
    </xf>
    <xf numFmtId="0" fontId="14" fillId="0" borderId="40" xfId="12" applyFont="1" applyBorder="1" applyAlignment="1" applyProtection="1">
      <alignment horizontal="center"/>
      <protection hidden="1"/>
    </xf>
    <xf numFmtId="0" fontId="14" fillId="0" borderId="64" xfId="9" applyFont="1" applyBorder="1" applyAlignment="1" applyProtection="1">
      <alignment horizontal="center"/>
      <protection hidden="1"/>
    </xf>
    <xf numFmtId="0" fontId="14" fillId="0" borderId="65" xfId="9" applyFont="1" applyBorder="1" applyAlignment="1" applyProtection="1">
      <alignment horizontal="center" shrinkToFit="1"/>
      <protection hidden="1"/>
    </xf>
    <xf numFmtId="0" fontId="14" fillId="0" borderId="3" xfId="12" applyFont="1" applyBorder="1" applyAlignment="1" applyProtection="1">
      <alignment horizontal="center"/>
      <protection hidden="1"/>
    </xf>
    <xf numFmtId="0" fontId="14" fillId="0" borderId="3" xfId="9" applyFont="1" applyBorder="1" applyAlignment="1" applyProtection="1">
      <alignment horizontal="center"/>
      <protection hidden="1"/>
    </xf>
    <xf numFmtId="49" fontId="14" fillId="0" borderId="66" xfId="8" applyNumberFormat="1" applyFont="1" applyFill="1" applyBorder="1" applyAlignment="1" applyProtection="1">
      <alignment horizontal="center" vertical="center" shrinkToFit="1"/>
      <protection locked="0" hidden="1"/>
    </xf>
    <xf numFmtId="49" fontId="14" fillId="0" borderId="5" xfId="8" applyNumberFormat="1" applyFont="1" applyBorder="1" applyAlignment="1" applyProtection="1">
      <alignment horizontal="center" vertical="center" shrinkToFit="1"/>
      <protection locked="0" hidden="1"/>
    </xf>
    <xf numFmtId="0" fontId="8" fillId="0" borderId="64" xfId="13" applyNumberFormat="1" applyFont="1" applyBorder="1" applyAlignment="1" applyProtection="1">
      <alignment horizontal="center"/>
      <protection locked="0" hidden="1"/>
    </xf>
    <xf numFmtId="0" fontId="8" fillId="0" borderId="65" xfId="13" applyNumberFormat="1" applyFont="1" applyBorder="1" applyAlignment="1" applyProtection="1">
      <alignment horizontal="center"/>
      <protection locked="0" hidden="1"/>
    </xf>
    <xf numFmtId="0" fontId="44" fillId="0" borderId="0" xfId="3">
      <alignment vertical="center"/>
    </xf>
    <xf numFmtId="0" fontId="45" fillId="0" borderId="0" xfId="3" applyFont="1">
      <alignment vertical="center"/>
    </xf>
    <xf numFmtId="0" fontId="44" fillId="0" borderId="0" xfId="3" applyFont="1">
      <alignment vertical="center"/>
    </xf>
    <xf numFmtId="0" fontId="47" fillId="0" borderId="13" xfId="0" applyFont="1" applyBorder="1">
      <alignment vertical="center"/>
    </xf>
    <xf numFmtId="0" fontId="48" fillId="0" borderId="13" xfId="0" applyFont="1" applyBorder="1">
      <alignment vertical="center"/>
    </xf>
    <xf numFmtId="0" fontId="49" fillId="0" borderId="13" xfId="0" applyFont="1" applyBorder="1">
      <alignment vertical="center"/>
    </xf>
    <xf numFmtId="0" fontId="50" fillId="0" borderId="0" xfId="7" applyFont="1">
      <alignment vertical="center"/>
    </xf>
    <xf numFmtId="176" fontId="53" fillId="0" borderId="26" xfId="7" applyNumberFormat="1" applyFont="1" applyFill="1" applyBorder="1" applyAlignment="1" applyProtection="1">
      <alignment horizontal="left" vertical="center"/>
      <protection locked="0" hidden="1"/>
    </xf>
    <xf numFmtId="176" fontId="53" fillId="0" borderId="27" xfId="7" applyNumberFormat="1" applyFont="1" applyFill="1" applyBorder="1" applyAlignment="1" applyProtection="1">
      <alignment horizontal="right" vertical="center" shrinkToFit="1"/>
      <protection locked="0" hidden="1"/>
    </xf>
    <xf numFmtId="176" fontId="53" fillId="0" borderId="58" xfId="7" applyNumberFormat="1" applyFont="1" applyFill="1" applyBorder="1" applyAlignment="1" applyProtection="1">
      <alignment horizontal="right"/>
      <protection locked="0" hidden="1"/>
    </xf>
    <xf numFmtId="0" fontId="57" fillId="0" borderId="0" xfId="7" applyFont="1">
      <alignment vertical="center"/>
    </xf>
    <xf numFmtId="0" fontId="60" fillId="0" borderId="67" xfId="7" applyFont="1" applyFill="1" applyBorder="1" applyAlignment="1" applyProtection="1">
      <alignment horizontal="center" vertical="center"/>
      <protection locked="0" hidden="1"/>
    </xf>
    <xf numFmtId="0" fontId="52" fillId="0" borderId="68" xfId="7" applyFont="1" applyFill="1" applyBorder="1" applyAlignment="1" applyProtection="1">
      <alignment horizontal="center" vertical="center" shrinkToFit="1"/>
      <protection locked="0" hidden="1"/>
    </xf>
    <xf numFmtId="0" fontId="52" fillId="0" borderId="69" xfId="7" applyFont="1" applyFill="1" applyBorder="1" applyAlignment="1" applyProtection="1">
      <alignment horizontal="center" vertical="center" shrinkToFit="1"/>
      <protection locked="0" hidden="1"/>
    </xf>
    <xf numFmtId="0" fontId="60" fillId="0" borderId="70" xfId="7" applyFont="1" applyFill="1" applyBorder="1" applyAlignment="1" applyProtection="1">
      <alignment horizontal="center" vertical="center"/>
      <protection locked="0" hidden="1"/>
    </xf>
    <xf numFmtId="0" fontId="52" fillId="0" borderId="71" xfId="7" applyFont="1" applyFill="1" applyBorder="1" applyAlignment="1" applyProtection="1">
      <alignment horizontal="center" vertical="center" shrinkToFit="1"/>
      <protection locked="0" hidden="1"/>
    </xf>
    <xf numFmtId="0" fontId="50" fillId="0" borderId="0" xfId="7" applyFont="1" applyFill="1">
      <alignment vertical="center"/>
    </xf>
    <xf numFmtId="0" fontId="10" fillId="0" borderId="0" xfId="7" applyAlignment="1" applyProtection="1">
      <alignment vertical="center"/>
      <protection hidden="1"/>
    </xf>
    <xf numFmtId="0" fontId="61" fillId="0" borderId="72" xfId="7" applyFont="1" applyBorder="1" applyAlignment="1" applyProtection="1">
      <alignment horizontal="center" vertical="center"/>
      <protection hidden="1"/>
    </xf>
    <xf numFmtId="0" fontId="61" fillId="0" borderId="0" xfId="7" applyFont="1" applyAlignment="1" applyProtection="1">
      <alignment vertical="center"/>
      <protection hidden="1"/>
    </xf>
    <xf numFmtId="0" fontId="61" fillId="0" borderId="73" xfId="7" applyFont="1" applyBorder="1" applyAlignment="1" applyProtection="1">
      <alignment horizontal="center" vertical="center"/>
      <protection hidden="1"/>
    </xf>
    <xf numFmtId="0" fontId="61" fillId="0" borderId="4" xfId="7" applyFont="1" applyBorder="1" applyAlignment="1" applyProtection="1">
      <alignment horizontal="center" vertical="center" shrinkToFit="1"/>
      <protection hidden="1"/>
    </xf>
    <xf numFmtId="0" fontId="61" fillId="0" borderId="4" xfId="7" applyFont="1" applyBorder="1" applyAlignment="1" applyProtection="1">
      <alignment horizontal="center" vertical="center"/>
      <protection hidden="1"/>
    </xf>
    <xf numFmtId="0" fontId="61" fillId="0" borderId="56" xfId="7" applyFont="1" applyBorder="1" applyAlignment="1" applyProtection="1">
      <alignment horizontal="center" vertical="center"/>
      <protection hidden="1"/>
    </xf>
    <xf numFmtId="0" fontId="61" fillId="0" borderId="0" xfId="7" applyFont="1" applyFill="1" applyAlignment="1" applyProtection="1">
      <alignment vertical="center"/>
      <protection hidden="1"/>
    </xf>
    <xf numFmtId="0" fontId="61" fillId="0" borderId="74" xfId="7" applyFont="1" applyBorder="1" applyAlignment="1" applyProtection="1">
      <alignment horizontal="center" vertical="center" textRotation="255"/>
      <protection hidden="1"/>
    </xf>
    <xf numFmtId="0" fontId="8" fillId="0" borderId="74" xfId="7" applyFont="1" applyBorder="1" applyAlignment="1" applyProtection="1">
      <alignment horizontal="right" vertical="center" shrinkToFit="1"/>
      <protection hidden="1"/>
    </xf>
    <xf numFmtId="0" fontId="8" fillId="0" borderId="74" xfId="7" applyFont="1" applyBorder="1" applyAlignment="1" applyProtection="1">
      <alignment horizontal="left" vertical="center" shrinkToFit="1"/>
      <protection hidden="1"/>
    </xf>
    <xf numFmtId="0" fontId="61" fillId="0" borderId="74" xfId="7" applyFont="1" applyBorder="1" applyAlignment="1" applyProtection="1">
      <alignment horizontal="center" vertical="center" shrinkToFit="1"/>
      <protection hidden="1"/>
    </xf>
    <xf numFmtId="0" fontId="61" fillId="0" borderId="74" xfId="7" applyFont="1" applyBorder="1" applyAlignment="1" applyProtection="1">
      <alignment horizontal="left" vertical="center" shrinkToFit="1"/>
      <protection hidden="1"/>
    </xf>
    <xf numFmtId="0" fontId="61" fillId="0" borderId="0" xfId="7" applyFont="1" applyBorder="1" applyAlignment="1" applyProtection="1">
      <alignment horizontal="center" vertical="center" textRotation="255"/>
      <protection hidden="1"/>
    </xf>
    <xf numFmtId="0" fontId="8" fillId="0" borderId="0" xfId="7" applyFont="1" applyBorder="1" applyAlignment="1" applyProtection="1">
      <alignment horizontal="right" vertical="center" shrinkToFit="1"/>
      <protection hidden="1"/>
    </xf>
    <xf numFmtId="0" fontId="8" fillId="0" borderId="0" xfId="7" applyFont="1" applyBorder="1" applyAlignment="1" applyProtection="1">
      <alignment horizontal="left" vertical="center" shrinkToFit="1"/>
      <protection hidden="1"/>
    </xf>
    <xf numFmtId="0" fontId="61" fillId="0" borderId="0" xfId="7" applyFont="1" applyBorder="1" applyAlignment="1" applyProtection="1">
      <alignment horizontal="center" vertical="center" shrinkToFit="1"/>
      <protection hidden="1"/>
    </xf>
    <xf numFmtId="0" fontId="61" fillId="0" borderId="0" xfId="7" applyFont="1" applyBorder="1" applyAlignment="1" applyProtection="1">
      <alignment horizontal="left" vertical="center" shrinkToFit="1"/>
      <protection hidden="1"/>
    </xf>
    <xf numFmtId="0" fontId="10" fillId="0" borderId="0" xfId="7" applyFont="1" applyAlignment="1" applyProtection="1">
      <alignment vertical="center"/>
      <protection hidden="1"/>
    </xf>
    <xf numFmtId="49" fontId="52" fillId="0" borderId="68" xfId="7" applyNumberFormat="1" applyFont="1" applyFill="1" applyBorder="1" applyAlignment="1" applyProtection="1">
      <alignment horizontal="center" vertical="center" shrinkToFit="1"/>
      <protection locked="0" hidden="1"/>
    </xf>
    <xf numFmtId="49" fontId="52" fillId="0" borderId="69" xfId="7" applyNumberFormat="1" applyFont="1" applyFill="1" applyBorder="1" applyAlignment="1" applyProtection="1">
      <alignment horizontal="center" vertical="center" shrinkToFit="1"/>
      <protection locked="0" hidden="1"/>
    </xf>
    <xf numFmtId="49" fontId="52" fillId="0" borderId="71" xfId="7" applyNumberFormat="1" applyFont="1" applyFill="1" applyBorder="1" applyAlignment="1" applyProtection="1">
      <alignment horizontal="center" vertical="center" shrinkToFit="1"/>
      <protection locked="0" hidden="1"/>
    </xf>
    <xf numFmtId="0" fontId="8" fillId="5" borderId="0" xfId="8" applyFont="1" applyFill="1" applyBorder="1" applyAlignment="1" applyProtection="1">
      <alignment horizontal="center"/>
      <protection hidden="1"/>
    </xf>
    <xf numFmtId="0" fontId="14" fillId="5" borderId="0" xfId="8" applyFont="1" applyFill="1" applyAlignment="1" applyProtection="1">
      <alignment horizontal="left"/>
      <protection hidden="1"/>
    </xf>
    <xf numFmtId="0" fontId="14" fillId="5" borderId="0" xfId="8" applyFont="1" applyFill="1" applyBorder="1" applyAlignment="1" applyProtection="1">
      <alignment horizontal="left"/>
      <protection hidden="1"/>
    </xf>
    <xf numFmtId="0" fontId="25" fillId="5" borderId="0" xfId="8" applyFont="1" applyFill="1" applyAlignment="1" applyProtection="1">
      <protection hidden="1"/>
    </xf>
    <xf numFmtId="0" fontId="8" fillId="5" borderId="0" xfId="8" applyFont="1" applyFill="1" applyBorder="1" applyProtection="1">
      <protection hidden="1"/>
    </xf>
    <xf numFmtId="49" fontId="8" fillId="5" borderId="0" xfId="8" applyNumberFormat="1" applyFont="1" applyFill="1" applyBorder="1" applyProtection="1">
      <protection hidden="1"/>
    </xf>
    <xf numFmtId="0" fontId="8" fillId="5" borderId="0" xfId="0" applyFont="1" applyFill="1" applyBorder="1" applyProtection="1">
      <alignment vertical="center"/>
      <protection hidden="1"/>
    </xf>
    <xf numFmtId="49" fontId="8" fillId="5" borderId="0" xfId="8" applyNumberFormat="1" applyFont="1" applyFill="1" applyBorder="1" applyAlignment="1" applyProtection="1">
      <alignment shrinkToFit="1"/>
      <protection hidden="1"/>
    </xf>
    <xf numFmtId="0" fontId="8" fillId="5" borderId="0" xfId="8" applyFont="1" applyFill="1" applyProtection="1">
      <protection hidden="1"/>
    </xf>
    <xf numFmtId="49" fontId="8" fillId="5" borderId="0" xfId="8" applyNumberFormat="1" applyFont="1" applyFill="1" applyAlignment="1" applyProtection="1">
      <alignment horizontal="right"/>
      <protection locked="0" hidden="1"/>
    </xf>
    <xf numFmtId="49" fontId="8" fillId="5" borderId="0" xfId="8" applyNumberFormat="1" applyFont="1" applyFill="1" applyAlignment="1" applyProtection="1">
      <alignment shrinkToFit="1"/>
      <protection locked="0" hidden="1"/>
    </xf>
    <xf numFmtId="0" fontId="8" fillId="5" borderId="0" xfId="0" applyFont="1" applyFill="1" applyProtection="1">
      <alignment vertical="center"/>
      <protection hidden="1"/>
    </xf>
    <xf numFmtId="0" fontId="8" fillId="5" borderId="0" xfId="8" applyNumberFormat="1" applyFont="1" applyFill="1" applyProtection="1">
      <protection hidden="1"/>
    </xf>
    <xf numFmtId="0" fontId="8" fillId="5" borderId="0" xfId="8" applyFont="1" applyFill="1" applyProtection="1">
      <protection locked="0" hidden="1"/>
    </xf>
    <xf numFmtId="0" fontId="32" fillId="5" borderId="0" xfId="8" applyFont="1" applyFill="1" applyAlignment="1" applyProtection="1">
      <alignment horizontal="left"/>
      <protection hidden="1"/>
    </xf>
    <xf numFmtId="49" fontId="32" fillId="5" borderId="0" xfId="8" applyNumberFormat="1" applyFont="1" applyFill="1" applyBorder="1" applyAlignment="1" applyProtection="1">
      <alignment horizontal="right"/>
      <protection hidden="1"/>
    </xf>
    <xf numFmtId="0" fontId="32" fillId="5" borderId="0" xfId="8" applyFont="1" applyFill="1" applyBorder="1" applyAlignment="1" applyProtection="1">
      <alignment horizontal="right"/>
      <protection hidden="1"/>
    </xf>
    <xf numFmtId="176" fontId="32" fillId="5" borderId="0" xfId="8" applyNumberFormat="1" applyFont="1" applyFill="1" applyBorder="1" applyAlignment="1" applyProtection="1">
      <alignment horizontal="left" shrinkToFit="1"/>
      <protection hidden="1"/>
    </xf>
    <xf numFmtId="176" fontId="32" fillId="5" borderId="0" xfId="8" applyNumberFormat="1" applyFont="1" applyFill="1" applyBorder="1" applyAlignment="1" applyProtection="1">
      <alignment horizontal="center"/>
      <protection hidden="1"/>
    </xf>
    <xf numFmtId="49" fontId="32" fillId="5" borderId="0" xfId="8" applyNumberFormat="1" applyFont="1" applyFill="1" applyAlignment="1" applyProtection="1">
      <alignment horizontal="right" shrinkToFit="1"/>
      <protection locked="0" hidden="1"/>
    </xf>
    <xf numFmtId="176" fontId="32" fillId="5" borderId="0" xfId="8" applyNumberFormat="1" applyFont="1" applyFill="1" applyAlignment="1" applyProtection="1">
      <alignment horizontal="left" shrinkToFit="1"/>
      <protection hidden="1"/>
    </xf>
    <xf numFmtId="49" fontId="32" fillId="5" borderId="0" xfId="8" applyNumberFormat="1" applyFont="1" applyFill="1" applyAlignment="1" applyProtection="1">
      <alignment horizontal="right"/>
      <protection hidden="1"/>
    </xf>
    <xf numFmtId="49" fontId="32" fillId="5" borderId="0" xfId="8" applyNumberFormat="1" applyFont="1" applyFill="1" applyAlignment="1" applyProtection="1">
      <alignment shrinkToFit="1"/>
      <protection locked="0" hidden="1"/>
    </xf>
    <xf numFmtId="49" fontId="32" fillId="5" borderId="0" xfId="8" applyNumberFormat="1" applyFont="1" applyFill="1" applyAlignment="1" applyProtection="1">
      <alignment horizontal="right"/>
      <protection locked="0" hidden="1"/>
    </xf>
    <xf numFmtId="0" fontId="8" fillId="5" borderId="0" xfId="8" applyFont="1" applyFill="1" applyBorder="1" applyAlignment="1" applyProtection="1">
      <alignment horizontal="left"/>
      <protection hidden="1"/>
    </xf>
    <xf numFmtId="179" fontId="32" fillId="5" borderId="0" xfId="8" applyNumberFormat="1" applyFont="1" applyFill="1" applyBorder="1" applyAlignment="1" applyProtection="1">
      <alignment horizontal="center" shrinkToFit="1"/>
      <protection hidden="1"/>
    </xf>
    <xf numFmtId="0" fontId="32" fillId="5" borderId="0" xfId="8" applyFont="1" applyFill="1" applyAlignment="1" applyProtection="1">
      <alignment horizontal="center"/>
      <protection hidden="1"/>
    </xf>
    <xf numFmtId="49" fontId="32" fillId="5" borderId="75" xfId="8" applyNumberFormat="1" applyFont="1" applyFill="1" applyBorder="1" applyAlignment="1" applyProtection="1">
      <alignment horizontal="right"/>
      <protection hidden="1"/>
    </xf>
    <xf numFmtId="176" fontId="32" fillId="5" borderId="75" xfId="8" applyNumberFormat="1" applyFont="1" applyFill="1" applyBorder="1" applyAlignment="1" applyProtection="1">
      <alignment horizontal="center"/>
      <protection hidden="1"/>
    </xf>
    <xf numFmtId="0" fontId="14" fillId="5" borderId="0" xfId="8" applyFont="1" applyFill="1" applyAlignment="1" applyProtection="1">
      <alignment horizontal="center" vertical="center" shrinkToFit="1"/>
      <protection hidden="1"/>
    </xf>
    <xf numFmtId="0" fontId="0" fillId="5" borderId="0" xfId="0" applyNumberFormat="1" applyFill="1" applyBorder="1">
      <alignment vertical="center"/>
    </xf>
    <xf numFmtId="0" fontId="8" fillId="5" borderId="0" xfId="8" applyFont="1" applyFill="1" applyAlignment="1" applyProtection="1">
      <alignment shrinkToFit="1"/>
      <protection hidden="1"/>
    </xf>
    <xf numFmtId="49" fontId="8" fillId="5" borderId="0" xfId="8" applyNumberFormat="1" applyFont="1" applyFill="1" applyProtection="1">
      <protection hidden="1"/>
    </xf>
    <xf numFmtId="49" fontId="14" fillId="5" borderId="0" xfId="8" applyNumberFormat="1" applyFont="1" applyFill="1" applyAlignment="1" applyProtection="1">
      <alignment shrinkToFit="1"/>
      <protection locked="0" hidden="1"/>
    </xf>
    <xf numFmtId="0" fontId="14" fillId="5" borderId="0" xfId="8" applyFont="1" applyFill="1" applyAlignment="1" applyProtection="1">
      <alignment horizontal="center"/>
      <protection hidden="1"/>
    </xf>
    <xf numFmtId="49" fontId="14" fillId="5" borderId="0" xfId="8" applyNumberFormat="1" applyFont="1" applyFill="1" applyAlignment="1" applyProtection="1">
      <alignment horizontal="right"/>
      <protection locked="0" hidden="1"/>
    </xf>
    <xf numFmtId="0" fontId="8" fillId="0" borderId="6" xfId="8" applyFont="1" applyFill="1" applyBorder="1" applyAlignment="1" applyProtection="1">
      <alignment shrinkToFit="1"/>
      <protection hidden="1"/>
    </xf>
    <xf numFmtId="0" fontId="8" fillId="0" borderId="6" xfId="8" applyFont="1" applyFill="1" applyBorder="1" applyAlignment="1" applyProtection="1">
      <alignment horizontal="center"/>
      <protection hidden="1"/>
    </xf>
    <xf numFmtId="177" fontId="14" fillId="0" borderId="76" xfId="8" applyNumberFormat="1" applyFont="1" applyFill="1" applyBorder="1" applyAlignment="1" applyProtection="1">
      <alignment horizontal="left" shrinkToFit="1"/>
      <protection locked="0" hidden="1"/>
    </xf>
    <xf numFmtId="0" fontId="14" fillId="0" borderId="6" xfId="8" applyFont="1" applyFill="1" applyBorder="1" applyAlignment="1" applyProtection="1">
      <alignment horizontal="center"/>
      <protection hidden="1"/>
    </xf>
    <xf numFmtId="177" fontId="14" fillId="0" borderId="38" xfId="8" applyNumberFormat="1" applyFont="1" applyFill="1" applyBorder="1" applyAlignment="1" applyProtection="1">
      <alignment shrinkToFit="1"/>
      <protection locked="0" hidden="1"/>
    </xf>
    <xf numFmtId="0" fontId="8" fillId="0" borderId="18" xfId="8" applyFont="1" applyFill="1" applyBorder="1" applyProtection="1">
      <protection hidden="1"/>
    </xf>
    <xf numFmtId="0" fontId="8" fillId="0" borderId="18" xfId="8" applyFont="1" applyFill="1" applyBorder="1" applyAlignment="1" applyProtection="1">
      <alignment horizontal="center"/>
      <protection hidden="1"/>
    </xf>
    <xf numFmtId="177" fontId="14" fillId="0" borderId="73" xfId="8" applyNumberFormat="1" applyFont="1" applyFill="1" applyBorder="1" applyAlignment="1" applyProtection="1">
      <alignment horizontal="left" shrinkToFit="1"/>
      <protection locked="0" hidden="1"/>
    </xf>
    <xf numFmtId="0" fontId="14" fillId="0" borderId="4" xfId="8" applyFont="1" applyFill="1" applyBorder="1" applyAlignment="1" applyProtection="1">
      <alignment horizontal="center"/>
      <protection hidden="1"/>
    </xf>
    <xf numFmtId="177" fontId="14" fillId="0" borderId="46" xfId="8" applyNumberFormat="1" applyFont="1" applyFill="1" applyBorder="1" applyAlignment="1" applyProtection="1">
      <alignment shrinkToFit="1"/>
      <protection locked="0" hidden="1"/>
    </xf>
    <xf numFmtId="177" fontId="14" fillId="0" borderId="78" xfId="8" applyNumberFormat="1" applyFont="1" applyFill="1" applyBorder="1" applyAlignment="1" applyProtection="1">
      <alignment horizontal="left" shrinkToFit="1"/>
      <protection locked="0" hidden="1"/>
    </xf>
    <xf numFmtId="0" fontId="14" fillId="0" borderId="16" xfId="8" applyFont="1" applyFill="1" applyBorder="1" applyAlignment="1" applyProtection="1">
      <alignment horizontal="center"/>
      <protection hidden="1"/>
    </xf>
    <xf numFmtId="177" fontId="14" fillId="0" borderId="40" xfId="8" applyNumberFormat="1" applyFont="1" applyFill="1" applyBorder="1" applyAlignment="1" applyProtection="1">
      <alignment shrinkToFit="1"/>
      <protection locked="0" hidden="1"/>
    </xf>
    <xf numFmtId="0" fontId="14" fillId="0" borderId="66" xfId="9" applyFont="1" applyBorder="1" applyAlignment="1" applyProtection="1">
      <alignment horizontal="center" vertical="center"/>
      <protection hidden="1"/>
    </xf>
    <xf numFmtId="0" fontId="14" fillId="0" borderId="5" xfId="9" applyFont="1" applyBorder="1" applyAlignment="1" applyProtection="1">
      <alignment horizontal="center" vertical="center"/>
      <protection hidden="1"/>
    </xf>
    <xf numFmtId="49" fontId="14" fillId="0" borderId="5" xfId="9" applyNumberFormat="1" applyFont="1" applyBorder="1" applyAlignment="1" applyProtection="1">
      <alignment horizontal="center" vertical="center"/>
      <protection hidden="1"/>
    </xf>
    <xf numFmtId="0" fontId="8" fillId="5" borderId="0" xfId="9" applyFont="1" applyFill="1" applyProtection="1">
      <protection hidden="1"/>
    </xf>
    <xf numFmtId="0" fontId="39" fillId="5" borderId="0" xfId="9" applyFont="1" applyFill="1" applyAlignment="1" applyProtection="1">
      <protection hidden="1"/>
    </xf>
    <xf numFmtId="49" fontId="8" fillId="5" borderId="0" xfId="9" applyNumberFormat="1" applyFont="1" applyFill="1" applyAlignment="1" applyProtection="1">
      <alignment shrinkToFit="1"/>
      <protection hidden="1"/>
    </xf>
    <xf numFmtId="0" fontId="8" fillId="5" borderId="0" xfId="9" applyFont="1" applyFill="1" applyAlignment="1" applyProtection="1">
      <alignment shrinkToFit="1"/>
      <protection hidden="1"/>
    </xf>
    <xf numFmtId="49" fontId="8" fillId="5" borderId="0" xfId="9" applyNumberFormat="1" applyFont="1" applyFill="1" applyAlignment="1" applyProtection="1">
      <alignment horizontal="right" shrinkToFit="1"/>
      <protection hidden="1"/>
    </xf>
    <xf numFmtId="49" fontId="8" fillId="5" borderId="0" xfId="9" applyNumberFormat="1" applyFont="1" applyFill="1" applyAlignment="1" applyProtection="1">
      <alignment horizontal="center" shrinkToFit="1"/>
      <protection hidden="1"/>
    </xf>
    <xf numFmtId="0" fontId="8" fillId="5" borderId="0" xfId="9" applyFont="1" applyFill="1" applyAlignment="1" applyProtection="1">
      <alignment horizontal="left"/>
      <protection hidden="1"/>
    </xf>
    <xf numFmtId="0" fontId="37" fillId="5" borderId="0" xfId="9" applyFont="1" applyFill="1" applyAlignment="1"/>
    <xf numFmtId="0" fontId="32" fillId="5" borderId="0" xfId="9" applyFont="1" applyFill="1" applyAlignment="1" applyProtection="1">
      <alignment horizontal="left"/>
      <protection hidden="1"/>
    </xf>
    <xf numFmtId="0" fontId="43" fillId="5" borderId="0" xfId="8" applyFont="1" applyFill="1" applyBorder="1" applyAlignment="1" applyProtection="1">
      <alignment horizontal="left"/>
      <protection hidden="1"/>
    </xf>
    <xf numFmtId="49" fontId="37" fillId="5" borderId="0" xfId="9" applyNumberFormat="1" applyFont="1" applyFill="1" applyAlignment="1" applyProtection="1">
      <alignment horizontal="right" shrinkToFit="1"/>
      <protection hidden="1"/>
    </xf>
    <xf numFmtId="176" fontId="37" fillId="5" borderId="0" xfId="9" applyNumberFormat="1" applyFont="1" applyFill="1" applyBorder="1" applyAlignment="1" applyProtection="1">
      <alignment horizontal="right" shrinkToFit="1"/>
      <protection hidden="1"/>
    </xf>
    <xf numFmtId="49" fontId="37" fillId="5" borderId="0" xfId="9" applyNumberFormat="1" applyFont="1" applyFill="1" applyAlignment="1" applyProtection="1">
      <alignment shrinkToFit="1"/>
      <protection hidden="1"/>
    </xf>
    <xf numFmtId="0" fontId="37" fillId="5" borderId="0" xfId="9" applyFont="1" applyFill="1" applyAlignment="1" applyProtection="1">
      <alignment shrinkToFit="1"/>
      <protection hidden="1"/>
    </xf>
    <xf numFmtId="176" fontId="37" fillId="5" borderId="0" xfId="9" applyNumberFormat="1" applyFont="1" applyFill="1" applyBorder="1" applyAlignment="1" applyProtection="1">
      <alignment horizontal="left" shrinkToFit="1"/>
      <protection hidden="1"/>
    </xf>
    <xf numFmtId="0" fontId="14" fillId="5" borderId="0" xfId="9" applyFont="1" applyFill="1" applyAlignment="1">
      <alignment horizontal="center"/>
    </xf>
    <xf numFmtId="0" fontId="8" fillId="5" borderId="0" xfId="9" applyFont="1" applyFill="1" applyBorder="1" applyAlignment="1" applyProtection="1">
      <alignment horizontal="center"/>
      <protection hidden="1"/>
    </xf>
    <xf numFmtId="0" fontId="8" fillId="5" borderId="79" xfId="8" applyFont="1" applyFill="1" applyBorder="1" applyAlignment="1" applyProtection="1">
      <alignment horizontal="left"/>
      <protection hidden="1"/>
    </xf>
    <xf numFmtId="49" fontId="37" fillId="5" borderId="0" xfId="9" applyNumberFormat="1" applyFont="1" applyFill="1" applyBorder="1" applyAlignment="1" applyProtection="1">
      <alignment horizontal="right" shrinkToFit="1"/>
      <protection hidden="1"/>
    </xf>
    <xf numFmtId="49" fontId="37" fillId="5" borderId="0" xfId="9" applyNumberFormat="1" applyFont="1" applyFill="1" applyBorder="1" applyAlignment="1" applyProtection="1">
      <alignment shrinkToFit="1"/>
      <protection hidden="1"/>
    </xf>
    <xf numFmtId="0" fontId="37" fillId="5" borderId="0" xfId="9" applyFont="1" applyFill="1" applyBorder="1" applyAlignment="1" applyProtection="1">
      <alignment shrinkToFit="1"/>
      <protection hidden="1"/>
    </xf>
    <xf numFmtId="49" fontId="8" fillId="5" borderId="0" xfId="9" applyNumberFormat="1" applyFont="1" applyFill="1" applyBorder="1" applyAlignment="1" applyProtection="1">
      <alignment horizontal="right" shrinkToFit="1"/>
      <protection hidden="1"/>
    </xf>
    <xf numFmtId="49" fontId="8" fillId="5" borderId="0" xfId="9" applyNumberFormat="1" applyFont="1" applyFill="1" applyBorder="1" applyAlignment="1" applyProtection="1">
      <alignment shrinkToFit="1"/>
      <protection hidden="1"/>
    </xf>
    <xf numFmtId="0" fontId="8" fillId="5" borderId="0" xfId="9" applyFont="1" applyFill="1" applyBorder="1" applyAlignment="1" applyProtection="1">
      <alignment shrinkToFit="1"/>
      <protection hidden="1"/>
    </xf>
    <xf numFmtId="0" fontId="8" fillId="5" borderId="0" xfId="9" applyFont="1" applyFill="1" applyBorder="1" applyProtection="1">
      <protection hidden="1"/>
    </xf>
    <xf numFmtId="0" fontId="8" fillId="5" borderId="0" xfId="9" applyFont="1" applyFill="1" applyBorder="1" applyAlignment="1" applyProtection="1">
      <alignment horizontal="left"/>
      <protection hidden="1"/>
    </xf>
    <xf numFmtId="0" fontId="14" fillId="5" borderId="0" xfId="9" applyFont="1" applyFill="1" applyBorder="1" applyAlignment="1">
      <alignment horizontal="center"/>
    </xf>
    <xf numFmtId="0" fontId="8" fillId="5" borderId="80" xfId="8" applyFont="1" applyFill="1" applyBorder="1" applyAlignment="1" applyProtection="1">
      <alignment horizontal="left"/>
      <protection hidden="1"/>
    </xf>
    <xf numFmtId="0" fontId="67" fillId="5" borderId="0" xfId="8" applyFont="1" applyFill="1" applyBorder="1" applyAlignment="1" applyProtection="1">
      <alignment horizontal="left"/>
      <protection hidden="1"/>
    </xf>
    <xf numFmtId="0" fontId="67" fillId="5" borderId="0" xfId="8" applyFont="1" applyFill="1" applyBorder="1" applyAlignment="1" applyProtection="1">
      <alignment horizontal="right"/>
      <protection hidden="1"/>
    </xf>
    <xf numFmtId="0" fontId="32" fillId="5" borderId="0" xfId="9" applyFont="1" applyFill="1" applyBorder="1" applyAlignment="1" applyProtection="1">
      <alignment horizontal="center"/>
      <protection hidden="1"/>
    </xf>
    <xf numFmtId="0" fontId="14" fillId="5" borderId="0" xfId="9" applyFont="1" applyFill="1" applyAlignment="1" applyProtection="1">
      <alignment horizontal="center" vertical="center"/>
      <protection hidden="1"/>
    </xf>
    <xf numFmtId="49" fontId="8" fillId="5" borderId="0" xfId="9" applyNumberFormat="1" applyFont="1" applyFill="1" applyProtection="1">
      <protection hidden="1"/>
    </xf>
    <xf numFmtId="0" fontId="8" fillId="5" borderId="0" xfId="9" applyFont="1" applyFill="1" applyAlignment="1" applyProtection="1">
      <alignment horizontal="center"/>
      <protection hidden="1"/>
    </xf>
    <xf numFmtId="0" fontId="8" fillId="5" borderId="0" xfId="9" applyFont="1" applyFill="1" applyAlignment="1" applyProtection="1">
      <alignment horizontal="center" shrinkToFit="1"/>
      <protection hidden="1"/>
    </xf>
    <xf numFmtId="49" fontId="0" fillId="5" borderId="0" xfId="0" applyNumberFormat="1" applyFill="1" applyBorder="1" applyAlignment="1">
      <alignment horizontal="left" vertical="center"/>
    </xf>
    <xf numFmtId="49" fontId="8" fillId="0" borderId="76" xfId="9" applyNumberFormat="1" applyFont="1" applyFill="1" applyBorder="1" applyAlignment="1" applyProtection="1">
      <alignment shrinkToFit="1"/>
      <protection locked="0" hidden="1"/>
    </xf>
    <xf numFmtId="49" fontId="8" fillId="0" borderId="14" xfId="9" applyNumberFormat="1" applyFont="1" applyFill="1" applyBorder="1" applyAlignment="1" applyProtection="1">
      <alignment horizontal="right" shrinkToFit="1"/>
      <protection locked="0" hidden="1"/>
    </xf>
    <xf numFmtId="49" fontId="8" fillId="0" borderId="73" xfId="9" applyNumberFormat="1" applyFont="1" applyFill="1" applyBorder="1" applyAlignment="1" applyProtection="1">
      <alignment shrinkToFit="1"/>
      <protection locked="0" hidden="1"/>
    </xf>
    <xf numFmtId="49" fontId="8" fillId="0" borderId="15" xfId="9" applyNumberFormat="1" applyFont="1" applyFill="1" applyBorder="1" applyAlignment="1" applyProtection="1">
      <alignment horizontal="right" shrinkToFit="1"/>
      <protection locked="0" hidden="1"/>
    </xf>
    <xf numFmtId="49" fontId="8" fillId="0" borderId="78" xfId="9" applyNumberFormat="1" applyFont="1" applyFill="1" applyBorder="1" applyAlignment="1" applyProtection="1">
      <alignment shrinkToFit="1"/>
      <protection locked="0" hidden="1"/>
    </xf>
    <xf numFmtId="49" fontId="8" fillId="0" borderId="17" xfId="9" applyNumberFormat="1" applyFont="1" applyFill="1" applyBorder="1" applyAlignment="1" applyProtection="1">
      <alignment horizontal="right" shrinkToFit="1"/>
      <protection locked="0" hidden="1"/>
    </xf>
    <xf numFmtId="0" fontId="8" fillId="5" borderId="0" xfId="8" applyFont="1" applyFill="1" applyBorder="1" applyAlignment="1" applyProtection="1">
      <alignment horizontal="right"/>
      <protection hidden="1"/>
    </xf>
    <xf numFmtId="176" fontId="19" fillId="5" borderId="0" xfId="8" applyNumberFormat="1" applyFont="1" applyFill="1" applyBorder="1" applyAlignment="1" applyProtection="1">
      <alignment horizontal="left"/>
      <protection hidden="1"/>
    </xf>
    <xf numFmtId="0" fontId="14" fillId="0" borderId="33" xfId="9" applyFont="1" applyBorder="1" applyAlignment="1" applyProtection="1">
      <alignment horizontal="center" vertical="center"/>
      <protection hidden="1"/>
    </xf>
    <xf numFmtId="0" fontId="39" fillId="5" borderId="0" xfId="9" applyFont="1" applyFill="1" applyBorder="1" applyAlignment="1" applyProtection="1">
      <protection hidden="1"/>
    </xf>
    <xf numFmtId="49" fontId="8" fillId="5" borderId="0" xfId="9" applyNumberFormat="1" applyFont="1" applyFill="1" applyAlignment="1" applyProtection="1">
      <alignment shrinkToFit="1"/>
      <protection locked="0" hidden="1"/>
    </xf>
    <xf numFmtId="49" fontId="8" fillId="5" borderId="0" xfId="9" applyNumberFormat="1" applyFont="1" applyFill="1" applyAlignment="1" applyProtection="1">
      <alignment horizontal="right" shrinkToFit="1"/>
      <protection locked="0" hidden="1"/>
    </xf>
    <xf numFmtId="0" fontId="43" fillId="5" borderId="0" xfId="8" applyFont="1" applyFill="1" applyBorder="1" applyAlignment="1" applyProtection="1">
      <alignment vertical="top"/>
      <protection hidden="1"/>
    </xf>
    <xf numFmtId="49" fontId="37" fillId="5" borderId="0" xfId="9" applyNumberFormat="1" applyFont="1" applyFill="1" applyBorder="1" applyAlignment="1" applyProtection="1">
      <alignment horizontal="right" shrinkToFit="1"/>
      <protection locked="0" hidden="1"/>
    </xf>
    <xf numFmtId="176" fontId="37" fillId="5" borderId="0" xfId="9" applyNumberFormat="1" applyFont="1" applyFill="1" applyBorder="1" applyAlignment="1" applyProtection="1">
      <alignment horizontal="center" shrinkToFit="1"/>
      <protection hidden="1"/>
    </xf>
    <xf numFmtId="176" fontId="37" fillId="5" borderId="75" xfId="9" applyNumberFormat="1" applyFont="1" applyFill="1" applyBorder="1" applyAlignment="1" applyProtection="1">
      <alignment horizontal="center" shrinkToFit="1"/>
      <protection hidden="1"/>
    </xf>
    <xf numFmtId="176" fontId="38" fillId="5" borderId="0" xfId="9" applyNumberFormat="1" applyFont="1" applyFill="1" applyBorder="1" applyAlignment="1" applyProtection="1">
      <alignment horizontal="center" vertical="center"/>
      <protection hidden="1"/>
    </xf>
    <xf numFmtId="0" fontId="32" fillId="5" borderId="0" xfId="9" applyFont="1" applyFill="1" applyBorder="1" applyAlignment="1" applyProtection="1">
      <alignment horizontal="center" vertical="center"/>
      <protection hidden="1"/>
    </xf>
    <xf numFmtId="176" fontId="38" fillId="5" borderId="75" xfId="9" applyNumberFormat="1" applyFont="1" applyFill="1" applyBorder="1" applyAlignment="1" applyProtection="1">
      <alignment horizontal="center" vertical="center"/>
      <protection hidden="1"/>
    </xf>
    <xf numFmtId="0" fontId="0" fillId="5" borderId="0" xfId="0" applyNumberFormat="1" applyFill="1" applyBorder="1" applyAlignment="1">
      <alignment horizontal="left" vertical="center"/>
    </xf>
    <xf numFmtId="0" fontId="8" fillId="5" borderId="81" xfId="9" applyFont="1" applyFill="1" applyBorder="1" applyProtection="1">
      <protection hidden="1"/>
    </xf>
    <xf numFmtId="0" fontId="32" fillId="5" borderId="0" xfId="9" applyFont="1" applyFill="1" applyBorder="1" applyAlignment="1" applyProtection="1">
      <alignment horizontal="left"/>
      <protection hidden="1"/>
    </xf>
    <xf numFmtId="0" fontId="8" fillId="0" borderId="4" xfId="8" applyFont="1" applyFill="1" applyBorder="1" applyProtection="1">
      <protection hidden="1"/>
    </xf>
    <xf numFmtId="0" fontId="8" fillId="0" borderId="4" xfId="8" applyFont="1" applyFill="1" applyBorder="1" applyAlignment="1" applyProtection="1">
      <alignment horizontal="center"/>
      <protection hidden="1"/>
    </xf>
    <xf numFmtId="0" fontId="8" fillId="0" borderId="16" xfId="8" applyFont="1" applyFill="1" applyBorder="1" applyProtection="1">
      <protection hidden="1"/>
    </xf>
    <xf numFmtId="0" fontId="8" fillId="0" borderId="16" xfId="8" applyFont="1" applyFill="1" applyBorder="1" applyAlignment="1" applyProtection="1">
      <alignment horizontal="center"/>
      <protection hidden="1"/>
    </xf>
    <xf numFmtId="177" fontId="14" fillId="0" borderId="51" xfId="8" applyNumberFormat="1" applyFont="1" applyFill="1" applyBorder="1" applyAlignment="1" applyProtection="1">
      <alignment shrinkToFit="1"/>
      <protection locked="0" hidden="1"/>
    </xf>
    <xf numFmtId="177" fontId="14" fillId="0" borderId="53" xfId="8" applyNumberFormat="1" applyFont="1" applyFill="1" applyBorder="1" applyAlignment="1" applyProtection="1">
      <alignment shrinkToFit="1"/>
      <protection locked="0" hidden="1"/>
    </xf>
    <xf numFmtId="177" fontId="14" fillId="0" borderId="54" xfId="8" applyNumberFormat="1" applyFont="1" applyFill="1" applyBorder="1" applyAlignment="1" applyProtection="1">
      <alignment shrinkToFit="1"/>
      <protection locked="0" hidden="1"/>
    </xf>
    <xf numFmtId="176" fontId="38" fillId="5" borderId="85" xfId="9" applyNumberFormat="1" applyFont="1" applyFill="1" applyBorder="1" applyAlignment="1" applyProtection="1">
      <alignment horizontal="center" shrinkToFit="1"/>
      <protection hidden="1"/>
    </xf>
    <xf numFmtId="0" fontId="14" fillId="5" borderId="0" xfId="8" applyNumberFormat="1" applyFont="1" applyFill="1" applyAlignment="1" applyProtection="1">
      <alignment horizontal="right"/>
      <protection locked="0" hidden="1"/>
    </xf>
    <xf numFmtId="49" fontId="8" fillId="0" borderId="6" xfId="9" applyNumberFormat="1" applyFont="1" applyFill="1" applyBorder="1" applyAlignment="1" applyProtection="1">
      <alignment shrinkToFit="1"/>
      <protection locked="0" hidden="1"/>
    </xf>
    <xf numFmtId="49" fontId="8" fillId="0" borderId="4" xfId="9" applyNumberFormat="1" applyFont="1" applyFill="1" applyBorder="1" applyAlignment="1" applyProtection="1">
      <alignment shrinkToFit="1"/>
      <protection locked="0" hidden="1"/>
    </xf>
    <xf numFmtId="49" fontId="8" fillId="0" borderId="16" xfId="9" applyNumberFormat="1" applyFont="1" applyFill="1" applyBorder="1" applyAlignment="1" applyProtection="1">
      <alignment shrinkToFit="1"/>
      <protection locked="0" hidden="1"/>
    </xf>
    <xf numFmtId="0" fontId="0" fillId="0" borderId="0" xfId="0" applyNumberFormat="1" applyFill="1" applyBorder="1">
      <alignment vertical="center"/>
    </xf>
    <xf numFmtId="49" fontId="8" fillId="5" borderId="0" xfId="8" applyNumberFormat="1" applyFont="1" applyFill="1" applyProtection="1">
      <protection locked="0" hidden="1"/>
    </xf>
    <xf numFmtId="0" fontId="8" fillId="5" borderId="0" xfId="8" applyFont="1" applyFill="1" applyBorder="1" applyAlignment="1" applyProtection="1">
      <alignment shrinkToFit="1"/>
      <protection hidden="1"/>
    </xf>
    <xf numFmtId="0" fontId="8" fillId="5" borderId="0" xfId="8" applyFont="1" applyFill="1" applyBorder="1" applyAlignment="1" applyProtection="1">
      <alignment vertical="top" shrinkToFit="1"/>
      <protection hidden="1"/>
    </xf>
    <xf numFmtId="49" fontId="19" fillId="5" borderId="0" xfId="8" applyNumberFormat="1" applyFont="1" applyFill="1" applyBorder="1" applyAlignment="1" applyProtection="1">
      <alignment horizontal="center" shrinkToFit="1"/>
      <protection hidden="1"/>
    </xf>
    <xf numFmtId="49" fontId="19" fillId="5" borderId="0" xfId="8" applyNumberFormat="1" applyFont="1" applyFill="1" applyBorder="1" applyAlignment="1" applyProtection="1">
      <alignment shrinkToFit="1"/>
      <protection hidden="1"/>
    </xf>
    <xf numFmtId="0" fontId="8" fillId="5" borderId="75" xfId="8" applyFont="1" applyFill="1" applyBorder="1" applyAlignment="1" applyProtection="1">
      <alignment vertical="top" shrinkToFit="1"/>
      <protection hidden="1"/>
    </xf>
    <xf numFmtId="49" fontId="19" fillId="5" borderId="75" xfId="8" applyNumberFormat="1" applyFont="1" applyFill="1" applyBorder="1" applyAlignment="1" applyProtection="1">
      <alignment shrinkToFit="1"/>
      <protection hidden="1"/>
    </xf>
    <xf numFmtId="49" fontId="8" fillId="5" borderId="0" xfId="8" applyNumberFormat="1" applyFont="1" applyFill="1" applyBorder="1" applyAlignment="1" applyProtection="1">
      <alignment horizontal="right"/>
      <protection hidden="1"/>
    </xf>
    <xf numFmtId="49" fontId="8" fillId="5" borderId="0" xfId="12" applyNumberFormat="1" applyFont="1" applyFill="1" applyBorder="1" applyAlignment="1" applyProtection="1">
      <alignment horizontal="right"/>
      <protection hidden="1"/>
    </xf>
    <xf numFmtId="49" fontId="8" fillId="5" borderId="0" xfId="8" applyNumberFormat="1" applyFont="1" applyFill="1" applyBorder="1" applyAlignment="1" applyProtection="1">
      <alignment horizontal="center"/>
      <protection hidden="1"/>
    </xf>
    <xf numFmtId="0" fontId="0" fillId="5" borderId="0" xfId="0" applyFill="1" applyProtection="1">
      <alignment vertical="center"/>
      <protection hidden="1"/>
    </xf>
    <xf numFmtId="0" fontId="30" fillId="5" borderId="0" xfId="0" applyFont="1" applyFill="1" applyProtection="1">
      <alignment vertical="center"/>
      <protection hidden="1"/>
    </xf>
    <xf numFmtId="0" fontId="9" fillId="5" borderId="0" xfId="0" applyFont="1" applyFill="1" applyAlignment="1">
      <alignment horizontal="center" vertical="center"/>
    </xf>
    <xf numFmtId="0" fontId="34" fillId="5" borderId="0" xfId="0" applyFont="1" applyFill="1">
      <alignment vertical="center"/>
    </xf>
    <xf numFmtId="0" fontId="34" fillId="5" borderId="0" xfId="0" applyFont="1" applyFill="1" applyBorder="1">
      <alignment vertical="center"/>
    </xf>
    <xf numFmtId="0" fontId="9" fillId="5" borderId="0" xfId="0" applyFont="1" applyFill="1" applyProtection="1">
      <alignment vertical="center"/>
      <protection hidden="1"/>
    </xf>
    <xf numFmtId="0" fontId="0" fillId="5" borderId="0" xfId="0" applyFill="1" applyAlignment="1" applyProtection="1">
      <alignment horizontal="center" vertical="center"/>
      <protection hidden="1"/>
    </xf>
    <xf numFmtId="0" fontId="0" fillId="5" borderId="86" xfId="0" applyFill="1" applyBorder="1" applyProtection="1">
      <alignment vertical="center"/>
      <protection hidden="1"/>
    </xf>
    <xf numFmtId="0" fontId="0" fillId="5" borderId="87" xfId="0" applyFill="1" applyBorder="1" applyProtection="1">
      <alignment vertical="center"/>
      <protection hidden="1"/>
    </xf>
    <xf numFmtId="0" fontId="0" fillId="5" borderId="87" xfId="0" applyFill="1" applyBorder="1" applyAlignment="1" applyProtection="1">
      <alignment horizontal="center" vertical="center"/>
      <protection hidden="1"/>
    </xf>
    <xf numFmtId="0" fontId="0" fillId="5" borderId="88" xfId="0" applyFill="1" applyBorder="1" applyProtection="1">
      <alignment vertical="center"/>
      <protection hidden="1"/>
    </xf>
    <xf numFmtId="0" fontId="0" fillId="5" borderId="62" xfId="0" applyFill="1" applyBorder="1" applyProtection="1">
      <alignment vertical="center"/>
      <protection hidden="1"/>
    </xf>
    <xf numFmtId="0" fontId="12" fillId="5" borderId="0" xfId="0" applyFont="1" applyFill="1" applyProtection="1">
      <alignment vertical="center"/>
      <protection hidden="1"/>
    </xf>
    <xf numFmtId="0" fontId="0" fillId="5" borderId="13" xfId="0" applyFill="1" applyBorder="1">
      <alignment vertical="center"/>
    </xf>
    <xf numFmtId="0" fontId="0" fillId="5" borderId="1" xfId="0" applyFill="1" applyBorder="1" applyAlignment="1">
      <alignment horizontal="center" vertical="center" wrapText="1"/>
    </xf>
    <xf numFmtId="0" fontId="0" fillId="5" borderId="25" xfId="0" applyFill="1" applyBorder="1" applyProtection="1">
      <alignment vertical="center"/>
      <protection hidden="1"/>
    </xf>
    <xf numFmtId="0" fontId="0" fillId="5" borderId="25" xfId="0" applyFill="1" applyBorder="1" applyAlignment="1" applyProtection="1">
      <alignment horizontal="center" vertical="center"/>
      <protection hidden="1"/>
    </xf>
    <xf numFmtId="0" fontId="0" fillId="5" borderId="2" xfId="0" applyFill="1" applyBorder="1" applyProtection="1">
      <alignment vertical="center"/>
      <protection hidden="1"/>
    </xf>
    <xf numFmtId="0" fontId="0" fillId="5" borderId="2" xfId="0" applyFill="1" applyBorder="1" applyAlignment="1" applyProtection="1">
      <alignment horizontal="center" vertical="center"/>
      <protection hidden="1"/>
    </xf>
    <xf numFmtId="0" fontId="9" fillId="4" borderId="89" xfId="0" applyFont="1" applyFill="1" applyBorder="1" applyAlignment="1" applyProtection="1">
      <alignment horizontal="center" vertical="center"/>
      <protection locked="0" hidden="1"/>
    </xf>
    <xf numFmtId="0" fontId="9" fillId="4" borderId="3" xfId="0" applyFont="1" applyFill="1" applyBorder="1" applyAlignment="1" applyProtection="1">
      <alignment horizontal="center" vertical="center"/>
      <protection locked="0" hidden="1"/>
    </xf>
    <xf numFmtId="0" fontId="12" fillId="4" borderId="89" xfId="0" applyFont="1" applyFill="1" applyBorder="1" applyAlignment="1" applyProtection="1">
      <alignment horizontal="center" vertical="center"/>
      <protection locked="0" hidden="1"/>
    </xf>
    <xf numFmtId="0" fontId="12" fillId="4" borderId="3" xfId="0" applyFont="1" applyFill="1" applyBorder="1" applyAlignment="1" applyProtection="1">
      <alignment horizontal="center" vertical="center"/>
      <protection locked="0" hidden="1"/>
    </xf>
    <xf numFmtId="0" fontId="8" fillId="5" borderId="0" xfId="13" applyNumberFormat="1" applyFont="1" applyFill="1" applyProtection="1">
      <protection hidden="1"/>
    </xf>
    <xf numFmtId="0" fontId="8" fillId="5" borderId="0" xfId="13" applyNumberFormat="1" applyFont="1" applyFill="1" applyBorder="1" applyProtection="1">
      <protection hidden="1"/>
    </xf>
    <xf numFmtId="0" fontId="8" fillId="5" borderId="0" xfId="0" applyNumberFormat="1" applyFont="1" applyFill="1" applyBorder="1" applyProtection="1">
      <alignment vertical="center"/>
      <protection hidden="1"/>
    </xf>
    <xf numFmtId="0" fontId="8" fillId="5" borderId="0" xfId="13" applyNumberFormat="1" applyFont="1" applyFill="1" applyBorder="1" applyAlignment="1" applyProtection="1">
      <alignment horizontal="center"/>
      <protection hidden="1"/>
    </xf>
    <xf numFmtId="0" fontId="14" fillId="5" borderId="0" xfId="13" applyNumberFormat="1" applyFont="1" applyFill="1" applyBorder="1" applyAlignment="1" applyProtection="1">
      <alignment horizontal="right"/>
      <protection locked="0" hidden="1"/>
    </xf>
    <xf numFmtId="0" fontId="14" fillId="5" borderId="0" xfId="13" applyNumberFormat="1" applyFont="1" applyFill="1" applyAlignment="1" applyProtection="1">
      <alignment shrinkToFit="1"/>
      <protection locked="0" hidden="1"/>
    </xf>
    <xf numFmtId="0" fontId="14" fillId="5" borderId="0" xfId="13" applyNumberFormat="1" applyFont="1" applyFill="1" applyProtection="1">
      <protection hidden="1"/>
    </xf>
    <xf numFmtId="0" fontId="14" fillId="5" borderId="0" xfId="13" applyNumberFormat="1" applyFont="1" applyFill="1" applyAlignment="1" applyProtection="1">
      <alignment horizontal="right"/>
      <protection locked="0" hidden="1"/>
    </xf>
    <xf numFmtId="0" fontId="8" fillId="5" borderId="0" xfId="13" applyNumberFormat="1" applyFont="1" applyFill="1" applyAlignment="1" applyProtection="1">
      <alignment shrinkToFit="1"/>
      <protection locked="0" hidden="1"/>
    </xf>
    <xf numFmtId="0" fontId="10" fillId="5" borderId="0" xfId="13" applyNumberFormat="1" applyFont="1" applyFill="1" applyProtection="1">
      <protection locked="0" hidden="1"/>
    </xf>
    <xf numFmtId="0" fontId="8" fillId="5" borderId="0" xfId="0" applyNumberFormat="1" applyFont="1" applyFill="1" applyProtection="1">
      <alignment vertical="center"/>
      <protection hidden="1"/>
    </xf>
    <xf numFmtId="0" fontId="8" fillId="5" borderId="0" xfId="13" applyNumberFormat="1" applyFont="1" applyFill="1" applyProtection="1">
      <protection locked="0" hidden="1"/>
    </xf>
    <xf numFmtId="0" fontId="32" fillId="5" borderId="0" xfId="13" applyNumberFormat="1" applyFont="1" applyFill="1" applyAlignment="1" applyProtection="1">
      <alignment horizontal="left"/>
      <protection hidden="1"/>
    </xf>
    <xf numFmtId="0" fontId="19" fillId="5" borderId="0" xfId="13" applyNumberFormat="1" applyFont="1" applyFill="1" applyAlignment="1" applyProtection="1">
      <alignment horizontal="center"/>
      <protection hidden="1"/>
    </xf>
    <xf numFmtId="0" fontId="19" fillId="5" borderId="0" xfId="13" applyNumberFormat="1" applyFont="1" applyFill="1" applyBorder="1" applyAlignment="1" applyProtection="1">
      <alignment horizontal="left"/>
      <protection hidden="1"/>
    </xf>
    <xf numFmtId="0" fontId="19" fillId="5" borderId="75" xfId="13" applyNumberFormat="1" applyFont="1" applyFill="1" applyBorder="1" applyAlignment="1" applyProtection="1">
      <alignment horizontal="left"/>
      <protection hidden="1"/>
    </xf>
    <xf numFmtId="0" fontId="14" fillId="5" borderId="0" xfId="13" applyNumberFormat="1" applyFont="1" applyFill="1" applyAlignment="1" applyProtection="1">
      <alignment horizontal="right"/>
      <protection hidden="1"/>
    </xf>
    <xf numFmtId="0" fontId="14" fillId="5" borderId="0" xfId="13" applyNumberFormat="1" applyFont="1" applyFill="1" applyProtection="1">
      <protection locked="0" hidden="1"/>
    </xf>
    <xf numFmtId="0" fontId="32" fillId="5" borderId="0" xfId="13" applyNumberFormat="1" applyFont="1" applyFill="1" applyAlignment="1" applyProtection="1">
      <alignment horizontal="right"/>
      <protection hidden="1"/>
    </xf>
    <xf numFmtId="179" fontId="32" fillId="5" borderId="0" xfId="13" applyNumberFormat="1" applyFont="1" applyFill="1" applyAlignment="1" applyProtection="1">
      <alignment horizontal="center"/>
      <protection hidden="1"/>
    </xf>
    <xf numFmtId="176" fontId="32" fillId="5" borderId="85" xfId="13" applyNumberFormat="1" applyFont="1" applyFill="1" applyBorder="1" applyAlignment="1" applyProtection="1">
      <alignment horizontal="center"/>
      <protection hidden="1"/>
    </xf>
    <xf numFmtId="0" fontId="32" fillId="5" borderId="0" xfId="13" applyNumberFormat="1" applyFont="1" applyFill="1" applyAlignment="1" applyProtection="1">
      <alignment horizontal="center"/>
      <protection hidden="1"/>
    </xf>
    <xf numFmtId="0" fontId="14" fillId="5" borderId="0" xfId="13" applyNumberFormat="1" applyFont="1" applyFill="1" applyAlignment="1" applyProtection="1">
      <alignment horizontal="center"/>
      <protection hidden="1"/>
    </xf>
    <xf numFmtId="0" fontId="14" fillId="5" borderId="0" xfId="13" applyNumberFormat="1" applyFont="1" applyFill="1" applyAlignment="1" applyProtection="1">
      <alignment horizontal="center" vertical="center" shrinkToFit="1"/>
      <protection hidden="1"/>
    </xf>
    <xf numFmtId="0" fontId="8" fillId="0" borderId="51" xfId="13" applyNumberFormat="1" applyFont="1" applyFill="1" applyBorder="1" applyProtection="1">
      <protection hidden="1"/>
    </xf>
    <xf numFmtId="0" fontId="8" fillId="0" borderId="6" xfId="13" applyNumberFormat="1" applyFont="1" applyFill="1" applyBorder="1" applyProtection="1">
      <protection hidden="1"/>
    </xf>
    <xf numFmtId="0" fontId="8" fillId="0" borderId="6" xfId="13" applyNumberFormat="1" applyFont="1" applyFill="1" applyBorder="1" applyAlignment="1" applyProtection="1">
      <alignment horizontal="center"/>
      <protection hidden="1"/>
    </xf>
    <xf numFmtId="0" fontId="8" fillId="0" borderId="53" xfId="13" applyNumberFormat="1" applyFont="1" applyFill="1" applyBorder="1" applyProtection="1">
      <protection hidden="1"/>
    </xf>
    <xf numFmtId="0" fontId="8" fillId="0" borderId="4" xfId="13" applyNumberFormat="1" applyFont="1" applyFill="1" applyBorder="1" applyProtection="1">
      <protection hidden="1"/>
    </xf>
    <xf numFmtId="0" fontId="8" fillId="0" borderId="4" xfId="13" applyNumberFormat="1" applyFont="1" applyFill="1" applyBorder="1" applyAlignment="1" applyProtection="1">
      <alignment horizontal="center"/>
      <protection hidden="1"/>
    </xf>
    <xf numFmtId="0" fontId="8" fillId="0" borderId="54" xfId="13" applyNumberFormat="1" applyFont="1" applyFill="1" applyBorder="1" applyProtection="1">
      <protection hidden="1"/>
    </xf>
    <xf numFmtId="0" fontId="8" fillId="0" borderId="16" xfId="13" applyNumberFormat="1" applyFont="1" applyFill="1" applyBorder="1" applyProtection="1">
      <protection hidden="1"/>
    </xf>
    <xf numFmtId="0" fontId="8" fillId="0" borderId="16" xfId="13" applyNumberFormat="1" applyFont="1" applyFill="1" applyBorder="1" applyAlignment="1" applyProtection="1">
      <alignment horizontal="center"/>
      <protection hidden="1"/>
    </xf>
    <xf numFmtId="0" fontId="50" fillId="5" borderId="0" xfId="7" applyFont="1" applyFill="1" applyProtection="1">
      <alignment vertical="center"/>
      <protection locked="0" hidden="1"/>
    </xf>
    <xf numFmtId="0" fontId="51" fillId="5" borderId="0" xfId="7" applyFont="1" applyFill="1" applyAlignment="1" applyProtection="1">
      <alignment horizontal="center"/>
      <protection locked="0" hidden="1"/>
    </xf>
    <xf numFmtId="0" fontId="51" fillId="5" borderId="0" xfId="7" applyFont="1" applyFill="1" applyAlignment="1" applyProtection="1">
      <alignment horizontal="left"/>
      <protection locked="0" hidden="1"/>
    </xf>
    <xf numFmtId="0" fontId="51" fillId="5" borderId="0" xfId="7" applyFont="1" applyFill="1" applyBorder="1" applyAlignment="1" applyProtection="1">
      <alignment horizontal="right"/>
      <protection locked="0" hidden="1"/>
    </xf>
    <xf numFmtId="0" fontId="51" fillId="5" borderId="0" xfId="7" applyFont="1" applyFill="1" applyAlignment="1">
      <alignment horizontal="center"/>
    </xf>
    <xf numFmtId="0" fontId="50" fillId="5" borderId="0" xfId="7" applyFont="1" applyFill="1">
      <alignment vertical="center"/>
    </xf>
    <xf numFmtId="0" fontId="51" fillId="5" borderId="0" xfId="7" applyFont="1" applyFill="1" applyBorder="1" applyAlignment="1" applyProtection="1">
      <alignment horizontal="center"/>
      <protection locked="0" hidden="1"/>
    </xf>
    <xf numFmtId="0" fontId="52" fillId="5" borderId="0" xfId="7" applyFont="1" applyFill="1" applyBorder="1" applyAlignment="1" applyProtection="1">
      <alignment horizontal="center"/>
      <protection locked="0" hidden="1"/>
    </xf>
    <xf numFmtId="0" fontId="54" fillId="5" borderId="0" xfId="7" applyFont="1" applyFill="1" applyAlignment="1" applyProtection="1">
      <alignment horizontal="center"/>
      <protection locked="0" hidden="1"/>
    </xf>
    <xf numFmtId="0" fontId="54" fillId="5" borderId="0" xfId="7" applyFont="1" applyFill="1" applyAlignment="1">
      <alignment horizontal="center"/>
    </xf>
    <xf numFmtId="0" fontId="50" fillId="5" borderId="0" xfId="7" applyFont="1" applyFill="1" applyBorder="1">
      <alignment vertical="center"/>
    </xf>
    <xf numFmtId="0" fontId="50" fillId="5" borderId="74" xfId="7" applyFont="1" applyFill="1" applyBorder="1" applyAlignment="1" applyProtection="1">
      <alignment horizontal="center" vertical="center"/>
      <protection locked="0" hidden="1"/>
    </xf>
    <xf numFmtId="0" fontId="50" fillId="5" borderId="25" xfId="7" applyFont="1" applyFill="1" applyBorder="1" applyAlignment="1" applyProtection="1">
      <alignment horizontal="center" vertical="center"/>
      <protection locked="0" hidden="1"/>
    </xf>
    <xf numFmtId="0" fontId="50" fillId="5" borderId="90" xfId="7" applyNumberFormat="1" applyFont="1" applyFill="1" applyBorder="1" applyAlignment="1" applyProtection="1">
      <alignment vertical="center"/>
      <protection locked="0" hidden="1"/>
    </xf>
    <xf numFmtId="0" fontId="50" fillId="5" borderId="91" xfId="7" applyNumberFormat="1" applyFont="1" applyFill="1" applyBorder="1" applyAlignment="1" applyProtection="1">
      <alignment vertical="center" shrinkToFit="1"/>
      <protection locked="0" hidden="1"/>
    </xf>
    <xf numFmtId="0" fontId="50" fillId="5" borderId="25" xfId="7" applyFont="1" applyFill="1" applyBorder="1" applyAlignment="1" applyProtection="1">
      <alignment vertical="center" shrinkToFit="1"/>
      <protection locked="0" hidden="1"/>
    </xf>
    <xf numFmtId="0" fontId="50" fillId="5" borderId="92" xfId="7" applyFont="1" applyFill="1" applyBorder="1" applyAlignment="1" applyProtection="1">
      <alignment vertical="center" shrinkToFit="1"/>
      <protection locked="0" hidden="1"/>
    </xf>
    <xf numFmtId="0" fontId="50" fillId="5" borderId="25" xfId="7" applyFont="1" applyFill="1" applyBorder="1" applyAlignment="1" applyProtection="1">
      <alignment horizontal="center" vertical="center" shrinkToFit="1"/>
      <protection locked="0" hidden="1"/>
    </xf>
    <xf numFmtId="0" fontId="57" fillId="5" borderId="25" xfId="7" applyFont="1" applyFill="1" applyBorder="1" applyAlignment="1" applyProtection="1">
      <alignment horizontal="center" shrinkToFit="1"/>
      <protection locked="0" hidden="1"/>
    </xf>
    <xf numFmtId="0" fontId="50" fillId="5" borderId="93" xfId="7" applyFont="1" applyFill="1" applyBorder="1" applyAlignment="1" applyProtection="1">
      <alignment horizontal="center" shrinkToFit="1"/>
      <protection locked="0" hidden="1"/>
    </xf>
    <xf numFmtId="0" fontId="57" fillId="5" borderId="94" xfId="7" applyFont="1" applyFill="1" applyBorder="1" applyAlignment="1" applyProtection="1">
      <alignment horizontal="center"/>
      <protection locked="0" hidden="1"/>
    </xf>
    <xf numFmtId="0" fontId="57" fillId="5" borderId="95" xfId="7" applyFont="1" applyFill="1" applyBorder="1" applyAlignment="1" applyProtection="1">
      <alignment horizontal="center"/>
      <protection locked="0" hidden="1"/>
    </xf>
    <xf numFmtId="0" fontId="59" fillId="5" borderId="94" xfId="7" applyFont="1" applyFill="1" applyBorder="1" applyAlignment="1" applyProtection="1">
      <alignment horizontal="center" shrinkToFit="1"/>
      <protection locked="0" hidden="1"/>
    </xf>
    <xf numFmtId="0" fontId="59" fillId="5" borderId="96" xfId="7" applyFont="1" applyFill="1" applyBorder="1" applyAlignment="1" applyProtection="1">
      <alignment horizontal="center" shrinkToFit="1"/>
      <protection locked="0" hidden="1"/>
    </xf>
    <xf numFmtId="0" fontId="59" fillId="5" borderId="95" xfId="7" applyFont="1" applyFill="1" applyBorder="1" applyAlignment="1" applyProtection="1">
      <alignment horizontal="center" shrinkToFit="1"/>
      <protection locked="0" hidden="1"/>
    </xf>
    <xf numFmtId="0" fontId="59" fillId="5" borderId="95" xfId="7" applyFont="1" applyFill="1" applyBorder="1" applyAlignment="1" applyProtection="1">
      <alignment horizontal="center" shrinkToFit="1"/>
      <protection hidden="1"/>
    </xf>
    <xf numFmtId="0" fontId="57" fillId="5" borderId="94" xfId="7" applyFont="1" applyFill="1" applyBorder="1" applyAlignment="1" applyProtection="1">
      <alignment horizontal="center" shrinkToFit="1"/>
      <protection locked="0" hidden="1"/>
    </xf>
    <xf numFmtId="0" fontId="57" fillId="5" borderId="0" xfId="7" applyFont="1" applyFill="1">
      <alignment vertical="center"/>
    </xf>
    <xf numFmtId="0" fontId="60" fillId="5" borderId="97" xfId="7" applyFont="1" applyFill="1" applyBorder="1" applyAlignment="1" applyProtection="1">
      <alignment horizontal="center" vertical="center"/>
      <protection locked="0" hidden="1"/>
    </xf>
    <xf numFmtId="0" fontId="60" fillId="5" borderId="69" xfId="7" applyFont="1" applyFill="1" applyBorder="1" applyAlignment="1" applyProtection="1">
      <alignment horizontal="center" vertical="center"/>
      <protection locked="0" hidden="1"/>
    </xf>
    <xf numFmtId="0" fontId="60" fillId="5" borderId="71" xfId="7" applyFont="1" applyFill="1" applyBorder="1" applyAlignment="1" applyProtection="1">
      <alignment horizontal="center" vertical="center"/>
      <protection locked="0" hidden="1"/>
    </xf>
    <xf numFmtId="181" fontId="50" fillId="5" borderId="0" xfId="7" applyNumberFormat="1" applyFont="1" applyFill="1" applyAlignment="1" applyProtection="1">
      <alignment horizontal="right"/>
      <protection locked="0"/>
    </xf>
    <xf numFmtId="0" fontId="50" fillId="5" borderId="0" xfId="7" applyFont="1" applyFill="1" applyAlignment="1">
      <alignment horizontal="right" vertical="center"/>
    </xf>
    <xf numFmtId="0" fontId="57" fillId="5" borderId="0" xfId="7" applyFont="1" applyFill="1" applyBorder="1" applyAlignment="1">
      <alignment horizontal="right" vertical="center"/>
    </xf>
    <xf numFmtId="0" fontId="50" fillId="5" borderId="0" xfId="7" applyFont="1" applyFill="1" applyBorder="1" applyAlignment="1">
      <alignment horizontal="center" vertical="center"/>
    </xf>
    <xf numFmtId="0" fontId="50" fillId="5" borderId="0" xfId="7" applyFont="1" applyFill="1" applyAlignment="1">
      <alignment horizontal="center" vertical="center"/>
    </xf>
    <xf numFmtId="0" fontId="50" fillId="5" borderId="0" xfId="7" applyFont="1" applyFill="1" applyProtection="1">
      <alignment vertical="center"/>
    </xf>
    <xf numFmtId="176" fontId="50" fillId="5" borderId="0" xfId="7" applyNumberFormat="1" applyFont="1" applyFill="1" applyAlignment="1" applyProtection="1">
      <alignment horizontal="right" vertical="center"/>
      <protection hidden="1"/>
    </xf>
    <xf numFmtId="0" fontId="60" fillId="5" borderId="68" xfId="7" applyFont="1" applyFill="1" applyBorder="1" applyAlignment="1" applyProtection="1">
      <alignment horizontal="center" vertical="center"/>
      <protection locked="0" hidden="1"/>
    </xf>
    <xf numFmtId="0" fontId="60" fillId="0" borderId="97" xfId="7" applyFont="1" applyFill="1" applyBorder="1" applyAlignment="1" applyProtection="1">
      <alignment horizontal="center" vertical="center" shrinkToFit="1"/>
      <protection locked="0" hidden="1"/>
    </xf>
    <xf numFmtId="0" fontId="60" fillId="0" borderId="71" xfId="7" applyFont="1" applyFill="1" applyBorder="1" applyAlignment="1" applyProtection="1">
      <alignment horizontal="center" vertical="center" shrinkToFit="1"/>
      <protection locked="0" hidden="1"/>
    </xf>
    <xf numFmtId="0" fontId="14" fillId="0" borderId="0" xfId="8" applyFont="1" applyBorder="1" applyProtection="1">
      <protection hidden="1"/>
    </xf>
    <xf numFmtId="0" fontId="14" fillId="0" borderId="0" xfId="8" applyFont="1" applyFill="1" applyBorder="1" applyAlignment="1" applyProtection="1">
      <alignment horizontal="center"/>
      <protection hidden="1"/>
    </xf>
    <xf numFmtId="0" fontId="14" fillId="0" borderId="0" xfId="8" applyFont="1" applyBorder="1" applyAlignment="1" applyProtection="1">
      <alignment horizontal="center"/>
      <protection hidden="1"/>
    </xf>
    <xf numFmtId="49" fontId="14" fillId="0" borderId="0" xfId="8" applyNumberFormat="1" applyFont="1" applyBorder="1" applyAlignment="1" applyProtection="1">
      <alignment horizontal="right"/>
      <protection hidden="1"/>
    </xf>
    <xf numFmtId="49" fontId="14" fillId="5" borderId="0" xfId="8" applyNumberFormat="1" applyFont="1" applyFill="1" applyBorder="1" applyAlignment="1" applyProtection="1">
      <alignment horizontal="right"/>
      <protection hidden="1"/>
    </xf>
    <xf numFmtId="0" fontId="63" fillId="5" borderId="94" xfId="7" applyFont="1" applyFill="1" applyBorder="1" applyAlignment="1" applyProtection="1">
      <alignment horizontal="center"/>
      <protection locked="0" hidden="1"/>
    </xf>
    <xf numFmtId="0" fontId="63" fillId="5" borderId="95" xfId="7" applyFont="1" applyFill="1" applyBorder="1" applyAlignment="1" applyProtection="1">
      <alignment horizontal="center"/>
      <protection locked="0" hidden="1"/>
    </xf>
    <xf numFmtId="0" fontId="64" fillId="5" borderId="94" xfId="7" applyFont="1" applyFill="1" applyBorder="1" applyAlignment="1" applyProtection="1">
      <alignment horizontal="center" shrinkToFit="1"/>
      <protection locked="0" hidden="1"/>
    </xf>
    <xf numFmtId="0" fontId="64" fillId="5" borderId="96" xfId="7" applyFont="1" applyFill="1" applyBorder="1" applyAlignment="1" applyProtection="1">
      <alignment horizontal="center" shrinkToFit="1"/>
      <protection locked="0" hidden="1"/>
    </xf>
    <xf numFmtId="0" fontId="64" fillId="5" borderId="95" xfId="7" applyFont="1" applyFill="1" applyBorder="1" applyAlignment="1" applyProtection="1">
      <alignment horizontal="center" shrinkToFit="1"/>
      <protection locked="0" hidden="1"/>
    </xf>
    <xf numFmtId="0" fontId="64" fillId="5" borderId="95" xfId="7" applyFont="1" applyFill="1" applyBorder="1" applyAlignment="1" applyProtection="1">
      <alignment horizontal="center" shrinkToFit="1"/>
      <protection hidden="1"/>
    </xf>
    <xf numFmtId="0" fontId="63" fillId="5" borderId="94" xfId="7" applyFont="1" applyFill="1" applyBorder="1" applyAlignment="1" applyProtection="1">
      <alignment horizontal="center" shrinkToFit="1"/>
      <protection locked="0" hidden="1"/>
    </xf>
    <xf numFmtId="176" fontId="53" fillId="4" borderId="26" xfId="7" applyNumberFormat="1" applyFont="1" applyFill="1" applyBorder="1" applyAlignment="1" applyProtection="1">
      <alignment horizontal="left" vertical="center"/>
      <protection locked="0" hidden="1"/>
    </xf>
    <xf numFmtId="176" fontId="53" fillId="4" borderId="27" xfId="7" applyNumberFormat="1" applyFont="1" applyFill="1" applyBorder="1" applyAlignment="1" applyProtection="1">
      <alignment horizontal="right" vertical="center" shrinkToFit="1"/>
      <protection locked="0" hidden="1"/>
    </xf>
    <xf numFmtId="176" fontId="53" fillId="4" borderId="58" xfId="7" applyNumberFormat="1" applyFont="1" applyFill="1" applyBorder="1" applyAlignment="1" applyProtection="1">
      <alignment horizontal="right"/>
      <protection locked="0" hidden="1"/>
    </xf>
    <xf numFmtId="0" fontId="60" fillId="4" borderId="67" xfId="7" applyFont="1" applyFill="1" applyBorder="1" applyAlignment="1" applyProtection="1">
      <alignment horizontal="center" vertical="center"/>
      <protection locked="0" hidden="1"/>
    </xf>
    <xf numFmtId="0" fontId="52" fillId="4" borderId="68" xfId="7" applyFont="1" applyFill="1" applyBorder="1" applyAlignment="1" applyProtection="1">
      <alignment horizontal="center" vertical="center" shrinkToFit="1"/>
      <protection locked="0" hidden="1"/>
    </xf>
    <xf numFmtId="49" fontId="52" fillId="4" borderId="68" xfId="7" applyNumberFormat="1" applyFont="1" applyFill="1" applyBorder="1" applyAlignment="1" applyProtection="1">
      <alignment horizontal="center" vertical="center" shrinkToFit="1"/>
      <protection locked="0" hidden="1"/>
    </xf>
    <xf numFmtId="0" fontId="60" fillId="4" borderId="97" xfId="7" applyFont="1" applyFill="1" applyBorder="1" applyAlignment="1" applyProtection="1">
      <alignment horizontal="center" vertical="center" shrinkToFit="1"/>
      <protection locked="0" hidden="1"/>
    </xf>
    <xf numFmtId="0" fontId="52" fillId="4" borderId="69" xfId="7" applyFont="1" applyFill="1" applyBorder="1" applyAlignment="1" applyProtection="1">
      <alignment horizontal="center" vertical="center" shrinkToFit="1"/>
      <protection locked="0" hidden="1"/>
    </xf>
    <xf numFmtId="49" fontId="52" fillId="4" borderId="69" xfId="7" applyNumberFormat="1" applyFont="1" applyFill="1" applyBorder="1" applyAlignment="1" applyProtection="1">
      <alignment horizontal="center" vertical="center" shrinkToFit="1"/>
      <protection locked="0" hidden="1"/>
    </xf>
    <xf numFmtId="0" fontId="60" fillId="4" borderId="70" xfId="7" applyFont="1" applyFill="1" applyBorder="1" applyAlignment="1" applyProtection="1">
      <alignment horizontal="center" vertical="center"/>
      <protection locked="0" hidden="1"/>
    </xf>
    <xf numFmtId="0" fontId="52" fillId="4" borderId="71" xfId="7" applyFont="1" applyFill="1" applyBorder="1" applyAlignment="1" applyProtection="1">
      <alignment horizontal="center" vertical="center" shrinkToFit="1"/>
      <protection locked="0" hidden="1"/>
    </xf>
    <xf numFmtId="49" fontId="52" fillId="4" borderId="71" xfId="7" applyNumberFormat="1" applyFont="1" applyFill="1" applyBorder="1" applyAlignment="1" applyProtection="1">
      <alignment horizontal="center" vertical="center" shrinkToFit="1"/>
      <protection locked="0" hidden="1"/>
    </xf>
    <xf numFmtId="0" fontId="60" fillId="4" borderId="71" xfId="7" applyFont="1" applyFill="1" applyBorder="1" applyAlignment="1" applyProtection="1">
      <alignment horizontal="center" vertical="center" shrinkToFit="1"/>
      <protection locked="0" hidden="1"/>
    </xf>
    <xf numFmtId="0" fontId="0" fillId="7" borderId="0" xfId="0" applyFill="1">
      <alignment vertical="center"/>
    </xf>
    <xf numFmtId="0" fontId="0" fillId="7" borderId="0" xfId="0" applyFill="1" applyAlignment="1">
      <alignment horizontal="center" vertical="center"/>
    </xf>
    <xf numFmtId="0" fontId="8" fillId="0" borderId="99" xfId="7" applyFont="1" applyBorder="1" applyAlignment="1" applyProtection="1">
      <alignment horizontal="center" vertical="center" shrinkToFit="1"/>
      <protection hidden="1"/>
    </xf>
    <xf numFmtId="0" fontId="8" fillId="0" borderId="100" xfId="7" applyFont="1" applyBorder="1" applyAlignment="1" applyProtection="1">
      <alignment horizontal="left" vertical="center" shrinkToFit="1"/>
      <protection hidden="1"/>
    </xf>
    <xf numFmtId="0" fontId="8" fillId="0" borderId="101" xfId="7" applyFont="1" applyBorder="1" applyAlignment="1" applyProtection="1">
      <alignment horizontal="center" vertical="center" shrinkToFit="1"/>
      <protection hidden="1"/>
    </xf>
    <xf numFmtId="0" fontId="8" fillId="0" borderId="102" xfId="7" applyFont="1" applyBorder="1" applyAlignment="1" applyProtection="1">
      <alignment horizontal="center" vertical="center" textRotation="255" shrinkToFit="1"/>
      <protection hidden="1"/>
    </xf>
    <xf numFmtId="0" fontId="8" fillId="0" borderId="99" xfId="7" applyFont="1" applyBorder="1" applyAlignment="1" applyProtection="1">
      <alignment horizontal="center" vertical="center" textRotation="255" shrinkToFit="1"/>
      <protection hidden="1"/>
    </xf>
    <xf numFmtId="0" fontId="8" fillId="0" borderId="0" xfId="7" applyFont="1" applyAlignment="1" applyProtection="1">
      <alignment vertical="center" shrinkToFit="1"/>
      <protection hidden="1"/>
    </xf>
    <xf numFmtId="0" fontId="8" fillId="0" borderId="103" xfId="7" applyFont="1" applyBorder="1" applyAlignment="1" applyProtection="1">
      <alignment horizontal="center" vertical="center" textRotation="255" shrinkToFit="1"/>
      <protection hidden="1"/>
    </xf>
    <xf numFmtId="0" fontId="8" fillId="0" borderId="101" xfId="7" applyFont="1" applyBorder="1" applyAlignment="1" applyProtection="1">
      <alignment horizontal="center" vertical="center" textRotation="255" shrinkToFit="1"/>
      <protection hidden="1"/>
    </xf>
    <xf numFmtId="0" fontId="27" fillId="0" borderId="99" xfId="7" applyFont="1" applyBorder="1" applyAlignment="1" applyProtection="1">
      <alignment horizontal="center" vertical="center" shrinkToFit="1"/>
      <protection hidden="1"/>
    </xf>
    <xf numFmtId="0" fontId="27" fillId="0" borderId="100" xfId="7" applyFont="1" applyBorder="1" applyAlignment="1" applyProtection="1">
      <alignment horizontal="left" vertical="center" shrinkToFit="1"/>
      <protection hidden="1"/>
    </xf>
    <xf numFmtId="0" fontId="27" fillId="0" borderId="101" xfId="7" applyFont="1" applyBorder="1" applyAlignment="1" applyProtection="1">
      <alignment horizontal="center" vertical="center" shrinkToFit="1"/>
      <protection hidden="1"/>
    </xf>
    <xf numFmtId="0" fontId="27" fillId="0" borderId="102" xfId="7" applyFont="1" applyBorder="1" applyAlignment="1" applyProtection="1">
      <alignment horizontal="center" vertical="center" textRotation="255" shrinkToFit="1"/>
      <protection hidden="1"/>
    </xf>
    <xf numFmtId="0" fontId="27" fillId="0" borderId="99" xfId="7" applyFont="1" applyBorder="1" applyAlignment="1" applyProtection="1">
      <alignment horizontal="center" vertical="center" textRotation="255" shrinkToFit="1"/>
      <protection hidden="1"/>
    </xf>
    <xf numFmtId="0" fontId="27" fillId="0" borderId="103" xfId="7" applyFont="1" applyBorder="1" applyAlignment="1" applyProtection="1">
      <alignment horizontal="center" vertical="center" textRotation="255" shrinkToFit="1"/>
      <protection hidden="1"/>
    </xf>
    <xf numFmtId="0" fontId="27" fillId="0" borderId="101" xfId="7" applyFont="1" applyBorder="1" applyAlignment="1" applyProtection="1">
      <alignment horizontal="center" vertical="center" textRotation="255" shrinkToFit="1"/>
      <protection hidden="1"/>
    </xf>
    <xf numFmtId="0" fontId="6" fillId="5" borderId="0" xfId="6" applyFont="1" applyFill="1" applyBorder="1" applyAlignment="1">
      <alignment horizontal="center" vertical="center"/>
    </xf>
    <xf numFmtId="0" fontId="6" fillId="5" borderId="0" xfId="6" applyFont="1" applyFill="1" applyBorder="1" applyAlignment="1" applyProtection="1">
      <alignment horizontal="center" vertical="center"/>
      <protection locked="0"/>
    </xf>
    <xf numFmtId="0" fontId="7" fillId="8" borderId="2" xfId="0" applyFont="1" applyFill="1" applyBorder="1" applyAlignment="1" applyProtection="1">
      <alignment horizontal="right" vertical="center"/>
      <protection locked="0" hidden="1"/>
    </xf>
    <xf numFmtId="0" fontId="7" fillId="8" borderId="18" xfId="0" applyFont="1" applyFill="1" applyBorder="1" applyAlignment="1" applyProtection="1">
      <alignment horizontal="right" vertical="center"/>
      <protection hidden="1"/>
    </xf>
    <xf numFmtId="0" fontId="7" fillId="8" borderId="22" xfId="0" applyFont="1" applyFill="1" applyBorder="1" applyAlignment="1" applyProtection="1">
      <alignment vertical="center"/>
      <protection hidden="1"/>
    </xf>
    <xf numFmtId="0" fontId="7" fillId="8" borderId="4" xfId="0" applyFont="1" applyFill="1" applyBorder="1" applyAlignment="1" applyProtection="1">
      <alignment horizontal="right" vertical="center"/>
      <protection hidden="1"/>
    </xf>
    <xf numFmtId="0" fontId="7" fillId="8" borderId="23" xfId="0" applyFont="1" applyFill="1" applyBorder="1" applyAlignment="1" applyProtection="1">
      <alignment vertical="center"/>
      <protection hidden="1"/>
    </xf>
    <xf numFmtId="0" fontId="7" fillId="8" borderId="16" xfId="0" applyFont="1" applyFill="1" applyBorder="1" applyAlignment="1" applyProtection="1">
      <alignment horizontal="right" vertical="center"/>
      <protection hidden="1"/>
    </xf>
    <xf numFmtId="0" fontId="8" fillId="0" borderId="0" xfId="4" applyAlignment="1">
      <alignment horizontal="center" vertical="center"/>
    </xf>
    <xf numFmtId="0" fontId="8" fillId="5" borderId="0" xfId="4" applyFill="1" applyProtection="1">
      <alignment vertical="center"/>
      <protection locked="0"/>
    </xf>
    <xf numFmtId="0" fontId="8" fillId="5" borderId="0" xfId="4" applyFill="1" applyBorder="1" applyProtection="1">
      <alignment vertical="center"/>
      <protection locked="0"/>
    </xf>
    <xf numFmtId="0" fontId="8" fillId="5" borderId="0" xfId="4" applyFill="1">
      <alignment vertical="center"/>
    </xf>
    <xf numFmtId="0" fontId="23" fillId="5" borderId="0" xfId="4" applyFont="1" applyFill="1" applyAlignment="1" applyProtection="1">
      <alignment horizontal="center" vertical="center"/>
      <protection locked="0"/>
    </xf>
    <xf numFmtId="0" fontId="23" fillId="5" borderId="0" xfId="4" applyFont="1" applyFill="1" applyAlignment="1" applyProtection="1">
      <alignment horizontal="left" vertical="center"/>
      <protection locked="0"/>
    </xf>
    <xf numFmtId="0" fontId="8" fillId="5" borderId="0" xfId="4" applyFill="1" applyBorder="1">
      <alignment vertical="center"/>
    </xf>
    <xf numFmtId="0" fontId="8" fillId="5" borderId="7" xfId="4" applyFill="1" applyBorder="1">
      <alignment vertical="center"/>
    </xf>
    <xf numFmtId="0" fontId="8" fillId="5" borderId="74" xfId="4" applyFill="1" applyBorder="1">
      <alignment vertical="center"/>
    </xf>
    <xf numFmtId="0" fontId="8" fillId="5" borderId="8" xfId="4" applyFill="1" applyBorder="1">
      <alignment vertical="center"/>
    </xf>
    <xf numFmtId="0" fontId="8" fillId="5" borderId="9" xfId="4" applyFill="1" applyBorder="1">
      <alignment vertical="center"/>
    </xf>
    <xf numFmtId="0" fontId="8" fillId="5" borderId="10" xfId="4" applyFill="1" applyBorder="1">
      <alignment vertical="center"/>
    </xf>
    <xf numFmtId="0" fontId="8" fillId="5" borderId="12" xfId="4" applyFill="1" applyBorder="1">
      <alignment vertical="center"/>
    </xf>
    <xf numFmtId="0" fontId="8" fillId="5" borderId="13" xfId="4" applyFill="1" applyBorder="1">
      <alignment vertical="center"/>
    </xf>
    <xf numFmtId="0" fontId="8" fillId="5" borderId="11" xfId="4" applyFill="1" applyBorder="1">
      <alignment vertical="center"/>
    </xf>
    <xf numFmtId="0" fontId="24" fillId="5" borderId="0" xfId="4" applyFont="1" applyFill="1" applyBorder="1">
      <alignment vertical="center"/>
    </xf>
    <xf numFmtId="0" fontId="26" fillId="5" borderId="0" xfId="4" applyFont="1" applyFill="1" applyBorder="1" applyProtection="1">
      <alignment vertical="center"/>
      <protection hidden="1"/>
    </xf>
    <xf numFmtId="0" fontId="24" fillId="5" borderId="0" xfId="4" applyFont="1" applyFill="1" applyBorder="1" applyProtection="1">
      <alignment vertical="center"/>
      <protection hidden="1"/>
    </xf>
    <xf numFmtId="0" fontId="8" fillId="4" borderId="0" xfId="4" applyFill="1">
      <alignment vertical="center"/>
    </xf>
    <xf numFmtId="179" fontId="67" fillId="5" borderId="0" xfId="8" applyNumberFormat="1" applyFont="1" applyFill="1" applyBorder="1" applyAlignment="1" applyProtection="1">
      <alignment horizontal="center"/>
      <protection hidden="1"/>
    </xf>
    <xf numFmtId="0" fontId="26" fillId="5" borderId="0" xfId="4" applyFont="1" applyFill="1">
      <alignment vertical="center"/>
    </xf>
    <xf numFmtId="0" fontId="26" fillId="0" borderId="0" xfId="4" applyFont="1">
      <alignment vertical="center"/>
    </xf>
    <xf numFmtId="0" fontId="26" fillId="5" borderId="0" xfId="4" applyFont="1" applyFill="1" applyAlignment="1">
      <alignment horizontal="left" vertical="center"/>
    </xf>
    <xf numFmtId="0" fontId="72" fillId="4" borderId="0" xfId="8" applyFont="1" applyFill="1" applyBorder="1" applyAlignment="1" applyProtection="1">
      <alignment horizontal="center" vertical="center"/>
      <protection hidden="1"/>
    </xf>
    <xf numFmtId="0" fontId="72" fillId="5" borderId="0" xfId="8" applyFont="1" applyFill="1" applyBorder="1" applyAlignment="1" applyProtection="1">
      <alignment horizontal="center" vertical="center"/>
      <protection hidden="1"/>
    </xf>
    <xf numFmtId="0" fontId="30" fillId="5" borderId="0" xfId="0" applyFont="1" applyFill="1" applyAlignment="1">
      <alignment horizontal="left" vertical="center"/>
    </xf>
    <xf numFmtId="49" fontId="26" fillId="4" borderId="0" xfId="4" applyNumberFormat="1" applyFont="1" applyFill="1" applyBorder="1" applyProtection="1">
      <alignment vertical="center"/>
      <protection hidden="1"/>
    </xf>
    <xf numFmtId="0" fontId="25" fillId="5" borderId="0" xfId="8" applyFont="1" applyFill="1" applyAlignment="1" applyProtection="1">
      <alignment shrinkToFit="1"/>
      <protection hidden="1"/>
    </xf>
    <xf numFmtId="0" fontId="26" fillId="4" borderId="0" xfId="4" applyFont="1" applyFill="1" applyAlignment="1">
      <alignment horizontal="center" vertical="center"/>
    </xf>
    <xf numFmtId="49" fontId="26" fillId="5" borderId="0" xfId="4" applyNumberFormat="1" applyFont="1" applyFill="1" applyBorder="1" applyProtection="1">
      <alignment vertical="center"/>
      <protection hidden="1"/>
    </xf>
    <xf numFmtId="0" fontId="26" fillId="4" borderId="0" xfId="4" applyFont="1" applyFill="1" applyAlignment="1" applyProtection="1">
      <alignment horizontal="center" vertical="center"/>
      <protection locked="0"/>
    </xf>
    <xf numFmtId="3" fontId="73" fillId="4" borderId="0" xfId="11" applyNumberFormat="1" applyFont="1" applyFill="1" applyBorder="1" applyAlignment="1" applyProtection="1">
      <alignment horizontal="left" vertical="center" shrinkToFit="1"/>
      <protection locked="0" hidden="1"/>
    </xf>
    <xf numFmtId="3" fontId="73" fillId="4" borderId="0" xfId="11" applyNumberFormat="1" applyFont="1" applyFill="1" applyBorder="1" applyAlignment="1" applyProtection="1">
      <alignment horizontal="center" vertical="center" shrinkToFit="1"/>
      <protection locked="0" hidden="1"/>
    </xf>
    <xf numFmtId="0" fontId="26" fillId="5" borderId="0" xfId="4" applyFont="1" applyFill="1" applyProtection="1">
      <alignment vertical="center"/>
      <protection locked="0"/>
    </xf>
    <xf numFmtId="0" fontId="60" fillId="5" borderId="0" xfId="7" applyFont="1" applyFill="1">
      <alignment vertical="center"/>
    </xf>
    <xf numFmtId="0" fontId="60" fillId="0" borderId="0" xfId="7" applyFont="1">
      <alignment vertical="center"/>
    </xf>
    <xf numFmtId="0" fontId="60" fillId="5" borderId="69" xfId="7" applyFont="1" applyFill="1" applyBorder="1" applyAlignment="1" applyProtection="1">
      <alignment horizontal="left" vertical="center"/>
      <protection hidden="1"/>
    </xf>
    <xf numFmtId="0" fontId="61" fillId="6" borderId="72" xfId="7" applyFont="1" applyFill="1" applyBorder="1" applyAlignment="1" applyProtection="1">
      <alignment horizontal="center" vertical="center"/>
      <protection hidden="1"/>
    </xf>
    <xf numFmtId="0" fontId="61" fillId="6" borderId="56" xfId="7" applyFont="1" applyFill="1" applyBorder="1" applyAlignment="1" applyProtection="1">
      <alignment horizontal="center" vertical="center" shrinkToFit="1"/>
      <protection locked="0" hidden="1"/>
    </xf>
    <xf numFmtId="0" fontId="8" fillId="6" borderId="56" xfId="7" applyFont="1" applyFill="1" applyBorder="1" applyAlignment="1" applyProtection="1">
      <alignment horizontal="center" vertical="center" shrinkToFit="1"/>
      <protection hidden="1"/>
    </xf>
    <xf numFmtId="0" fontId="8" fillId="6" borderId="100" xfId="7" applyFont="1" applyFill="1" applyBorder="1" applyAlignment="1" applyProtection="1">
      <alignment horizontal="center" vertical="center" shrinkToFit="1"/>
      <protection hidden="1"/>
    </xf>
    <xf numFmtId="0" fontId="61" fillId="3" borderId="72" xfId="7" applyFont="1" applyFill="1" applyBorder="1" applyAlignment="1" applyProtection="1">
      <alignment horizontal="center" vertical="center"/>
      <protection hidden="1"/>
    </xf>
    <xf numFmtId="0" fontId="61" fillId="3" borderId="56" xfId="7" applyFont="1" applyFill="1" applyBorder="1" applyAlignment="1" applyProtection="1">
      <alignment horizontal="center" vertical="center" shrinkToFit="1"/>
      <protection locked="0" hidden="1"/>
    </xf>
    <xf numFmtId="0" fontId="8" fillId="3" borderId="56" xfId="7" applyFont="1" applyFill="1" applyBorder="1" applyAlignment="1" applyProtection="1">
      <alignment horizontal="center" vertical="center" shrinkToFit="1"/>
      <protection hidden="1"/>
    </xf>
    <xf numFmtId="0" fontId="8" fillId="3" borderId="100" xfId="7" applyFont="1" applyFill="1" applyBorder="1" applyAlignment="1" applyProtection="1">
      <alignment horizontal="center" vertical="center" shrinkToFit="1"/>
      <protection hidden="1"/>
    </xf>
    <xf numFmtId="0" fontId="14" fillId="9" borderId="53" xfId="8" applyFont="1" applyFill="1" applyBorder="1" applyAlignment="1" applyProtection="1">
      <alignment horizontal="left" shrinkToFit="1"/>
      <protection hidden="1"/>
    </xf>
    <xf numFmtId="0" fontId="26" fillId="4" borderId="0" xfId="4" applyNumberFormat="1" applyFont="1" applyFill="1" applyBorder="1" applyProtection="1">
      <alignment vertical="center"/>
      <protection locked="0" hidden="1"/>
    </xf>
    <xf numFmtId="0" fontId="74" fillId="5" borderId="0" xfId="0" applyFont="1" applyFill="1">
      <alignment vertical="center"/>
    </xf>
    <xf numFmtId="0" fontId="74" fillId="0" borderId="0" xfId="0" applyFont="1">
      <alignment vertical="center"/>
    </xf>
    <xf numFmtId="0" fontId="77" fillId="5" borderId="0" xfId="0" applyFont="1" applyFill="1">
      <alignment vertical="center"/>
    </xf>
    <xf numFmtId="0" fontId="79" fillId="5" borderId="0" xfId="0" applyFont="1" applyFill="1" applyAlignment="1">
      <alignment horizontal="center" vertical="center"/>
    </xf>
    <xf numFmtId="0" fontId="74" fillId="5" borderId="0" xfId="0" applyFont="1" applyFill="1" applyAlignment="1">
      <alignment horizontal="center" vertical="center"/>
    </xf>
    <xf numFmtId="0" fontId="75" fillId="5" borderId="0" xfId="0" applyFont="1" applyFill="1">
      <alignment vertical="center"/>
    </xf>
    <xf numFmtId="0" fontId="75" fillId="5" borderId="0" xfId="0" applyFont="1" applyFill="1" applyBorder="1">
      <alignment vertical="center"/>
    </xf>
    <xf numFmtId="0" fontId="74" fillId="5" borderId="1" xfId="0" applyFont="1" applyFill="1" applyBorder="1" applyAlignment="1">
      <alignment horizontal="center" vertical="center"/>
    </xf>
    <xf numFmtId="0" fontId="74" fillId="0" borderId="104" xfId="0" applyFont="1" applyFill="1" applyBorder="1" applyProtection="1">
      <alignment vertical="center"/>
      <protection locked="0" hidden="1"/>
    </xf>
    <xf numFmtId="0" fontId="74" fillId="5" borderId="0" xfId="0" applyFont="1" applyFill="1" applyBorder="1" applyProtection="1">
      <alignment vertical="center"/>
      <protection locked="0" hidden="1"/>
    </xf>
    <xf numFmtId="0" fontId="74" fillId="5" borderId="0" xfId="0" applyFont="1" applyFill="1" applyBorder="1" applyAlignment="1" applyProtection="1">
      <alignment horizontal="center" vertical="center"/>
      <protection locked="0" hidden="1"/>
    </xf>
    <xf numFmtId="0" fontId="75" fillId="5" borderId="0" xfId="0" applyFont="1" applyFill="1" applyAlignment="1" applyProtection="1">
      <alignment horizontal="left" vertical="center"/>
      <protection locked="0" hidden="1"/>
    </xf>
    <xf numFmtId="0" fontId="75" fillId="5" borderId="0" xfId="0" applyFont="1" applyFill="1" applyAlignment="1" applyProtection="1">
      <alignment horizontal="center" vertical="center"/>
      <protection locked="0" hidden="1"/>
    </xf>
    <xf numFmtId="0" fontId="75" fillId="5" borderId="0" xfId="0" applyFont="1" applyFill="1" applyAlignment="1" applyProtection="1">
      <alignment horizontal="centerContinuous" vertical="center"/>
      <protection locked="0" hidden="1"/>
    </xf>
    <xf numFmtId="0" fontId="75" fillId="5" borderId="0" xfId="0" applyFont="1" applyFill="1" applyAlignment="1">
      <alignment horizontal="distributed" vertical="center"/>
    </xf>
    <xf numFmtId="0" fontId="75" fillId="5" borderId="0" xfId="0" applyFont="1" applyFill="1" applyAlignment="1" applyProtection="1">
      <alignment horizontal="right" vertical="center"/>
      <protection locked="0" hidden="1"/>
    </xf>
    <xf numFmtId="0" fontId="74" fillId="0" borderId="0" xfId="0" applyFont="1" applyAlignment="1">
      <alignment horizontal="center" vertical="center"/>
    </xf>
    <xf numFmtId="0" fontId="78" fillId="5" borderId="0" xfId="0" applyFont="1" applyFill="1">
      <alignment vertical="center"/>
    </xf>
    <xf numFmtId="0" fontId="74" fillId="0" borderId="0" xfId="0" applyFont="1" applyFill="1">
      <alignment vertical="center"/>
    </xf>
    <xf numFmtId="176" fontId="74" fillId="4" borderId="13" xfId="0" applyNumberFormat="1" applyFont="1" applyFill="1" applyBorder="1" applyAlignment="1">
      <alignment horizontal="center" vertical="center"/>
    </xf>
    <xf numFmtId="0" fontId="79" fillId="5" borderId="0" xfId="0" applyFont="1" applyFill="1">
      <alignment vertical="center"/>
    </xf>
    <xf numFmtId="0" fontId="74" fillId="5" borderId="86" xfId="0" applyFont="1" applyFill="1" applyBorder="1">
      <alignment vertical="center"/>
    </xf>
    <xf numFmtId="0" fontId="74" fillId="5" borderId="87" xfId="0" applyFont="1" applyFill="1" applyBorder="1">
      <alignment vertical="center"/>
    </xf>
    <xf numFmtId="0" fontId="74" fillId="5" borderId="88" xfId="0" applyFont="1" applyFill="1" applyBorder="1">
      <alignment vertical="center"/>
    </xf>
    <xf numFmtId="0" fontId="74" fillId="0" borderId="107" xfId="0" applyFont="1" applyFill="1" applyBorder="1" applyAlignment="1" applyProtection="1">
      <alignment horizontal="center" vertical="center"/>
      <protection locked="0" hidden="1"/>
    </xf>
    <xf numFmtId="0" fontId="74" fillId="5" borderId="62" xfId="0" applyFont="1" applyFill="1" applyBorder="1">
      <alignment vertical="center"/>
    </xf>
    <xf numFmtId="0" fontId="74" fillId="5" borderId="0" xfId="0" applyFont="1" applyFill="1" applyBorder="1">
      <alignment vertical="center"/>
    </xf>
    <xf numFmtId="0" fontId="74" fillId="5" borderId="0" xfId="0" applyFont="1" applyFill="1" applyBorder="1" applyProtection="1">
      <alignment vertical="center"/>
      <protection locked="0"/>
    </xf>
    <xf numFmtId="0" fontId="80" fillId="5" borderId="0" xfId="0" applyFont="1" applyFill="1">
      <alignment vertical="center"/>
    </xf>
    <xf numFmtId="14" fontId="75" fillId="0" borderId="0" xfId="0" applyNumberFormat="1" applyFont="1" applyFill="1" applyAlignment="1" applyProtection="1">
      <alignment horizontal="left" vertical="center"/>
      <protection locked="0" hidden="1"/>
    </xf>
    <xf numFmtId="0" fontId="74" fillId="5" borderId="13" xfId="0" applyFont="1" applyFill="1" applyBorder="1" applyProtection="1">
      <alignment vertical="center"/>
      <protection locked="0"/>
    </xf>
    <xf numFmtId="0" fontId="0" fillId="5" borderId="25" xfId="0" applyFill="1" applyBorder="1" applyAlignment="1" applyProtection="1">
      <alignment vertical="center" shrinkToFit="1"/>
      <protection hidden="1"/>
    </xf>
    <xf numFmtId="0" fontId="0" fillId="5" borderId="2" xfId="0" applyFill="1" applyBorder="1" applyAlignment="1" applyProtection="1">
      <alignment vertical="center" shrinkToFit="1"/>
      <protection hidden="1"/>
    </xf>
    <xf numFmtId="0" fontId="74" fillId="0" borderId="25" xfId="0" applyFont="1" applyFill="1" applyBorder="1" applyAlignment="1" applyProtection="1">
      <alignment horizontal="right" vertical="center"/>
      <protection locked="0"/>
    </xf>
    <xf numFmtId="0" fontId="74" fillId="0" borderId="2" xfId="0" applyFont="1" applyFill="1" applyBorder="1" applyAlignment="1" applyProtection="1">
      <alignment horizontal="right" vertical="center"/>
      <protection locked="0"/>
    </xf>
    <xf numFmtId="0" fontId="0" fillId="5" borderId="104" xfId="0" applyFill="1" applyBorder="1" applyAlignment="1" applyProtection="1">
      <alignment vertical="center" shrinkToFit="1"/>
      <protection hidden="1"/>
    </xf>
    <xf numFmtId="0" fontId="0" fillId="5" borderId="108" xfId="0" applyFill="1" applyBorder="1" applyAlignment="1" applyProtection="1">
      <alignment vertical="center" shrinkToFit="1"/>
      <protection hidden="1"/>
    </xf>
    <xf numFmtId="0" fontId="74" fillId="5" borderId="109" xfId="0" applyFont="1" applyFill="1" applyBorder="1" applyAlignment="1">
      <alignment horizontal="center" vertical="center"/>
    </xf>
    <xf numFmtId="0" fontId="74" fillId="0" borderId="110" xfId="0" applyFont="1" applyFill="1" applyBorder="1" applyAlignment="1" applyProtection="1">
      <alignment horizontal="center" vertical="center"/>
      <protection locked="0" hidden="1"/>
    </xf>
    <xf numFmtId="0" fontId="74" fillId="0" borderId="111" xfId="0" applyFont="1" applyFill="1" applyBorder="1" applyAlignment="1" applyProtection="1">
      <alignment horizontal="center" vertical="center"/>
      <protection locked="0" hidden="1"/>
    </xf>
    <xf numFmtId="49" fontId="6" fillId="0" borderId="0" xfId="6" applyNumberFormat="1" applyFont="1" applyFill="1" applyBorder="1" applyAlignment="1">
      <alignment vertical="center"/>
    </xf>
    <xf numFmtId="49" fontId="81" fillId="5" borderId="0" xfId="6" applyNumberFormat="1" applyFont="1" applyFill="1" applyBorder="1" applyAlignment="1">
      <alignment horizontal="right" vertical="top"/>
    </xf>
    <xf numFmtId="49" fontId="6" fillId="5" borderId="0" xfId="6" applyNumberFormat="1" applyFont="1" applyFill="1" applyBorder="1" applyAlignment="1">
      <alignment horizontal="right" vertical="center"/>
    </xf>
    <xf numFmtId="49" fontId="0" fillId="5" borderId="0" xfId="0" applyNumberFormat="1" applyFill="1" applyAlignment="1">
      <alignment horizontal="right" vertical="center"/>
    </xf>
    <xf numFmtId="49" fontId="6" fillId="5" borderId="0" xfId="6" applyNumberFormat="1" applyFont="1" applyFill="1" applyBorder="1" applyAlignment="1" applyProtection="1">
      <alignment horizontal="right" vertical="center"/>
      <protection locked="0"/>
    </xf>
    <xf numFmtId="49" fontId="6" fillId="0" borderId="0" xfId="6" applyNumberFormat="1" applyFont="1" applyFill="1" applyBorder="1" applyAlignment="1">
      <alignment horizontal="right" vertical="center"/>
    </xf>
    <xf numFmtId="49" fontId="33" fillId="5" borderId="0" xfId="6" applyNumberFormat="1" applyFont="1" applyFill="1" applyBorder="1" applyAlignment="1">
      <alignment horizontal="right" vertical="top" textRotation="255"/>
    </xf>
    <xf numFmtId="0" fontId="8" fillId="0" borderId="55" xfId="8" applyNumberFormat="1" applyFont="1" applyFill="1" applyBorder="1" applyAlignment="1" applyProtection="1">
      <alignment horizontal="right"/>
      <protection locked="0" hidden="1"/>
    </xf>
    <xf numFmtId="0" fontId="8" fillId="0" borderId="56" xfId="8" applyNumberFormat="1" applyFont="1" applyFill="1" applyBorder="1" applyAlignment="1" applyProtection="1">
      <alignment horizontal="right"/>
      <protection locked="0" hidden="1"/>
    </xf>
    <xf numFmtId="0" fontId="8" fillId="0" borderId="57" xfId="8" applyNumberFormat="1" applyFont="1" applyFill="1" applyBorder="1" applyAlignment="1" applyProtection="1">
      <alignment horizontal="right"/>
      <protection locked="0" hidden="1"/>
    </xf>
    <xf numFmtId="0" fontId="6" fillId="0" borderId="0" xfId="6" applyNumberFormat="1" applyFont="1" applyFill="1" applyBorder="1" applyAlignment="1">
      <alignment horizontal="right" vertical="center"/>
    </xf>
    <xf numFmtId="0" fontId="6" fillId="0" borderId="0" xfId="6" applyNumberFormat="1" applyFont="1" applyFill="1" applyBorder="1" applyAlignment="1">
      <alignment vertical="center"/>
    </xf>
    <xf numFmtId="0" fontId="0" fillId="0" borderId="0" xfId="0" applyFill="1" applyProtection="1">
      <alignment vertical="center"/>
      <protection hidden="1"/>
    </xf>
    <xf numFmtId="49" fontId="0" fillId="0" borderId="0" xfId="0" applyNumberFormat="1" applyFill="1" applyAlignment="1">
      <alignment vertical="center"/>
    </xf>
    <xf numFmtId="0" fontId="3" fillId="0" borderId="0" xfId="1" applyFill="1" applyAlignment="1" applyProtection="1">
      <alignment vertical="center"/>
      <protection locked="0" hidden="1"/>
    </xf>
    <xf numFmtId="0" fontId="0" fillId="0" borderId="0" xfId="0" applyFill="1" applyAlignment="1">
      <alignment vertical="center"/>
    </xf>
    <xf numFmtId="0" fontId="0" fillId="0" borderId="0" xfId="0" applyBorder="1" applyAlignment="1">
      <alignment horizontal="left" vertical="center"/>
    </xf>
    <xf numFmtId="0" fontId="6" fillId="3" borderId="112" xfId="6" applyFont="1" applyFill="1" applyBorder="1" applyAlignment="1">
      <alignment horizontal="left" vertical="center"/>
    </xf>
    <xf numFmtId="0" fontId="6" fillId="3" borderId="113" xfId="6" applyFont="1" applyFill="1" applyBorder="1" applyAlignment="1">
      <alignment horizontal="center" vertical="center"/>
    </xf>
    <xf numFmtId="0" fontId="14" fillId="0" borderId="30" xfId="9" applyFont="1" applyFill="1" applyBorder="1" applyAlignment="1" applyProtection="1">
      <alignment horizontal="center" vertical="center" shrinkToFit="1"/>
      <protection hidden="1"/>
    </xf>
    <xf numFmtId="49" fontId="14" fillId="0" borderId="94" xfId="9" applyNumberFormat="1" applyFont="1" applyFill="1" applyBorder="1" applyAlignment="1" applyProtection="1">
      <alignment horizontal="center" vertical="center" shrinkToFit="1"/>
      <protection hidden="1"/>
    </xf>
    <xf numFmtId="0" fontId="14" fillId="0" borderId="114" xfId="9" applyFont="1" applyFill="1" applyBorder="1" applyAlignment="1" applyProtection="1">
      <alignment horizontal="center" vertical="center" shrinkToFit="1"/>
      <protection hidden="1"/>
    </xf>
    <xf numFmtId="49" fontId="14" fillId="0" borderId="114" xfId="9" applyNumberFormat="1" applyFont="1" applyFill="1" applyBorder="1" applyAlignment="1" applyProtection="1">
      <alignment horizontal="center" vertical="center" shrinkToFit="1"/>
      <protection hidden="1"/>
    </xf>
    <xf numFmtId="49" fontId="14" fillId="0" borderId="115" xfId="9" applyNumberFormat="1" applyFont="1" applyFill="1" applyBorder="1" applyAlignment="1" applyProtection="1">
      <alignment horizontal="center" vertical="center" shrinkToFit="1"/>
      <protection hidden="1"/>
    </xf>
    <xf numFmtId="0" fontId="14" fillId="0" borderId="35" xfId="9" applyFont="1" applyFill="1" applyBorder="1" applyAlignment="1" applyProtection="1">
      <alignment horizontal="center" vertical="center" shrinkToFit="1"/>
      <protection hidden="1"/>
    </xf>
    <xf numFmtId="49" fontId="14" fillId="0" borderId="58" xfId="9" applyNumberFormat="1" applyFont="1" applyFill="1" applyBorder="1" applyAlignment="1" applyProtection="1">
      <alignment horizontal="center" vertical="center" shrinkToFit="1"/>
      <protection hidden="1"/>
    </xf>
    <xf numFmtId="0" fontId="8" fillId="0" borderId="55" xfId="9" applyFont="1" applyFill="1" applyBorder="1" applyAlignment="1" applyProtection="1">
      <alignment shrinkToFit="1"/>
      <protection hidden="1"/>
    </xf>
    <xf numFmtId="49" fontId="8" fillId="0" borderId="116" xfId="9" applyNumberFormat="1" applyFont="1" applyFill="1" applyBorder="1" applyAlignment="1" applyProtection="1">
      <alignment horizontal="right" shrinkToFit="1"/>
      <protection locked="0" hidden="1"/>
    </xf>
    <xf numFmtId="49" fontId="8" fillId="0" borderId="38" xfId="9" applyNumberFormat="1" applyFont="1" applyFill="1" applyBorder="1" applyAlignment="1" applyProtection="1">
      <alignment shrinkToFit="1"/>
      <protection locked="0" hidden="1"/>
    </xf>
    <xf numFmtId="0" fontId="8" fillId="0" borderId="43" xfId="9" applyFont="1" applyFill="1" applyBorder="1" applyAlignment="1" applyProtection="1">
      <alignment shrinkToFit="1"/>
      <protection hidden="1"/>
    </xf>
    <xf numFmtId="49" fontId="8" fillId="0" borderId="43" xfId="9" applyNumberFormat="1" applyFont="1" applyFill="1" applyBorder="1" applyAlignment="1" applyProtection="1">
      <alignment horizontal="right" shrinkToFit="1"/>
      <protection locked="0" hidden="1"/>
    </xf>
    <xf numFmtId="0" fontId="8" fillId="0" borderId="56" xfId="9" applyFont="1" applyFill="1" applyBorder="1" applyAlignment="1" applyProtection="1">
      <alignment shrinkToFit="1"/>
      <protection hidden="1"/>
    </xf>
    <xf numFmtId="49" fontId="8" fillId="0" borderId="117" xfId="9" applyNumberFormat="1" applyFont="1" applyFill="1" applyBorder="1" applyAlignment="1" applyProtection="1">
      <alignment horizontal="right" shrinkToFit="1"/>
      <protection locked="0" hidden="1"/>
    </xf>
    <xf numFmtId="49" fontId="8" fillId="0" borderId="46" xfId="9" applyNumberFormat="1" applyFont="1" applyFill="1" applyBorder="1" applyAlignment="1" applyProtection="1">
      <alignment shrinkToFit="1"/>
      <protection locked="0" hidden="1"/>
    </xf>
    <xf numFmtId="0" fontId="8" fillId="0" borderId="47" xfId="9" applyFont="1" applyFill="1" applyBorder="1" applyAlignment="1" applyProtection="1">
      <alignment shrinkToFit="1"/>
      <protection hidden="1"/>
    </xf>
    <xf numFmtId="49" fontId="8" fillId="0" borderId="47" xfId="9" applyNumberFormat="1" applyFont="1" applyFill="1" applyBorder="1" applyAlignment="1" applyProtection="1">
      <alignment horizontal="right" shrinkToFit="1"/>
      <protection locked="0" hidden="1"/>
    </xf>
    <xf numFmtId="0" fontId="8" fillId="0" borderId="57" xfId="9" applyFont="1" applyFill="1" applyBorder="1" applyAlignment="1" applyProtection="1">
      <alignment shrinkToFit="1"/>
      <protection hidden="1"/>
    </xf>
    <xf numFmtId="49" fontId="8" fillId="0" borderId="118" xfId="9" applyNumberFormat="1" applyFont="1" applyFill="1" applyBorder="1" applyAlignment="1" applyProtection="1">
      <alignment horizontal="right" shrinkToFit="1"/>
      <protection locked="0" hidden="1"/>
    </xf>
    <xf numFmtId="49" fontId="8" fillId="0" borderId="40" xfId="9" applyNumberFormat="1" applyFont="1" applyFill="1" applyBorder="1" applyAlignment="1" applyProtection="1">
      <alignment shrinkToFit="1"/>
      <protection locked="0" hidden="1"/>
    </xf>
    <xf numFmtId="0" fontId="8" fillId="0" borderId="50" xfId="9" applyFont="1" applyFill="1" applyBorder="1" applyAlignment="1" applyProtection="1">
      <alignment shrinkToFit="1"/>
      <protection hidden="1"/>
    </xf>
    <xf numFmtId="0" fontId="8" fillId="0" borderId="0" xfId="9" applyFont="1" applyFill="1" applyAlignment="1" applyProtection="1">
      <alignment shrinkToFit="1"/>
      <protection hidden="1"/>
    </xf>
    <xf numFmtId="49" fontId="8" fillId="0" borderId="0" xfId="9" applyNumberFormat="1" applyFont="1" applyFill="1" applyAlignment="1" applyProtection="1">
      <alignment horizontal="right" shrinkToFit="1"/>
      <protection locked="0" hidden="1"/>
    </xf>
    <xf numFmtId="0" fontId="10" fillId="0" borderId="0" xfId="6" applyFont="1" applyFill="1" applyBorder="1"/>
    <xf numFmtId="0" fontId="10" fillId="0" borderId="0" xfId="6" applyFont="1" applyFill="1" applyBorder="1" applyAlignment="1">
      <alignment horizontal="left"/>
    </xf>
    <xf numFmtId="0" fontId="8" fillId="0" borderId="0" xfId="0" applyFont="1" applyAlignment="1">
      <alignment horizontal="left" vertical="center"/>
    </xf>
    <xf numFmtId="0" fontId="8" fillId="0" borderId="6" xfId="9" applyNumberFormat="1" applyFont="1" applyFill="1" applyBorder="1" applyAlignment="1" applyProtection="1">
      <alignment shrinkToFit="1"/>
      <protection hidden="1"/>
    </xf>
    <xf numFmtId="0" fontId="8" fillId="0" borderId="4" xfId="9" applyNumberFormat="1" applyFont="1" applyFill="1" applyBorder="1" applyAlignment="1" applyProtection="1">
      <alignment shrinkToFit="1"/>
      <protection hidden="1"/>
    </xf>
    <xf numFmtId="0" fontId="8" fillId="0" borderId="16" xfId="9" applyNumberFormat="1" applyFont="1" applyFill="1" applyBorder="1" applyAlignment="1" applyProtection="1">
      <alignment shrinkToFit="1"/>
      <protection hidden="1"/>
    </xf>
    <xf numFmtId="0" fontId="8" fillId="0" borderId="4" xfId="8" applyFont="1" applyFill="1" applyBorder="1" applyAlignment="1" applyProtection="1">
      <alignment shrinkToFit="1"/>
      <protection hidden="1"/>
    </xf>
    <xf numFmtId="0" fontId="8" fillId="0" borderId="16" xfId="8" applyFont="1" applyFill="1" applyBorder="1" applyAlignment="1" applyProtection="1">
      <alignment shrinkToFit="1"/>
      <protection hidden="1"/>
    </xf>
    <xf numFmtId="0" fontId="14" fillId="0" borderId="0" xfId="8" applyFont="1" applyAlignment="1" applyProtection="1">
      <alignment horizontal="center" vertical="center"/>
      <protection hidden="1"/>
    </xf>
    <xf numFmtId="182" fontId="32" fillId="5" borderId="85" xfId="8" applyNumberFormat="1" applyFont="1" applyFill="1" applyBorder="1" applyAlignment="1" applyProtection="1">
      <alignment horizontal="right"/>
      <protection hidden="1"/>
    </xf>
    <xf numFmtId="176" fontId="32" fillId="5" borderId="75" xfId="8" applyNumberFormat="1" applyFont="1" applyFill="1" applyBorder="1" applyAlignment="1" applyProtection="1">
      <alignment horizontal="center" shrinkToFit="1"/>
      <protection hidden="1"/>
    </xf>
    <xf numFmtId="0" fontId="71" fillId="4" borderId="0" xfId="8" applyNumberFormat="1" applyFont="1" applyFill="1" applyBorder="1" applyAlignment="1" applyProtection="1">
      <alignment horizontal="center"/>
      <protection locked="0" hidden="1"/>
    </xf>
    <xf numFmtId="0" fontId="8" fillId="0" borderId="15" xfId="8" applyNumberFormat="1" applyFont="1" applyFill="1" applyBorder="1" applyAlignment="1" applyProtection="1">
      <alignment horizontal="right"/>
      <protection locked="0" hidden="1"/>
    </xf>
    <xf numFmtId="0" fontId="8" fillId="0" borderId="17" xfId="8" applyNumberFormat="1" applyFont="1" applyFill="1" applyBorder="1" applyAlignment="1" applyProtection="1">
      <alignment horizontal="right"/>
      <protection locked="0" hidden="1"/>
    </xf>
    <xf numFmtId="0" fontId="8" fillId="0" borderId="14" xfId="8" applyNumberFormat="1" applyFont="1" applyFill="1" applyBorder="1" applyAlignment="1" applyProtection="1">
      <alignment horizontal="right"/>
      <protection locked="0" hidden="1"/>
    </xf>
    <xf numFmtId="0" fontId="27" fillId="5" borderId="0" xfId="13" applyNumberFormat="1" applyFont="1" applyFill="1" applyProtection="1">
      <protection locked="0" hidden="1"/>
    </xf>
    <xf numFmtId="0" fontId="27" fillId="5" borderId="0" xfId="13" applyNumberFormat="1" applyFont="1" applyFill="1" applyProtection="1">
      <protection hidden="1"/>
    </xf>
    <xf numFmtId="0" fontId="8" fillId="0" borderId="21" xfId="9" applyFont="1" applyBorder="1" applyProtection="1">
      <protection hidden="1"/>
    </xf>
    <xf numFmtId="0" fontId="8" fillId="0" borderId="22" xfId="9" applyFont="1" applyBorder="1" applyProtection="1">
      <protection hidden="1"/>
    </xf>
    <xf numFmtId="0" fontId="8" fillId="0" borderId="23" xfId="9" applyFont="1" applyBorder="1" applyProtection="1">
      <protection hidden="1"/>
    </xf>
    <xf numFmtId="0" fontId="8" fillId="0" borderId="0" xfId="9" applyFont="1" applyFill="1" applyAlignment="1" applyProtection="1">
      <alignment horizontal="center"/>
      <protection hidden="1"/>
    </xf>
    <xf numFmtId="0" fontId="8" fillId="0" borderId="0" xfId="9" applyFont="1" applyFill="1" applyAlignment="1" applyProtection="1">
      <alignment horizontal="center" shrinkToFit="1"/>
      <protection hidden="1"/>
    </xf>
    <xf numFmtId="49" fontId="8" fillId="0" borderId="0" xfId="9" applyNumberFormat="1" applyFont="1" applyFill="1" applyAlignment="1" applyProtection="1">
      <alignment horizontal="right" shrinkToFit="1"/>
      <protection hidden="1"/>
    </xf>
    <xf numFmtId="0" fontId="8" fillId="0" borderId="0" xfId="9" applyFont="1" applyFill="1" applyAlignment="1" applyProtection="1">
      <alignment horizontal="left"/>
      <protection hidden="1"/>
    </xf>
    <xf numFmtId="0" fontId="38" fillId="5" borderId="0" xfId="8" applyFont="1" applyFill="1" applyBorder="1" applyAlignment="1" applyProtection="1">
      <alignment horizontal="right"/>
      <protection hidden="1"/>
    </xf>
    <xf numFmtId="0" fontId="44" fillId="5" borderId="0" xfId="8" applyFont="1" applyFill="1" applyBorder="1" applyAlignment="1" applyProtection="1">
      <alignment vertical="top" shrinkToFit="1"/>
      <protection hidden="1"/>
    </xf>
    <xf numFmtId="176" fontId="38" fillId="5" borderId="75" xfId="8" applyNumberFormat="1" applyFont="1" applyFill="1" applyBorder="1" applyAlignment="1" applyProtection="1">
      <alignment horizontal="right" shrinkToFit="1"/>
      <protection hidden="1"/>
    </xf>
    <xf numFmtId="0" fontId="6" fillId="0" borderId="0" xfId="6" applyFont="1" applyFill="1" applyBorder="1" applyAlignment="1" applyProtection="1">
      <alignment vertical="center"/>
    </xf>
    <xf numFmtId="0" fontId="6" fillId="3" borderId="113" xfId="6" applyFont="1" applyFill="1" applyBorder="1" applyAlignment="1" applyProtection="1">
      <alignment horizontal="center" vertical="center"/>
    </xf>
    <xf numFmtId="49" fontId="6" fillId="0" borderId="0" xfId="6" applyNumberFormat="1" applyFont="1" applyFill="1" applyBorder="1" applyAlignment="1" applyProtection="1">
      <alignment vertical="center"/>
    </xf>
    <xf numFmtId="0" fontId="6" fillId="3" borderId="30" xfId="6" applyFont="1" applyFill="1" applyBorder="1" applyAlignment="1" applyProtection="1">
      <alignment horizontal="center" vertical="center"/>
    </xf>
    <xf numFmtId="0" fontId="82" fillId="0" borderId="0" xfId="3" applyFont="1">
      <alignment vertical="center"/>
    </xf>
    <xf numFmtId="0" fontId="38" fillId="0" borderId="0" xfId="3" applyFont="1">
      <alignment vertical="center"/>
    </xf>
    <xf numFmtId="0" fontId="0" fillId="0" borderId="0" xfId="0" applyFill="1" applyBorder="1" applyAlignment="1">
      <alignment horizontal="left" vertical="center"/>
    </xf>
    <xf numFmtId="0" fontId="10" fillId="0" borderId="117" xfId="7" applyFont="1" applyFill="1" applyBorder="1" applyAlignment="1" applyProtection="1">
      <alignment horizontal="left" vertical="center"/>
      <protection locked="0" hidden="1"/>
    </xf>
    <xf numFmtId="0" fontId="6" fillId="0" borderId="0" xfId="6" applyNumberFormat="1" applyFont="1" applyFill="1" applyBorder="1" applyAlignment="1">
      <alignment horizontal="left" vertical="center"/>
    </xf>
    <xf numFmtId="0" fontId="8" fillId="0" borderId="6" xfId="8" applyNumberFormat="1" applyFont="1" applyFill="1" applyBorder="1" applyAlignment="1" applyProtection="1">
      <alignment shrinkToFit="1"/>
      <protection hidden="1"/>
    </xf>
    <xf numFmtId="0" fontId="8" fillId="0" borderId="4" xfId="8" applyNumberFormat="1" applyFont="1" applyFill="1" applyBorder="1" applyAlignment="1" applyProtection="1">
      <alignment shrinkToFit="1"/>
      <protection hidden="1"/>
    </xf>
    <xf numFmtId="0" fontId="8" fillId="0" borderId="16" xfId="8" applyNumberFormat="1" applyFont="1" applyFill="1" applyBorder="1" applyAlignment="1" applyProtection="1">
      <alignment shrinkToFit="1"/>
      <protection hidden="1"/>
    </xf>
    <xf numFmtId="0" fontId="8" fillId="0" borderId="6" xfId="9" applyNumberFormat="1" applyFont="1" applyFill="1" applyBorder="1" applyProtection="1">
      <protection hidden="1"/>
    </xf>
    <xf numFmtId="0" fontId="8" fillId="0" borderId="4" xfId="9" applyNumberFormat="1" applyFont="1" applyFill="1" applyBorder="1" applyProtection="1">
      <protection hidden="1"/>
    </xf>
    <xf numFmtId="0" fontId="8" fillId="0" borderId="16" xfId="9" applyNumberFormat="1" applyFont="1" applyFill="1" applyBorder="1" applyProtection="1">
      <protection hidden="1"/>
    </xf>
    <xf numFmtId="0" fontId="8" fillId="0" borderId="6" xfId="8" applyNumberFormat="1" applyFont="1" applyFill="1" applyBorder="1" applyProtection="1">
      <protection hidden="1"/>
    </xf>
    <xf numFmtId="0" fontId="8" fillId="0" borderId="4" xfId="8" applyNumberFormat="1" applyFont="1" applyFill="1" applyBorder="1" applyProtection="1">
      <protection hidden="1"/>
    </xf>
    <xf numFmtId="0" fontId="8" fillId="0" borderId="16" xfId="8" applyNumberFormat="1" applyFont="1" applyFill="1" applyBorder="1" applyProtection="1">
      <protection hidden="1"/>
    </xf>
    <xf numFmtId="0" fontId="11" fillId="0" borderId="0" xfId="0" applyFont="1">
      <alignment vertical="center"/>
    </xf>
    <xf numFmtId="182" fontId="32" fillId="5" borderId="0" xfId="8" applyNumberFormat="1" applyFont="1" applyFill="1" applyBorder="1" applyAlignment="1" applyProtection="1">
      <alignment horizontal="right"/>
      <protection hidden="1"/>
    </xf>
    <xf numFmtId="49" fontId="14" fillId="0" borderId="32" xfId="8" applyNumberFormat="1" applyFont="1" applyBorder="1" applyAlignment="1" applyProtection="1">
      <alignment horizontal="center" vertical="center" shrinkToFit="1"/>
      <protection locked="0" hidden="1"/>
    </xf>
    <xf numFmtId="0" fontId="14" fillId="0" borderId="21" xfId="8" applyFont="1" applyBorder="1" applyAlignment="1" applyProtection="1">
      <alignment horizontal="left" vertical="center" shrinkToFit="1"/>
      <protection hidden="1"/>
    </xf>
    <xf numFmtId="0" fontId="8" fillId="0" borderId="22" xfId="8" applyFont="1" applyBorder="1" applyProtection="1">
      <protection hidden="1"/>
    </xf>
    <xf numFmtId="177" fontId="8" fillId="5" borderId="0" xfId="8" applyNumberFormat="1" applyFont="1" applyFill="1" applyBorder="1" applyProtection="1">
      <protection locked="0" hidden="1"/>
    </xf>
    <xf numFmtId="0" fontId="14" fillId="0" borderId="119" xfId="8" applyNumberFormat="1" applyFont="1" applyBorder="1" applyAlignment="1" applyProtection="1">
      <alignment horizontal="center" vertical="center" shrinkToFit="1"/>
      <protection locked="0" hidden="1"/>
    </xf>
    <xf numFmtId="0" fontId="14" fillId="9" borderId="54" xfId="8" applyFont="1" applyFill="1" applyBorder="1" applyAlignment="1" applyProtection="1">
      <alignment horizontal="center" shrinkToFit="1"/>
      <protection hidden="1"/>
    </xf>
    <xf numFmtId="0" fontId="52" fillId="8" borderId="20" xfId="0" applyFont="1" applyFill="1" applyBorder="1" applyAlignment="1" applyProtection="1">
      <alignment vertical="center"/>
      <protection locked="0" hidden="1"/>
    </xf>
    <xf numFmtId="49" fontId="0" fillId="3" borderId="0" xfId="0" applyNumberFormat="1" applyFill="1" applyBorder="1" applyAlignment="1">
      <alignment horizontal="left" vertical="center"/>
    </xf>
    <xf numFmtId="0" fontId="14" fillId="10" borderId="53" xfId="8" applyFont="1" applyFill="1" applyBorder="1" applyAlignment="1" applyProtection="1">
      <alignment horizontal="left" shrinkToFit="1"/>
      <protection hidden="1"/>
    </xf>
    <xf numFmtId="0" fontId="14" fillId="9" borderId="120" xfId="8" applyFont="1" applyFill="1" applyBorder="1" applyAlignment="1" applyProtection="1">
      <alignment horizontal="left" shrinkToFit="1"/>
      <protection hidden="1"/>
    </xf>
    <xf numFmtId="0" fontId="14" fillId="10" borderId="120" xfId="8" applyFont="1" applyFill="1" applyBorder="1" applyAlignment="1" applyProtection="1">
      <alignment horizontal="left" shrinkToFit="1"/>
      <protection hidden="1"/>
    </xf>
    <xf numFmtId="0" fontId="74" fillId="0" borderId="2" xfId="0" applyFont="1" applyFill="1" applyBorder="1" applyProtection="1">
      <alignment vertical="center"/>
      <protection locked="0" hidden="1"/>
    </xf>
    <xf numFmtId="0" fontId="6" fillId="3" borderId="105" xfId="6" applyFont="1" applyFill="1" applyBorder="1" applyAlignment="1">
      <alignment horizontal="center" vertical="center"/>
    </xf>
    <xf numFmtId="0" fontId="6" fillId="3" borderId="106" xfId="6" applyFont="1" applyFill="1" applyBorder="1" applyAlignment="1" applyProtection="1">
      <alignment horizontal="center" vertical="center"/>
      <protection locked="0"/>
    </xf>
    <xf numFmtId="0" fontId="6" fillId="3" borderId="106" xfId="6" applyFont="1" applyFill="1" applyBorder="1" applyAlignment="1">
      <alignment horizontal="center" vertical="center"/>
    </xf>
    <xf numFmtId="0" fontId="6" fillId="3" borderId="106" xfId="6" applyFont="1" applyFill="1" applyBorder="1" applyAlignment="1" applyProtection="1">
      <alignment horizontal="center" vertical="center"/>
    </xf>
    <xf numFmtId="0" fontId="6" fillId="3" borderId="8" xfId="6" applyFont="1" applyFill="1" applyBorder="1" applyAlignment="1" applyProtection="1">
      <alignment horizontal="center" vertical="center"/>
    </xf>
    <xf numFmtId="0" fontId="6" fillId="3" borderId="0" xfId="6" applyFont="1" applyFill="1" applyBorder="1" applyAlignment="1" applyProtection="1">
      <alignment horizontal="center" vertical="center"/>
    </xf>
    <xf numFmtId="49" fontId="81" fillId="0" borderId="51" xfId="6" applyNumberFormat="1" applyFont="1" applyFill="1" applyBorder="1" applyAlignment="1" applyProtection="1">
      <alignment horizontal="right"/>
      <protection locked="0" hidden="1"/>
    </xf>
    <xf numFmtId="49" fontId="6" fillId="0" borderId="6" xfId="6" applyNumberFormat="1" applyFont="1" applyFill="1" applyBorder="1" applyAlignment="1" applyProtection="1">
      <alignment horizontal="right"/>
      <protection locked="0" hidden="1"/>
    </xf>
    <xf numFmtId="49" fontId="6" fillId="0" borderId="6" xfId="6" applyNumberFormat="1" applyFont="1" applyFill="1" applyBorder="1" applyAlignment="1" applyProtection="1">
      <alignment horizontal="right" vertical="center"/>
      <protection hidden="1"/>
    </xf>
    <xf numFmtId="0" fontId="6" fillId="0" borderId="6" xfId="6" applyNumberFormat="1" applyFont="1" applyFill="1" applyBorder="1" applyAlignment="1" applyProtection="1">
      <alignment horizontal="right" vertical="center"/>
      <protection hidden="1"/>
    </xf>
    <xf numFmtId="49" fontId="6" fillId="0" borderId="14" xfId="6" applyNumberFormat="1" applyFont="1" applyFill="1" applyBorder="1" applyAlignment="1" applyProtection="1">
      <alignment horizontal="right" vertical="center"/>
      <protection hidden="1"/>
    </xf>
    <xf numFmtId="49" fontId="81" fillId="0" borderId="53" xfId="6" applyNumberFormat="1" applyFont="1" applyFill="1" applyBorder="1" applyAlignment="1" applyProtection="1">
      <alignment horizontal="right"/>
      <protection locked="0" hidden="1"/>
    </xf>
    <xf numFmtId="49" fontId="6" fillId="0" borderId="4" xfId="6" applyNumberFormat="1" applyFont="1" applyFill="1" applyBorder="1" applyAlignment="1" applyProtection="1">
      <alignment horizontal="right"/>
      <protection locked="0" hidden="1"/>
    </xf>
    <xf numFmtId="49" fontId="6" fillId="0" borderId="4" xfId="6" applyNumberFormat="1" applyFont="1" applyFill="1" applyBorder="1" applyAlignment="1" applyProtection="1">
      <alignment horizontal="right" vertical="center"/>
      <protection hidden="1"/>
    </xf>
    <xf numFmtId="0" fontId="6" fillId="0" borderId="4" xfId="6" applyNumberFormat="1" applyFont="1" applyFill="1" applyBorder="1" applyAlignment="1" applyProtection="1">
      <alignment horizontal="right" vertical="center"/>
      <protection hidden="1"/>
    </xf>
    <xf numFmtId="49" fontId="6" fillId="0" borderId="15" xfId="6" applyNumberFormat="1" applyFont="1" applyFill="1" applyBorder="1" applyAlignment="1" applyProtection="1">
      <alignment horizontal="right" vertical="center"/>
      <protection hidden="1"/>
    </xf>
    <xf numFmtId="49" fontId="81" fillId="0" borderId="54" xfId="6" applyNumberFormat="1" applyFont="1" applyFill="1" applyBorder="1" applyAlignment="1" applyProtection="1">
      <alignment horizontal="right"/>
      <protection locked="0" hidden="1"/>
    </xf>
    <xf numFmtId="49" fontId="6" fillId="0" borderId="16" xfId="6" applyNumberFormat="1" applyFont="1" applyFill="1" applyBorder="1" applyAlignment="1" applyProtection="1">
      <alignment horizontal="right"/>
      <protection locked="0" hidden="1"/>
    </xf>
    <xf numFmtId="49" fontId="6" fillId="0" borderId="16" xfId="6" applyNumberFormat="1" applyFont="1" applyFill="1" applyBorder="1" applyAlignment="1" applyProtection="1">
      <alignment horizontal="right" vertical="center"/>
      <protection hidden="1"/>
    </xf>
    <xf numFmtId="0" fontId="6" fillId="0" borderId="16" xfId="6" applyNumberFormat="1" applyFont="1" applyFill="1" applyBorder="1" applyAlignment="1" applyProtection="1">
      <alignment horizontal="right" vertical="center"/>
      <protection hidden="1"/>
    </xf>
    <xf numFmtId="49" fontId="6" fillId="0" borderId="17" xfId="6" applyNumberFormat="1" applyFont="1" applyFill="1" applyBorder="1" applyAlignment="1" applyProtection="1">
      <alignment horizontal="right" vertical="center"/>
      <protection hidden="1"/>
    </xf>
    <xf numFmtId="49" fontId="6" fillId="0" borderId="21" xfId="6" applyNumberFormat="1" applyFont="1" applyFill="1" applyBorder="1" applyAlignment="1" applyProtection="1">
      <alignment horizontal="right" vertical="center"/>
      <protection hidden="1"/>
    </xf>
    <xf numFmtId="49" fontId="6" fillId="0" borderId="22" xfId="6" applyNumberFormat="1" applyFont="1" applyFill="1" applyBorder="1" applyAlignment="1" applyProtection="1">
      <alignment horizontal="right" vertical="center"/>
      <protection hidden="1"/>
    </xf>
    <xf numFmtId="49" fontId="6" fillId="0" borderId="23" xfId="6" applyNumberFormat="1" applyFont="1" applyFill="1" applyBorder="1" applyAlignment="1" applyProtection="1">
      <alignment horizontal="right" vertical="center"/>
      <protection hidden="1"/>
    </xf>
    <xf numFmtId="0" fontId="6" fillId="3" borderId="7" xfId="6" applyFont="1" applyFill="1" applyBorder="1" applyAlignment="1">
      <alignment horizontal="center" vertical="center" shrinkToFit="1"/>
    </xf>
    <xf numFmtId="49" fontId="6" fillId="0" borderId="42" xfId="6" applyNumberFormat="1" applyFont="1" applyFill="1" applyBorder="1" applyAlignment="1" applyProtection="1">
      <alignment horizontal="right"/>
      <protection locked="0" hidden="1"/>
    </xf>
    <xf numFmtId="49" fontId="6" fillId="0" borderId="121" xfId="6" applyNumberFormat="1" applyFont="1" applyFill="1" applyBorder="1" applyAlignment="1" applyProtection="1">
      <alignment horizontal="right"/>
      <protection locked="0" hidden="1"/>
    </xf>
    <xf numFmtId="49" fontId="6" fillId="0" borderId="122" xfId="6" applyNumberFormat="1" applyFont="1" applyFill="1" applyBorder="1" applyAlignment="1" applyProtection="1">
      <alignment horizontal="right"/>
      <protection locked="0" hidden="1"/>
    </xf>
    <xf numFmtId="0" fontId="6" fillId="3" borderId="123" xfId="6" applyFont="1" applyFill="1" applyBorder="1" applyAlignment="1">
      <alignment horizontal="center" vertical="center"/>
    </xf>
    <xf numFmtId="0" fontId="6" fillId="3" borderId="124" xfId="6" applyFont="1" applyFill="1" applyBorder="1" applyAlignment="1">
      <alignment horizontal="center" vertical="center"/>
    </xf>
    <xf numFmtId="49" fontId="6" fillId="0" borderId="125" xfId="6" applyNumberFormat="1" applyFont="1" applyFill="1" applyBorder="1" applyAlignment="1" applyProtection="1">
      <alignment horizontal="right" vertical="center"/>
      <protection locked="0" hidden="1"/>
    </xf>
    <xf numFmtId="49" fontId="6" fillId="0" borderId="84" xfId="6" applyNumberFormat="1" applyFont="1" applyFill="1" applyBorder="1" applyAlignment="1" applyProtection="1">
      <alignment horizontal="right" vertical="center"/>
      <protection locked="0" hidden="1"/>
    </xf>
    <xf numFmtId="49" fontId="6" fillId="0" borderId="126" xfId="6" applyNumberFormat="1" applyFont="1" applyFill="1" applyBorder="1" applyAlignment="1" applyProtection="1">
      <alignment horizontal="right" vertical="center"/>
      <protection locked="0" hidden="1"/>
    </xf>
    <xf numFmtId="0" fontId="8" fillId="0" borderId="21" xfId="0" applyFont="1" applyBorder="1" applyAlignment="1" applyProtection="1">
      <alignment horizontal="right" vertical="center"/>
      <protection hidden="1"/>
    </xf>
    <xf numFmtId="0" fontId="8" fillId="0" borderId="22" xfId="0" applyFont="1" applyBorder="1" applyAlignment="1" applyProtection="1">
      <alignment horizontal="right" vertical="center"/>
      <protection hidden="1"/>
    </xf>
    <xf numFmtId="0" fontId="8" fillId="0" borderId="23" xfId="0" applyFont="1" applyBorder="1" applyAlignment="1" applyProtection="1">
      <alignment horizontal="right" vertical="center"/>
      <protection hidden="1"/>
    </xf>
    <xf numFmtId="0" fontId="74" fillId="0" borderId="0" xfId="0" applyFont="1" applyFill="1" applyProtection="1">
      <alignment vertical="center"/>
      <protection locked="0" hidden="1"/>
    </xf>
    <xf numFmtId="0" fontId="74" fillId="0" borderId="0" xfId="0" applyFont="1" applyFill="1" applyAlignment="1" applyProtection="1">
      <alignment horizontal="left" vertical="center"/>
      <protection locked="0" hidden="1"/>
    </xf>
    <xf numFmtId="0" fontId="60" fillId="0" borderId="127" xfId="7" applyFont="1" applyFill="1" applyBorder="1" applyAlignment="1" applyProtection="1">
      <alignment horizontal="center" vertical="center"/>
      <protection locked="0" hidden="1"/>
    </xf>
    <xf numFmtId="0" fontId="60" fillId="0" borderId="128" xfId="7" applyFont="1" applyFill="1" applyBorder="1" applyAlignment="1" applyProtection="1">
      <alignment horizontal="center" vertical="center"/>
      <protection locked="0" hidden="1"/>
    </xf>
    <xf numFmtId="0" fontId="60" fillId="5" borderId="37" xfId="7" applyFont="1" applyFill="1" applyBorder="1" applyAlignment="1" applyProtection="1">
      <alignment horizontal="left" vertical="center"/>
      <protection hidden="1"/>
    </xf>
    <xf numFmtId="0" fontId="60" fillId="5" borderId="38" xfId="7" applyFont="1" applyFill="1" applyBorder="1" applyAlignment="1" applyProtection="1">
      <alignment horizontal="center" vertical="center"/>
      <protection hidden="1"/>
    </xf>
    <xf numFmtId="0" fontId="60" fillId="5" borderId="59" xfId="7" applyFont="1" applyFill="1" applyBorder="1" applyAlignment="1" applyProtection="1">
      <alignment horizontal="left" vertical="center"/>
      <protection hidden="1"/>
    </xf>
    <xf numFmtId="0" fontId="60" fillId="5" borderId="46" xfId="7" applyFont="1" applyFill="1" applyBorder="1" applyAlignment="1" applyProtection="1">
      <alignment horizontal="center" vertical="center"/>
      <protection hidden="1"/>
    </xf>
    <xf numFmtId="0" fontId="60" fillId="4" borderId="127" xfId="7" applyFont="1" applyFill="1" applyBorder="1" applyAlignment="1" applyProtection="1">
      <alignment horizontal="center" vertical="center"/>
      <protection locked="0" hidden="1"/>
    </xf>
    <xf numFmtId="0" fontId="60" fillId="4" borderId="128" xfId="7" applyFont="1" applyFill="1" applyBorder="1" applyAlignment="1" applyProtection="1">
      <alignment horizontal="center" vertical="center"/>
      <protection locked="0" hidden="1"/>
    </xf>
    <xf numFmtId="179" fontId="32" fillId="5" borderId="0" xfId="8" applyNumberFormat="1" applyFont="1" applyFill="1" applyBorder="1" applyAlignment="1" applyProtection="1">
      <alignment horizontal="center"/>
      <protection hidden="1"/>
    </xf>
    <xf numFmtId="0" fontId="14" fillId="5" borderId="0" xfId="8" applyFont="1" applyFill="1" applyBorder="1" applyAlignment="1" applyProtection="1">
      <alignment horizontal="center"/>
      <protection hidden="1"/>
    </xf>
    <xf numFmtId="0" fontId="7" fillId="11" borderId="129" xfId="0" applyFont="1" applyFill="1" applyBorder="1" applyAlignment="1">
      <alignment horizontal="distributed" vertical="center"/>
    </xf>
    <xf numFmtId="0" fontId="52" fillId="8" borderId="20" xfId="0" applyFont="1" applyFill="1" applyBorder="1" applyAlignment="1">
      <alignment horizontal="center" vertical="center"/>
    </xf>
    <xf numFmtId="176" fontId="67" fillId="5" borderId="0" xfId="8" applyNumberFormat="1" applyFont="1" applyFill="1" applyBorder="1" applyAlignment="1" applyProtection="1">
      <alignment horizontal="center" shrinkToFit="1"/>
      <protection hidden="1"/>
    </xf>
    <xf numFmtId="49" fontId="14" fillId="0" borderId="27" xfId="9" applyNumberFormat="1" applyFont="1" applyBorder="1" applyAlignment="1" applyProtection="1">
      <alignment horizontal="center" vertical="center" shrinkToFit="1"/>
      <protection hidden="1"/>
    </xf>
    <xf numFmtId="0" fontId="8" fillId="0" borderId="130" xfId="8" applyNumberFormat="1" applyFont="1" applyFill="1" applyBorder="1" applyAlignment="1" applyProtection="1">
      <alignment horizontal="right"/>
      <protection locked="0" hidden="1"/>
    </xf>
    <xf numFmtId="0" fontId="8" fillId="0" borderId="131" xfId="8" applyNumberFormat="1" applyFont="1" applyFill="1" applyBorder="1" applyAlignment="1" applyProtection="1">
      <alignment horizontal="right"/>
      <protection locked="0" hidden="1"/>
    </xf>
    <xf numFmtId="0" fontId="8" fillId="0" borderId="132" xfId="8" applyNumberFormat="1" applyFont="1" applyFill="1" applyBorder="1" applyAlignment="1" applyProtection="1">
      <alignment horizontal="right"/>
      <protection locked="0" hidden="1"/>
    </xf>
    <xf numFmtId="0" fontId="8" fillId="0" borderId="133" xfId="8" applyNumberFormat="1" applyFont="1" applyFill="1" applyBorder="1" applyAlignment="1" applyProtection="1">
      <alignment horizontal="right"/>
      <protection locked="0" hidden="1"/>
    </xf>
    <xf numFmtId="0" fontId="8" fillId="0" borderId="116" xfId="8" applyNumberFormat="1" applyFont="1" applyFill="1" applyBorder="1" applyAlignment="1" applyProtection="1">
      <alignment horizontal="right"/>
      <protection locked="0" hidden="1"/>
    </xf>
    <xf numFmtId="0" fontId="8" fillId="0" borderId="134" xfId="8" applyNumberFormat="1" applyFont="1" applyFill="1" applyBorder="1" applyAlignment="1" applyProtection="1">
      <alignment horizontal="right"/>
      <protection locked="0" hidden="1"/>
    </xf>
    <xf numFmtId="0" fontId="8" fillId="0" borderId="117" xfId="8" applyNumberFormat="1" applyFont="1" applyFill="1" applyBorder="1" applyAlignment="1" applyProtection="1">
      <alignment horizontal="right"/>
      <protection locked="0" hidden="1"/>
    </xf>
    <xf numFmtId="0" fontId="8" fillId="0" borderId="135" xfId="8" applyNumberFormat="1" applyFont="1" applyFill="1" applyBorder="1" applyAlignment="1" applyProtection="1">
      <alignment horizontal="right"/>
      <protection locked="0" hidden="1"/>
    </xf>
    <xf numFmtId="0" fontId="8" fillId="0" borderId="118" xfId="8" applyNumberFormat="1" applyFont="1" applyFill="1" applyBorder="1" applyAlignment="1" applyProtection="1">
      <alignment horizontal="right"/>
      <protection locked="0" hidden="1"/>
    </xf>
    <xf numFmtId="49" fontId="14" fillId="0" borderId="19" xfId="8" applyNumberFormat="1" applyFont="1" applyFill="1" applyBorder="1" applyAlignment="1" applyProtection="1">
      <alignment horizontal="right"/>
      <protection locked="0" hidden="1"/>
    </xf>
    <xf numFmtId="177" fontId="8" fillId="0" borderId="24" xfId="8" applyNumberFormat="1" applyFont="1" applyFill="1" applyBorder="1" applyAlignment="1" applyProtection="1">
      <alignment shrinkToFit="1"/>
      <protection locked="0" hidden="1"/>
    </xf>
    <xf numFmtId="177" fontId="8" fillId="0" borderId="18" xfId="8" applyNumberFormat="1" applyFont="1" applyFill="1" applyBorder="1" applyAlignment="1" applyProtection="1">
      <alignment shrinkToFit="1"/>
      <protection locked="0" hidden="1"/>
    </xf>
    <xf numFmtId="177" fontId="8" fillId="0" borderId="22" xfId="8" applyNumberFormat="1" applyFont="1" applyFill="1" applyBorder="1" applyAlignment="1" applyProtection="1">
      <alignment shrinkToFit="1"/>
      <protection locked="0" hidden="1"/>
    </xf>
    <xf numFmtId="177" fontId="8" fillId="0" borderId="4" xfId="8" applyNumberFormat="1" applyFont="1" applyFill="1" applyBorder="1" applyAlignment="1" applyProtection="1">
      <alignment shrinkToFit="1"/>
      <protection locked="0" hidden="1"/>
    </xf>
    <xf numFmtId="0" fontId="14" fillId="0" borderId="0" xfId="8" applyFont="1" applyFill="1" applyAlignment="1" applyProtection="1">
      <alignment horizontal="left"/>
      <protection hidden="1"/>
    </xf>
    <xf numFmtId="0" fontId="25" fillId="0" borderId="0" xfId="8" applyFont="1" applyFill="1" applyAlignment="1" applyProtection="1">
      <protection hidden="1"/>
    </xf>
    <xf numFmtId="0" fontId="8" fillId="0" borderId="0" xfId="8" applyFont="1" applyFill="1" applyBorder="1" applyProtection="1">
      <protection hidden="1"/>
    </xf>
    <xf numFmtId="0" fontId="32" fillId="0" borderId="0" xfId="8" applyFont="1" applyFill="1" applyAlignment="1" applyProtection="1">
      <alignment horizontal="left"/>
      <protection hidden="1"/>
    </xf>
    <xf numFmtId="0" fontId="14" fillId="0" borderId="0" xfId="8" applyFont="1" applyFill="1" applyBorder="1" applyAlignment="1" applyProtection="1">
      <alignment horizontal="left"/>
      <protection hidden="1"/>
    </xf>
    <xf numFmtId="0" fontId="8" fillId="0" borderId="0" xfId="8" applyFont="1" applyFill="1" applyBorder="1" applyAlignment="1" applyProtection="1">
      <alignment horizontal="left"/>
      <protection hidden="1"/>
    </xf>
    <xf numFmtId="0" fontId="32" fillId="0" borderId="0" xfId="8" applyFont="1" applyFill="1" applyAlignment="1" applyProtection="1">
      <alignment horizontal="center"/>
      <protection hidden="1"/>
    </xf>
    <xf numFmtId="0" fontId="8" fillId="5"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14" fillId="5" borderId="53" xfId="8" applyFont="1" applyFill="1" applyBorder="1" applyAlignment="1" applyProtection="1">
      <alignment horizontal="right" shrinkToFit="1"/>
      <protection hidden="1"/>
    </xf>
    <xf numFmtId="0" fontId="14" fillId="5" borderId="15" xfId="8" applyNumberFormat="1" applyFont="1" applyFill="1" applyBorder="1" applyAlignment="1" applyProtection="1">
      <alignment horizontal="center" shrinkToFit="1"/>
      <protection hidden="1"/>
    </xf>
    <xf numFmtId="0" fontId="14" fillId="5" borderId="17" xfId="8" applyFont="1" applyFill="1" applyBorder="1" applyAlignment="1" applyProtection="1">
      <alignment horizontal="center"/>
      <protection hidden="1"/>
    </xf>
    <xf numFmtId="0" fontId="14" fillId="5" borderId="54" xfId="8" applyFont="1" applyFill="1" applyBorder="1" applyAlignment="1" applyProtection="1">
      <alignment horizontal="center" shrinkToFit="1"/>
      <protection hidden="1"/>
    </xf>
    <xf numFmtId="0" fontId="8" fillId="5" borderId="0" xfId="0" applyFont="1" applyFill="1" applyBorder="1" applyAlignment="1" applyProtection="1">
      <protection hidden="1"/>
    </xf>
    <xf numFmtId="0" fontId="8" fillId="5" borderId="0" xfId="0" applyFont="1" applyFill="1" applyBorder="1" applyAlignment="1" applyProtection="1">
      <alignment horizontal="center"/>
      <protection hidden="1"/>
    </xf>
    <xf numFmtId="0" fontId="8" fillId="0" borderId="0" xfId="8" applyFont="1" applyAlignment="1" applyProtection="1">
      <protection hidden="1"/>
    </xf>
    <xf numFmtId="0" fontId="8" fillId="5" borderId="0" xfId="0" applyFont="1" applyFill="1" applyAlignment="1" applyProtection="1">
      <alignment horizontal="center"/>
      <protection hidden="1"/>
    </xf>
    <xf numFmtId="0" fontId="8" fillId="0" borderId="0" xfId="8" applyFont="1" applyBorder="1" applyAlignment="1" applyProtection="1">
      <protection hidden="1"/>
    </xf>
    <xf numFmtId="0" fontId="8" fillId="5" borderId="0" xfId="0" applyFont="1" applyFill="1" applyAlignment="1" applyProtection="1">
      <protection hidden="1"/>
    </xf>
    <xf numFmtId="0" fontId="14" fillId="0" borderId="0" xfId="0" applyFont="1" applyAlignment="1" applyProtection="1">
      <alignment horizontal="center" shrinkToFit="1"/>
      <protection hidden="1"/>
    </xf>
    <xf numFmtId="0" fontId="8" fillId="0" borderId="0" xfId="0" applyFont="1" applyAlignment="1" applyProtection="1">
      <protection hidden="1"/>
    </xf>
    <xf numFmtId="0" fontId="8" fillId="0" borderId="0" xfId="0" applyFont="1" applyAlignment="1" applyProtection="1">
      <alignment horizontal="center"/>
      <protection hidden="1"/>
    </xf>
    <xf numFmtId="0" fontId="8" fillId="0" borderId="0" xfId="8" applyFont="1" applyFill="1" applyBorder="1" applyAlignment="1" applyProtection="1">
      <protection hidden="1"/>
    </xf>
    <xf numFmtId="49" fontId="8" fillId="5" borderId="0" xfId="8" applyNumberFormat="1" applyFont="1" applyFill="1" applyBorder="1" applyAlignment="1" applyProtection="1">
      <protection hidden="1"/>
    </xf>
    <xf numFmtId="0" fontId="8" fillId="5" borderId="0" xfId="8" applyFont="1" applyFill="1" applyBorder="1" applyAlignment="1" applyProtection="1">
      <protection hidden="1"/>
    </xf>
    <xf numFmtId="0" fontId="8" fillId="5" borderId="0" xfId="8" applyFont="1" applyFill="1" applyAlignment="1" applyProtection="1">
      <protection hidden="1"/>
    </xf>
    <xf numFmtId="177" fontId="8" fillId="5" borderId="0" xfId="8" applyNumberFormat="1" applyFont="1" applyFill="1" applyAlignment="1" applyProtection="1">
      <protection locked="0" hidden="1"/>
    </xf>
    <xf numFmtId="0" fontId="8" fillId="5" borderId="0" xfId="8" applyNumberFormat="1" applyFont="1" applyFill="1" applyAlignment="1" applyProtection="1">
      <protection hidden="1"/>
    </xf>
    <xf numFmtId="0" fontId="8" fillId="5" borderId="0" xfId="8" applyFont="1" applyFill="1" applyAlignment="1" applyProtection="1">
      <protection locked="0" hidden="1"/>
    </xf>
    <xf numFmtId="0" fontId="32" fillId="0" borderId="0" xfId="8" applyFont="1" applyAlignment="1" applyProtection="1">
      <protection hidden="1"/>
    </xf>
    <xf numFmtId="0" fontId="32" fillId="0" borderId="0" xfId="8" applyFont="1" applyFill="1" applyAlignment="1" applyProtection="1">
      <protection hidden="1"/>
    </xf>
    <xf numFmtId="0" fontId="68" fillId="5" borderId="0" xfId="8" applyFont="1" applyFill="1" applyBorder="1" applyAlignment="1" applyProtection="1">
      <alignment horizontal="left"/>
      <protection hidden="1"/>
    </xf>
    <xf numFmtId="0" fontId="68" fillId="5" borderId="0" xfId="8" applyFont="1" applyFill="1" applyBorder="1" applyAlignment="1" applyProtection="1">
      <alignment horizontal="center"/>
      <protection hidden="1"/>
    </xf>
    <xf numFmtId="0" fontId="68" fillId="4" borderId="0" xfId="8" applyFont="1" applyFill="1" applyBorder="1" applyAlignment="1" applyProtection="1">
      <alignment horizontal="center"/>
      <protection hidden="1"/>
    </xf>
    <xf numFmtId="0" fontId="32" fillId="5" borderId="0" xfId="8" applyFont="1" applyFill="1" applyAlignment="1" applyProtection="1">
      <protection hidden="1"/>
    </xf>
    <xf numFmtId="177" fontId="32" fillId="5" borderId="0" xfId="8" applyNumberFormat="1" applyFont="1" applyFill="1" applyAlignment="1" applyProtection="1">
      <protection locked="0" hidden="1"/>
    </xf>
    <xf numFmtId="0" fontId="32" fillId="5" borderId="0" xfId="0" applyFont="1" applyFill="1" applyAlignment="1" applyProtection="1">
      <protection hidden="1"/>
    </xf>
    <xf numFmtId="0" fontId="32" fillId="5" borderId="0" xfId="8" applyNumberFormat="1" applyFont="1" applyFill="1" applyAlignment="1" applyProtection="1">
      <protection hidden="1"/>
    </xf>
    <xf numFmtId="0" fontId="32" fillId="5" borderId="0" xfId="8" applyFont="1" applyFill="1" applyAlignment="1" applyProtection="1">
      <protection locked="0" hidden="1"/>
    </xf>
    <xf numFmtId="0" fontId="32" fillId="5" borderId="0" xfId="0" applyFont="1" applyFill="1" applyAlignment="1" applyProtection="1">
      <alignment horizontal="center"/>
      <protection hidden="1"/>
    </xf>
    <xf numFmtId="0" fontId="14" fillId="0" borderId="0" xfId="8" applyFont="1" applyAlignment="1" applyProtection="1">
      <alignment horizontal="left" shrinkToFit="1"/>
      <protection hidden="1"/>
    </xf>
    <xf numFmtId="0" fontId="14" fillId="0" borderId="5" xfId="8" applyFont="1" applyBorder="1" applyAlignment="1" applyProtection="1">
      <alignment horizontal="center" shrinkToFit="1"/>
      <protection hidden="1"/>
    </xf>
    <xf numFmtId="0" fontId="14" fillId="0" borderId="32" xfId="8" applyFont="1" applyBorder="1" applyAlignment="1" applyProtection="1">
      <alignment horizontal="center" shrinkToFit="1"/>
      <protection hidden="1"/>
    </xf>
    <xf numFmtId="0" fontId="14" fillId="0" borderId="66" xfId="8" applyFont="1" applyBorder="1" applyAlignment="1" applyProtection="1">
      <alignment horizontal="center" shrinkToFit="1"/>
      <protection hidden="1"/>
    </xf>
    <xf numFmtId="49" fontId="14" fillId="0" borderId="5" xfId="8" applyNumberFormat="1" applyFont="1" applyBorder="1" applyAlignment="1" applyProtection="1">
      <alignment horizontal="center" shrinkToFit="1"/>
      <protection hidden="1"/>
    </xf>
    <xf numFmtId="49" fontId="14" fillId="0" borderId="33" xfId="8" applyNumberFormat="1" applyFont="1" applyBorder="1" applyAlignment="1" applyProtection="1">
      <alignment horizontal="center" shrinkToFit="1"/>
      <protection hidden="1"/>
    </xf>
    <xf numFmtId="49" fontId="14" fillId="0" borderId="27" xfId="8" applyNumberFormat="1" applyFont="1" applyBorder="1" applyAlignment="1" applyProtection="1">
      <alignment horizontal="center" shrinkToFit="1"/>
      <protection hidden="1"/>
    </xf>
    <xf numFmtId="49" fontId="14" fillId="0" borderId="65" xfId="8" applyNumberFormat="1" applyFont="1" applyFill="1" applyBorder="1" applyAlignment="1" applyProtection="1">
      <alignment horizontal="center" shrinkToFit="1"/>
      <protection hidden="1"/>
    </xf>
    <xf numFmtId="0" fontId="14" fillId="9" borderId="58" xfId="8" applyFont="1" applyFill="1" applyBorder="1" applyAlignment="1" applyProtection="1">
      <alignment horizontal="center" shrinkToFit="1"/>
      <protection hidden="1"/>
    </xf>
    <xf numFmtId="49" fontId="14" fillId="0" borderId="58" xfId="8" applyNumberFormat="1" applyFont="1" applyFill="1" applyBorder="1" applyAlignment="1" applyProtection="1">
      <alignment horizontal="center" shrinkToFit="1"/>
      <protection hidden="1"/>
    </xf>
    <xf numFmtId="49" fontId="14" fillId="0" borderId="34" xfId="8" applyNumberFormat="1" applyFont="1" applyFill="1" applyBorder="1" applyAlignment="1" applyProtection="1">
      <alignment horizontal="center" shrinkToFit="1"/>
      <protection locked="0" hidden="1"/>
    </xf>
    <xf numFmtId="49" fontId="14" fillId="0" borderId="30" xfId="8" applyNumberFormat="1" applyFont="1" applyFill="1" applyBorder="1" applyAlignment="1" applyProtection="1">
      <alignment horizontal="center" shrinkToFit="1"/>
      <protection locked="0" hidden="1"/>
    </xf>
    <xf numFmtId="0" fontId="14" fillId="0" borderId="30" xfId="8" applyFont="1" applyFill="1" applyBorder="1" applyAlignment="1" applyProtection="1">
      <alignment horizontal="left" shrinkToFit="1"/>
      <protection hidden="1"/>
    </xf>
    <xf numFmtId="177" fontId="14" fillId="0" borderId="30" xfId="8" applyNumberFormat="1" applyFont="1" applyFill="1" applyBorder="1" applyAlignment="1" applyProtection="1">
      <alignment horizontal="left" shrinkToFit="1"/>
      <protection locked="0" hidden="1"/>
    </xf>
    <xf numFmtId="177" fontId="14" fillId="0" borderId="35" xfId="8" applyNumberFormat="1" applyFont="1" applyFill="1" applyBorder="1" applyAlignment="1" applyProtection="1">
      <alignment horizontal="left" shrinkToFit="1"/>
      <protection locked="0" hidden="1"/>
    </xf>
    <xf numFmtId="0" fontId="14" fillId="0" borderId="0" xfId="8" applyFont="1" applyAlignment="1" applyProtection="1">
      <alignment horizontal="center" shrinkToFit="1"/>
      <protection hidden="1"/>
    </xf>
    <xf numFmtId="0" fontId="14" fillId="5" borderId="0" xfId="8" applyFont="1" applyFill="1" applyAlignment="1" applyProtection="1">
      <alignment horizontal="center" shrinkToFit="1"/>
      <protection hidden="1"/>
    </xf>
    <xf numFmtId="177" fontId="8" fillId="0" borderId="0" xfId="8" applyNumberFormat="1" applyFont="1" applyAlignment="1" applyProtection="1">
      <protection hidden="1"/>
    </xf>
    <xf numFmtId="0" fontId="8" fillId="0" borderId="6" xfId="8" applyFont="1" applyFill="1" applyBorder="1" applyAlignment="1" applyProtection="1">
      <protection hidden="1"/>
    </xf>
    <xf numFmtId="0" fontId="8" fillId="0" borderId="21" xfId="8" applyFont="1" applyFill="1" applyBorder="1" applyAlignment="1" applyProtection="1">
      <protection hidden="1"/>
    </xf>
    <xf numFmtId="0" fontId="8" fillId="0" borderId="51" xfId="8" applyFont="1" applyFill="1" applyBorder="1" applyAlignment="1" applyProtection="1">
      <protection hidden="1"/>
    </xf>
    <xf numFmtId="0" fontId="14" fillId="0" borderId="43" xfId="8" applyFont="1" applyBorder="1" applyAlignment="1" applyProtection="1">
      <protection hidden="1"/>
    </xf>
    <xf numFmtId="0" fontId="8" fillId="0" borderId="18" xfId="8" applyFont="1" applyFill="1" applyBorder="1" applyAlignment="1" applyProtection="1">
      <protection hidden="1"/>
    </xf>
    <xf numFmtId="177" fontId="10" fillId="0" borderId="18" xfId="8" applyNumberFormat="1" applyFont="1" applyFill="1" applyBorder="1" applyAlignment="1" applyProtection="1">
      <protection locked="0" hidden="1"/>
    </xf>
    <xf numFmtId="177" fontId="10" fillId="0" borderId="19" xfId="8" applyNumberFormat="1" applyFont="1" applyFill="1" applyBorder="1" applyAlignment="1" applyProtection="1">
      <protection locked="0" hidden="1"/>
    </xf>
    <xf numFmtId="0" fontId="0" fillId="5" borderId="0" xfId="0" applyNumberFormat="1" applyFill="1" applyBorder="1" applyAlignment="1"/>
    <xf numFmtId="0" fontId="8" fillId="0" borderId="24" xfId="8" applyFont="1" applyFill="1" applyBorder="1" applyAlignment="1" applyProtection="1">
      <protection hidden="1"/>
    </xf>
    <xf numFmtId="0" fontId="8" fillId="0" borderId="53" xfId="8" applyFont="1" applyFill="1" applyBorder="1" applyAlignment="1" applyProtection="1">
      <protection hidden="1"/>
    </xf>
    <xf numFmtId="0" fontId="14" fillId="0" borderId="47" xfId="8" applyFont="1" applyBorder="1" applyAlignment="1" applyProtection="1">
      <protection hidden="1"/>
    </xf>
    <xf numFmtId="0" fontId="8" fillId="0" borderId="4" xfId="8" applyFont="1" applyFill="1" applyBorder="1" applyAlignment="1" applyProtection="1">
      <protection hidden="1"/>
    </xf>
    <xf numFmtId="0" fontId="14" fillId="5" borderId="15" xfId="8" applyFont="1" applyFill="1" applyBorder="1" applyAlignment="1" applyProtection="1">
      <alignment horizontal="center" shrinkToFit="1"/>
      <protection hidden="1"/>
    </xf>
    <xf numFmtId="0" fontId="8" fillId="5" borderId="88" xfId="0" applyFont="1" applyFill="1" applyBorder="1" applyAlignment="1" applyProtection="1">
      <alignment horizontal="right" shrinkToFit="1"/>
      <protection hidden="1"/>
    </xf>
    <xf numFmtId="0" fontId="8" fillId="5" borderId="25" xfId="0" applyFont="1" applyFill="1" applyBorder="1" applyAlignment="1" applyProtection="1">
      <alignment shrinkToFit="1"/>
      <protection hidden="1"/>
    </xf>
    <xf numFmtId="0" fontId="8" fillId="5" borderId="25" xfId="0" applyFont="1" applyFill="1" applyBorder="1" applyAlignment="1" applyProtection="1">
      <alignment horizontal="right" shrinkToFit="1"/>
      <protection hidden="1"/>
    </xf>
    <xf numFmtId="0" fontId="8" fillId="5" borderId="89" xfId="0" applyFont="1" applyFill="1" applyBorder="1" applyAlignment="1" applyProtection="1">
      <alignment shrinkToFit="1"/>
      <protection hidden="1"/>
    </xf>
    <xf numFmtId="0" fontId="8" fillId="5" borderId="53" xfId="12" applyFont="1" applyFill="1" applyBorder="1" applyAlignment="1" applyProtection="1">
      <alignment horizontal="center" shrinkToFit="1"/>
      <protection hidden="1"/>
    </xf>
    <xf numFmtId="0" fontId="8" fillId="5" borderId="15" xfId="12" applyFont="1" applyFill="1" applyBorder="1" applyAlignment="1" applyProtection="1">
      <alignment horizontal="center"/>
      <protection hidden="1"/>
    </xf>
    <xf numFmtId="0" fontId="0" fillId="0" borderId="0" xfId="0" applyNumberFormat="1" applyBorder="1" applyAlignment="1"/>
    <xf numFmtId="0" fontId="8" fillId="5" borderId="98" xfId="12" applyFont="1" applyFill="1" applyBorder="1" applyAlignment="1" applyProtection="1">
      <alignment horizontal="center" shrinkToFit="1"/>
      <protection hidden="1"/>
    </xf>
    <xf numFmtId="0" fontId="8" fillId="5" borderId="138" xfId="12" applyFont="1" applyFill="1" applyBorder="1" applyAlignment="1" applyProtection="1">
      <alignment horizontal="center"/>
      <protection hidden="1"/>
    </xf>
    <xf numFmtId="49" fontId="8" fillId="0" borderId="121" xfId="12" applyNumberFormat="1" applyFont="1" applyFill="1" applyBorder="1" applyAlignment="1" applyProtection="1">
      <alignment horizontal="right"/>
      <protection locked="0" hidden="1"/>
    </xf>
    <xf numFmtId="0" fontId="8" fillId="5" borderId="54" xfId="12" applyFont="1" applyFill="1" applyBorder="1" applyAlignment="1" applyProtection="1">
      <alignment horizontal="center" shrinkToFit="1"/>
      <protection hidden="1"/>
    </xf>
    <xf numFmtId="49" fontId="8" fillId="0" borderId="122" xfId="12" applyNumberFormat="1" applyFont="1" applyFill="1" applyBorder="1" applyAlignment="1" applyProtection="1">
      <alignment horizontal="right"/>
      <protection locked="0" hidden="1"/>
    </xf>
    <xf numFmtId="0" fontId="8" fillId="5" borderId="17" xfId="12" applyFont="1" applyFill="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0" fontId="8" fillId="0" borderId="0" xfId="8" applyNumberFormat="1" applyFont="1" applyAlignment="1" applyProtection="1">
      <protection hidden="1"/>
    </xf>
    <xf numFmtId="0" fontId="8" fillId="5" borderId="62" xfId="0" applyFont="1" applyFill="1" applyBorder="1" applyAlignment="1" applyProtection="1">
      <alignment horizontal="right" shrinkToFit="1"/>
      <protection hidden="1"/>
    </xf>
    <xf numFmtId="0" fontId="8" fillId="5" borderId="2" xfId="0" applyFont="1" applyFill="1" applyBorder="1" applyAlignment="1" applyProtection="1">
      <alignment shrinkToFit="1"/>
      <protection hidden="1"/>
    </xf>
    <xf numFmtId="0" fontId="8" fillId="5" borderId="2" xfId="0" applyFont="1" applyFill="1" applyBorder="1" applyAlignment="1" applyProtection="1">
      <alignment horizontal="right" shrinkToFit="1"/>
      <protection hidden="1"/>
    </xf>
    <xf numFmtId="0" fontId="8" fillId="5" borderId="3" xfId="0" applyFont="1" applyFill="1" applyBorder="1" applyAlignment="1" applyProtection="1">
      <alignment shrinkToFit="1"/>
      <protection hidden="1"/>
    </xf>
    <xf numFmtId="0" fontId="8" fillId="5" borderId="0" xfId="0" applyFont="1" applyFill="1" applyBorder="1" applyAlignment="1" applyProtection="1">
      <alignment horizontal="right" shrinkToFit="1"/>
      <protection hidden="1"/>
    </xf>
    <xf numFmtId="0" fontId="8" fillId="5" borderId="0" xfId="0" applyFont="1" applyFill="1" applyBorder="1" applyAlignment="1" applyProtection="1">
      <alignment shrinkToFit="1"/>
      <protection hidden="1"/>
    </xf>
    <xf numFmtId="0" fontId="8" fillId="0" borderId="77" xfId="8" applyFont="1" applyFill="1" applyBorder="1" applyAlignment="1" applyProtection="1">
      <protection hidden="1"/>
    </xf>
    <xf numFmtId="0" fontId="8" fillId="0" borderId="49" xfId="8" applyFont="1" applyFill="1" applyBorder="1" applyAlignment="1" applyProtection="1">
      <protection hidden="1"/>
    </xf>
    <xf numFmtId="0" fontId="8" fillId="0" borderId="54" xfId="8" applyFont="1" applyFill="1" applyBorder="1" applyAlignment="1" applyProtection="1">
      <protection hidden="1"/>
    </xf>
    <xf numFmtId="0" fontId="14" fillId="0" borderId="50" xfId="8" applyFont="1" applyBorder="1" applyAlignment="1" applyProtection="1">
      <protection hidden="1"/>
    </xf>
    <xf numFmtId="49" fontId="8" fillId="5" borderId="0" xfId="8" applyNumberFormat="1" applyFont="1" applyFill="1" applyAlignment="1" applyProtection="1">
      <protection hidden="1"/>
    </xf>
    <xf numFmtId="0" fontId="14" fillId="5" borderId="0" xfId="8" applyFont="1" applyFill="1" applyAlignment="1" applyProtection="1">
      <protection hidden="1"/>
    </xf>
    <xf numFmtId="177" fontId="10" fillId="5" borderId="0" xfId="8" applyNumberFormat="1" applyFont="1" applyFill="1" applyAlignment="1" applyProtection="1">
      <protection locked="0" hidden="1"/>
    </xf>
    <xf numFmtId="49" fontId="8" fillId="0" borderId="0" xfId="8" applyNumberFormat="1" applyFont="1" applyAlignment="1" applyProtection="1">
      <protection hidden="1"/>
    </xf>
    <xf numFmtId="0" fontId="14" fillId="0" borderId="0" xfId="8" applyFont="1" applyAlignment="1" applyProtection="1">
      <protection hidden="1"/>
    </xf>
    <xf numFmtId="177" fontId="10" fillId="0" borderId="0" xfId="8" applyNumberFormat="1" applyFont="1" applyAlignment="1" applyProtection="1">
      <protection locked="0" hidden="1"/>
    </xf>
    <xf numFmtId="0" fontId="8" fillId="0" borderId="0" xfId="9" applyFont="1" applyAlignment="1" applyProtection="1">
      <protection hidden="1"/>
    </xf>
    <xf numFmtId="0" fontId="8" fillId="5" borderId="0" xfId="9" applyFont="1" applyFill="1" applyAlignment="1" applyProtection="1">
      <protection hidden="1"/>
    </xf>
    <xf numFmtId="0" fontId="8" fillId="5" borderId="0" xfId="9" applyFont="1" applyFill="1" applyBorder="1" applyAlignment="1" applyProtection="1">
      <protection hidden="1"/>
    </xf>
    <xf numFmtId="0" fontId="14" fillId="0" borderId="0" xfId="9" applyFont="1" applyAlignment="1" applyProtection="1">
      <alignment horizontal="center"/>
      <protection hidden="1"/>
    </xf>
    <xf numFmtId="0" fontId="14" fillId="0" borderId="5" xfId="9" applyFont="1" applyBorder="1" applyAlignment="1" applyProtection="1">
      <alignment horizontal="center" shrinkToFit="1"/>
      <protection hidden="1"/>
    </xf>
    <xf numFmtId="0" fontId="14" fillId="0" borderId="66" xfId="9" applyFont="1" applyBorder="1" applyAlignment="1" applyProtection="1">
      <alignment horizontal="center" shrinkToFit="1"/>
      <protection hidden="1"/>
    </xf>
    <xf numFmtId="0" fontId="15" fillId="0" borderId="5" xfId="0" applyFont="1" applyBorder="1" applyAlignment="1">
      <alignment horizontal="center" shrinkToFit="1"/>
    </xf>
    <xf numFmtId="49" fontId="14" fillId="0" borderId="5" xfId="9" applyNumberFormat="1" applyFont="1" applyBorder="1" applyAlignment="1" applyProtection="1">
      <alignment horizontal="center" shrinkToFit="1"/>
      <protection hidden="1"/>
    </xf>
    <xf numFmtId="49" fontId="14" fillId="0" borderId="41" xfId="9" applyNumberFormat="1" applyFont="1" applyFill="1" applyBorder="1" applyAlignment="1" applyProtection="1">
      <alignment horizontal="center" shrinkToFit="1"/>
      <protection hidden="1"/>
    </xf>
    <xf numFmtId="49" fontId="14" fillId="0" borderId="33" xfId="9" applyNumberFormat="1" applyFont="1" applyBorder="1" applyAlignment="1" applyProtection="1">
      <alignment horizontal="center" shrinkToFit="1"/>
      <protection hidden="1"/>
    </xf>
    <xf numFmtId="49" fontId="14" fillId="0" borderId="27" xfId="9" applyNumberFormat="1" applyFont="1" applyBorder="1" applyAlignment="1" applyProtection="1">
      <alignment horizontal="center" shrinkToFit="1"/>
      <protection hidden="1"/>
    </xf>
    <xf numFmtId="49" fontId="14" fillId="0" borderId="34" xfId="9" applyNumberFormat="1" applyFont="1" applyBorder="1" applyAlignment="1" applyProtection="1">
      <alignment horizontal="center" shrinkToFit="1"/>
      <protection hidden="1"/>
    </xf>
    <xf numFmtId="49" fontId="14" fillId="0" borderId="75" xfId="9" applyNumberFormat="1" applyFont="1" applyFill="1" applyBorder="1" applyAlignment="1" applyProtection="1">
      <alignment horizontal="center" shrinkToFit="1"/>
      <protection hidden="1"/>
    </xf>
    <xf numFmtId="0" fontId="14" fillId="0" borderId="75" xfId="9" applyFont="1" applyBorder="1" applyAlignment="1" applyProtection="1">
      <alignment horizontal="center" shrinkToFit="1"/>
      <protection hidden="1"/>
    </xf>
    <xf numFmtId="49" fontId="14" fillId="0" borderId="139" xfId="9" applyNumberFormat="1" applyFont="1" applyBorder="1" applyAlignment="1" applyProtection="1">
      <alignment horizontal="center" shrinkToFit="1"/>
      <protection hidden="1"/>
    </xf>
    <xf numFmtId="49" fontId="14" fillId="2" borderId="140" xfId="9" applyNumberFormat="1" applyFont="1" applyFill="1" applyBorder="1" applyAlignment="1" applyProtection="1">
      <alignment horizontal="center" shrinkToFit="1"/>
      <protection hidden="1"/>
    </xf>
    <xf numFmtId="0" fontId="14" fillId="2" borderId="80" xfId="9" applyFont="1" applyFill="1" applyBorder="1" applyAlignment="1" applyProtection="1">
      <alignment horizontal="center" shrinkToFit="1"/>
      <protection hidden="1"/>
    </xf>
    <xf numFmtId="49" fontId="14" fillId="2" borderId="80" xfId="9" applyNumberFormat="1" applyFont="1" applyFill="1" applyBorder="1" applyAlignment="1" applyProtection="1">
      <alignment horizontal="center" shrinkToFit="1"/>
      <protection hidden="1"/>
    </xf>
    <xf numFmtId="49" fontId="14" fillId="2" borderId="75" xfId="9" applyNumberFormat="1" applyFont="1" applyFill="1" applyBorder="1" applyAlignment="1" applyProtection="1">
      <alignment horizontal="center" shrinkToFit="1"/>
      <protection hidden="1"/>
    </xf>
    <xf numFmtId="0" fontId="14" fillId="2" borderId="75" xfId="9" applyFont="1" applyFill="1" applyBorder="1" applyAlignment="1" applyProtection="1">
      <alignment horizontal="center" shrinkToFit="1"/>
      <protection hidden="1"/>
    </xf>
    <xf numFmtId="0" fontId="14" fillId="0" borderId="0" xfId="0" applyFont="1" applyAlignment="1" applyProtection="1">
      <alignment horizontal="center"/>
      <protection hidden="1"/>
    </xf>
    <xf numFmtId="0" fontId="0" fillId="0" borderId="0" xfId="0" applyNumberFormat="1" applyBorder="1" applyAlignment="1">
      <alignment horizontal="left"/>
    </xf>
    <xf numFmtId="0" fontId="8" fillId="0" borderId="0" xfId="9" applyFont="1" applyAlignment="1"/>
    <xf numFmtId="0" fontId="14" fillId="5" borderId="0" xfId="9" applyFont="1" applyFill="1" applyAlignment="1" applyProtection="1">
      <alignment horizontal="center"/>
      <protection hidden="1"/>
    </xf>
    <xf numFmtId="0" fontId="8" fillId="0" borderId="6" xfId="9" applyFont="1" applyFill="1" applyBorder="1" applyAlignment="1" applyProtection="1">
      <protection hidden="1"/>
    </xf>
    <xf numFmtId="0" fontId="8" fillId="0" borderId="51" xfId="9" applyFont="1" applyFill="1" applyBorder="1" applyAlignment="1" applyProtection="1">
      <protection hidden="1"/>
    </xf>
    <xf numFmtId="0" fontId="8" fillId="0" borderId="4" xfId="9" applyFont="1" applyFill="1" applyBorder="1" applyAlignment="1" applyProtection="1">
      <protection hidden="1"/>
    </xf>
    <xf numFmtId="0" fontId="8" fillId="0" borderId="53" xfId="9" applyFont="1" applyFill="1" applyBorder="1" applyAlignment="1" applyProtection="1">
      <protection hidden="1"/>
    </xf>
    <xf numFmtId="0" fontId="8" fillId="0" borderId="0" xfId="9" applyFont="1" applyBorder="1" applyAlignment="1" applyProtection="1">
      <protection hidden="1"/>
    </xf>
    <xf numFmtId="49" fontId="15" fillId="0" borderId="59" xfId="0" applyNumberFormat="1" applyFont="1" applyBorder="1" applyAlignment="1">
      <alignment horizontal="left" shrinkToFit="1"/>
    </xf>
    <xf numFmtId="49" fontId="0" fillId="0" borderId="0" xfId="0" applyNumberFormat="1" applyBorder="1" applyAlignment="1">
      <alignment horizontal="left"/>
    </xf>
    <xf numFmtId="49" fontId="15" fillId="0" borderId="60" xfId="0" applyNumberFormat="1" applyFont="1" applyBorder="1" applyAlignment="1">
      <alignment horizontal="left" shrinkToFit="1"/>
    </xf>
    <xf numFmtId="49" fontId="15" fillId="0" borderId="62" xfId="0" applyNumberFormat="1" applyFont="1" applyBorder="1" applyAlignment="1">
      <alignment horizontal="center" shrinkToFit="1"/>
    </xf>
    <xf numFmtId="0" fontId="8" fillId="0" borderId="0" xfId="9" applyFont="1" applyFill="1" applyAlignment="1" applyProtection="1">
      <protection hidden="1"/>
    </xf>
    <xf numFmtId="49" fontId="15" fillId="0" borderId="62" xfId="0" applyNumberFormat="1" applyFont="1" applyBorder="1" applyAlignment="1">
      <alignment horizontal="center"/>
    </xf>
    <xf numFmtId="49" fontId="0" fillId="5" borderId="0" xfId="0" applyNumberFormat="1" applyFill="1" applyBorder="1" applyAlignment="1">
      <alignment horizontal="left"/>
    </xf>
    <xf numFmtId="0" fontId="8" fillId="0" borderId="16" xfId="9" applyFont="1" applyFill="1" applyBorder="1" applyAlignment="1" applyProtection="1">
      <protection hidden="1"/>
    </xf>
    <xf numFmtId="0" fontId="8" fillId="0" borderId="54" xfId="9" applyFont="1" applyFill="1" applyBorder="1" applyAlignment="1" applyProtection="1">
      <protection hidden="1"/>
    </xf>
    <xf numFmtId="49" fontId="8" fillId="5" borderId="0" xfId="9" applyNumberFormat="1" applyFont="1" applyFill="1" applyAlignment="1" applyProtection="1">
      <protection hidden="1"/>
    </xf>
    <xf numFmtId="0" fontId="8" fillId="5" borderId="0" xfId="9" applyFont="1" applyFill="1" applyAlignment="1"/>
    <xf numFmtId="49" fontId="8" fillId="0" borderId="0" xfId="9" applyNumberFormat="1" applyFont="1" applyFill="1" applyAlignment="1" applyProtection="1">
      <protection hidden="1"/>
    </xf>
    <xf numFmtId="0" fontId="8" fillId="0" borderId="0" xfId="0" applyFont="1" applyFill="1" applyAlignment="1" applyProtection="1">
      <protection hidden="1"/>
    </xf>
    <xf numFmtId="0" fontId="8" fillId="0" borderId="0" xfId="9" applyFont="1" applyFill="1" applyAlignment="1"/>
    <xf numFmtId="49" fontId="8" fillId="0" borderId="0" xfId="9" applyNumberFormat="1" applyFont="1" applyAlignment="1" applyProtection="1">
      <protection hidden="1"/>
    </xf>
    <xf numFmtId="0" fontId="14" fillId="0" borderId="32" xfId="9" applyFont="1" applyBorder="1" applyAlignment="1" applyProtection="1">
      <alignment horizontal="center" vertical="center"/>
      <protection hidden="1"/>
    </xf>
    <xf numFmtId="0" fontId="8" fillId="0" borderId="21" xfId="9" applyFont="1" applyFill="1" applyBorder="1" applyProtection="1">
      <protection hidden="1"/>
    </xf>
    <xf numFmtId="0" fontId="8" fillId="0" borderId="22" xfId="9" applyFont="1" applyFill="1" applyBorder="1" applyProtection="1">
      <protection hidden="1"/>
    </xf>
    <xf numFmtId="0" fontId="8" fillId="0" borderId="23" xfId="9" applyFont="1" applyFill="1" applyBorder="1" applyProtection="1">
      <protection hidden="1"/>
    </xf>
    <xf numFmtId="0" fontId="25" fillId="0" borderId="0" xfId="8" applyFont="1" applyFill="1" applyBorder="1" applyAlignment="1" applyProtection="1">
      <protection hidden="1"/>
    </xf>
    <xf numFmtId="0" fontId="8" fillId="0" borderId="0" xfId="9" applyFont="1" applyFill="1" applyBorder="1" applyProtection="1">
      <protection hidden="1"/>
    </xf>
    <xf numFmtId="0" fontId="32" fillId="0" borderId="0" xfId="9" applyFont="1" applyFill="1" applyBorder="1" applyAlignment="1" applyProtection="1">
      <alignment horizontal="left"/>
      <protection hidden="1"/>
    </xf>
    <xf numFmtId="0" fontId="43" fillId="0" borderId="0" xfId="8" applyFont="1" applyFill="1" applyBorder="1" applyAlignment="1" applyProtection="1">
      <alignment vertical="top"/>
      <protection hidden="1"/>
    </xf>
    <xf numFmtId="0" fontId="32" fillId="0" borderId="0" xfId="9" applyFont="1" applyFill="1" applyBorder="1" applyAlignment="1" applyProtection="1">
      <alignment horizontal="center" vertical="center"/>
      <protection hidden="1"/>
    </xf>
    <xf numFmtId="0" fontId="39" fillId="5" borderId="0" xfId="9" applyFont="1" applyFill="1" applyBorder="1" applyAlignment="1" applyProtection="1">
      <alignment horizontal="center"/>
      <protection hidden="1"/>
    </xf>
    <xf numFmtId="0" fontId="43" fillId="5" borderId="0" xfId="8" applyFont="1" applyFill="1" applyBorder="1" applyAlignment="1" applyProtection="1">
      <alignment horizontal="center" vertical="top"/>
      <protection hidden="1"/>
    </xf>
    <xf numFmtId="0" fontId="72" fillId="5" borderId="0" xfId="8" applyFont="1" applyFill="1" applyBorder="1" applyAlignment="1" applyProtection="1">
      <alignment horizontal="left" vertical="center"/>
      <protection hidden="1"/>
    </xf>
    <xf numFmtId="0" fontId="8" fillId="5" borderId="53" xfId="0" applyFont="1" applyFill="1" applyBorder="1" applyAlignment="1" applyProtection="1">
      <alignment horizontal="right" shrinkToFit="1"/>
      <protection hidden="1"/>
    </xf>
    <xf numFmtId="0" fontId="8" fillId="5" borderId="15" xfId="0" applyFont="1" applyFill="1" applyBorder="1" applyAlignment="1" applyProtection="1">
      <alignment shrinkToFit="1"/>
      <protection hidden="1"/>
    </xf>
    <xf numFmtId="0" fontId="8" fillId="5" borderId="54" xfId="0" applyFont="1" applyFill="1" applyBorder="1" applyAlignment="1" applyProtection="1">
      <alignment horizontal="right" shrinkToFit="1"/>
      <protection hidden="1"/>
    </xf>
    <xf numFmtId="0" fontId="8" fillId="5" borderId="17" xfId="0" applyFont="1" applyFill="1" applyBorder="1" applyAlignment="1" applyProtection="1">
      <alignment shrinkToFit="1"/>
      <protection hidden="1"/>
    </xf>
    <xf numFmtId="0" fontId="8" fillId="5" borderId="120" xfId="0" applyFont="1" applyFill="1" applyBorder="1" applyAlignment="1" applyProtection="1">
      <alignment horizontal="right" shrinkToFit="1"/>
      <protection hidden="1"/>
    </xf>
    <xf numFmtId="0" fontId="8" fillId="5" borderId="19" xfId="0" applyFont="1" applyFill="1" applyBorder="1" applyAlignment="1" applyProtection="1">
      <alignment shrinkToFit="1"/>
      <protection hidden="1"/>
    </xf>
    <xf numFmtId="0" fontId="8" fillId="5" borderId="141" xfId="0" applyFont="1" applyFill="1" applyBorder="1" applyAlignment="1" applyProtection="1">
      <alignment horizontal="right" shrinkToFit="1"/>
      <protection hidden="1"/>
    </xf>
    <xf numFmtId="0" fontId="8" fillId="5" borderId="142" xfId="0" applyFont="1" applyFill="1" applyBorder="1" applyAlignment="1" applyProtection="1">
      <alignment shrinkToFit="1"/>
      <protection hidden="1"/>
    </xf>
    <xf numFmtId="0" fontId="14" fillId="0" borderId="21" xfId="8" applyFont="1" applyFill="1" applyBorder="1" applyAlignment="1" applyProtection="1">
      <alignment horizontal="center"/>
      <protection hidden="1"/>
    </xf>
    <xf numFmtId="0" fontId="14" fillId="0" borderId="22" xfId="8" applyFont="1" applyFill="1" applyBorder="1" applyAlignment="1" applyProtection="1">
      <alignment horizontal="center"/>
      <protection hidden="1"/>
    </xf>
    <xf numFmtId="0" fontId="14" fillId="0" borderId="23" xfId="8" applyFont="1" applyFill="1" applyBorder="1" applyAlignment="1" applyProtection="1">
      <alignment horizontal="center"/>
      <protection hidden="1"/>
    </xf>
    <xf numFmtId="49" fontId="14" fillId="0" borderId="35" xfId="9" applyNumberFormat="1" applyFont="1" applyFill="1" applyBorder="1" applyAlignment="1" applyProtection="1">
      <alignment horizontal="center" vertical="center" shrinkToFit="1"/>
      <protection hidden="1"/>
    </xf>
    <xf numFmtId="49" fontId="8" fillId="0" borderId="125" xfId="9" applyNumberFormat="1" applyFont="1" applyFill="1" applyBorder="1" applyAlignment="1" applyProtection="1">
      <alignment shrinkToFit="1"/>
      <protection locked="0" hidden="1"/>
    </xf>
    <xf numFmtId="49" fontId="8" fillId="0" borderId="84" xfId="9" applyNumberFormat="1" applyFont="1" applyFill="1" applyBorder="1" applyAlignment="1" applyProtection="1">
      <alignment shrinkToFit="1"/>
      <protection locked="0" hidden="1"/>
    </xf>
    <xf numFmtId="49" fontId="8" fillId="0" borderId="126" xfId="9" applyNumberFormat="1" applyFont="1" applyFill="1" applyBorder="1" applyAlignment="1" applyProtection="1">
      <alignment shrinkToFit="1"/>
      <protection locked="0" hidden="1"/>
    </xf>
    <xf numFmtId="49" fontId="8" fillId="0" borderId="4" xfId="8" applyNumberFormat="1" applyFont="1" applyFill="1" applyBorder="1" applyProtection="1">
      <protection locked="0" hidden="1"/>
    </xf>
    <xf numFmtId="49" fontId="8" fillId="0" borderId="15" xfId="8" applyNumberFormat="1" applyFont="1" applyFill="1" applyBorder="1" applyProtection="1">
      <protection locked="0" hidden="1"/>
    </xf>
    <xf numFmtId="0" fontId="8" fillId="0" borderId="0" xfId="8" applyFont="1" applyFill="1" applyProtection="1">
      <protection hidden="1"/>
    </xf>
    <xf numFmtId="0" fontId="14" fillId="0" borderId="0" xfId="8" applyFont="1" applyFill="1" applyAlignment="1" applyProtection="1">
      <alignment horizontal="center"/>
      <protection hidden="1"/>
    </xf>
    <xf numFmtId="49" fontId="14" fillId="0" borderId="0" xfId="8" applyNumberFormat="1" applyFont="1" applyFill="1" applyAlignment="1" applyProtection="1">
      <alignment horizontal="right"/>
      <protection locked="0" hidden="1"/>
    </xf>
    <xf numFmtId="0" fontId="14" fillId="0" borderId="0" xfId="8" applyNumberFormat="1" applyFont="1" applyFill="1" applyAlignment="1" applyProtection="1">
      <alignment horizontal="right"/>
      <protection locked="0" hidden="1"/>
    </xf>
    <xf numFmtId="0" fontId="14" fillId="0" borderId="33" xfId="8" applyFont="1" applyBorder="1" applyAlignment="1" applyProtection="1">
      <alignment horizontal="center" shrinkToFit="1"/>
      <protection hidden="1"/>
    </xf>
    <xf numFmtId="0" fontId="8" fillId="0" borderId="16" xfId="8" applyFont="1" applyFill="1" applyBorder="1" applyAlignment="1" applyProtection="1">
      <protection hidden="1"/>
    </xf>
    <xf numFmtId="49" fontId="14" fillId="0" borderId="41" xfId="8" applyNumberFormat="1" applyFont="1" applyFill="1" applyBorder="1" applyAlignment="1" applyProtection="1">
      <alignment horizontal="center" shrinkToFit="1"/>
      <protection hidden="1"/>
    </xf>
    <xf numFmtId="0" fontId="8" fillId="0" borderId="127" xfId="8" applyFont="1" applyFill="1" applyBorder="1" applyProtection="1">
      <protection hidden="1"/>
    </xf>
    <xf numFmtId="0" fontId="8" fillId="0" borderId="131" xfId="8" applyFont="1" applyFill="1" applyBorder="1" applyProtection="1">
      <protection hidden="1"/>
    </xf>
    <xf numFmtId="0" fontId="8" fillId="0" borderId="132" xfId="8" applyFont="1" applyFill="1" applyBorder="1" applyProtection="1">
      <protection hidden="1"/>
    </xf>
    <xf numFmtId="0" fontId="14" fillId="0" borderId="75" xfId="8" applyFont="1" applyBorder="1" applyAlignment="1" applyProtection="1">
      <alignment horizontal="center" vertical="center" shrinkToFit="1"/>
      <protection hidden="1"/>
    </xf>
    <xf numFmtId="0" fontId="14" fillId="0" borderId="6" xfId="8" applyFont="1" applyFill="1" applyBorder="1" applyAlignment="1" applyProtection="1">
      <alignment horizontal="left" vertical="center" shrinkToFit="1"/>
      <protection locked="0" hidden="1"/>
    </xf>
    <xf numFmtId="0" fontId="14" fillId="0" borderId="6" xfId="8" applyFont="1" applyFill="1" applyBorder="1" applyAlignment="1" applyProtection="1">
      <alignment horizontal="left" vertical="center" shrinkToFit="1"/>
      <protection hidden="1"/>
    </xf>
    <xf numFmtId="0" fontId="14" fillId="0" borderId="14" xfId="8" applyFont="1" applyFill="1" applyBorder="1" applyAlignment="1" applyProtection="1">
      <alignment horizontal="left" vertical="center" shrinkToFit="1"/>
      <protection locked="0" hidden="1"/>
    </xf>
    <xf numFmtId="177" fontId="8" fillId="0" borderId="4" xfId="8" applyNumberFormat="1" applyFont="1" applyFill="1" applyBorder="1" applyProtection="1">
      <protection locked="0" hidden="1"/>
    </xf>
    <xf numFmtId="49" fontId="14" fillId="5" borderId="0" xfId="8" applyNumberFormat="1" applyFont="1" applyFill="1" applyBorder="1" applyAlignment="1" applyProtection="1">
      <alignment shrinkToFit="1"/>
      <protection locked="0" hidden="1"/>
    </xf>
    <xf numFmtId="49" fontId="14" fillId="5" borderId="0" xfId="8" applyNumberFormat="1" applyFont="1" applyFill="1" applyBorder="1" applyAlignment="1" applyProtection="1">
      <alignment horizontal="right"/>
      <protection locked="0" hidden="1"/>
    </xf>
    <xf numFmtId="0" fontId="14" fillId="5" borderId="0" xfId="8" applyNumberFormat="1" applyFont="1" applyFill="1" applyBorder="1" applyAlignment="1" applyProtection="1">
      <alignment horizontal="right"/>
      <protection locked="0" hidden="1"/>
    </xf>
    <xf numFmtId="0" fontId="8" fillId="5" borderId="144" xfId="8" applyFont="1" applyFill="1" applyBorder="1" applyProtection="1">
      <protection hidden="1"/>
    </xf>
    <xf numFmtId="49" fontId="8" fillId="5" borderId="144" xfId="8" applyNumberFormat="1" applyFont="1" applyFill="1" applyBorder="1" applyProtection="1">
      <protection locked="0" hidden="1"/>
    </xf>
    <xf numFmtId="177" fontId="8" fillId="5" borderId="144" xfId="8" applyNumberFormat="1" applyFont="1" applyFill="1" applyBorder="1" applyProtection="1">
      <protection locked="0" hidden="1"/>
    </xf>
    <xf numFmtId="0" fontId="8" fillId="0" borderId="0" xfId="8" applyNumberFormat="1" applyFont="1" applyBorder="1" applyProtection="1">
      <protection hidden="1"/>
    </xf>
    <xf numFmtId="49" fontId="8" fillId="5" borderId="0" xfId="8" applyNumberFormat="1" applyFont="1" applyFill="1" applyBorder="1" applyProtection="1">
      <protection locked="0" hidden="1"/>
    </xf>
    <xf numFmtId="0" fontId="8" fillId="5" borderId="0" xfId="8" applyFont="1" applyFill="1" applyBorder="1" applyProtection="1">
      <protection locked="0" hidden="1"/>
    </xf>
    <xf numFmtId="0" fontId="8" fillId="0" borderId="137" xfId="8" applyNumberFormat="1" applyFont="1" applyFill="1" applyBorder="1" applyAlignment="1" applyProtection="1">
      <alignment horizontal="right" shrinkToFit="1"/>
      <protection locked="0" hidden="1"/>
    </xf>
    <xf numFmtId="0" fontId="8" fillId="0" borderId="43" xfId="8" applyNumberFormat="1" applyFont="1" applyFill="1" applyBorder="1" applyAlignment="1" applyProtection="1">
      <alignment horizontal="right" shrinkToFit="1"/>
      <protection locked="0" hidden="1"/>
    </xf>
    <xf numFmtId="0" fontId="8" fillId="0" borderId="82" xfId="8" applyNumberFormat="1" applyFont="1" applyFill="1" applyBorder="1" applyAlignment="1" applyProtection="1">
      <alignment horizontal="right" shrinkToFit="1"/>
      <protection locked="0" hidden="1"/>
    </xf>
    <xf numFmtId="0" fontId="8" fillId="0" borderId="47" xfId="8" applyNumberFormat="1" applyFont="1" applyFill="1" applyBorder="1" applyAlignment="1" applyProtection="1">
      <alignment horizontal="right" shrinkToFit="1"/>
      <protection locked="0" hidden="1"/>
    </xf>
    <xf numFmtId="0" fontId="8" fillId="0" borderId="83" xfId="8" applyNumberFormat="1" applyFont="1" applyFill="1" applyBorder="1" applyAlignment="1" applyProtection="1">
      <alignment horizontal="right" shrinkToFit="1"/>
      <protection locked="0" hidden="1"/>
    </xf>
    <xf numFmtId="0" fontId="8" fillId="0" borderId="50" xfId="8" applyNumberFormat="1" applyFont="1" applyFill="1" applyBorder="1" applyAlignment="1" applyProtection="1">
      <alignment horizontal="right" shrinkToFit="1"/>
      <protection locked="0" hidden="1"/>
    </xf>
    <xf numFmtId="176" fontId="38" fillId="5" borderId="75" xfId="8" applyNumberFormat="1" applyFont="1" applyFill="1" applyBorder="1" applyAlignment="1" applyProtection="1">
      <alignment horizontal="center" shrinkToFit="1"/>
      <protection hidden="1"/>
    </xf>
    <xf numFmtId="0" fontId="0" fillId="0" borderId="0" xfId="0" applyBorder="1" applyProtection="1">
      <alignment vertical="center"/>
      <protection hidden="1"/>
    </xf>
    <xf numFmtId="0" fontId="14" fillId="5" borderId="0" xfId="8" applyFont="1" applyFill="1" applyBorder="1" applyProtection="1">
      <protection hidden="1"/>
    </xf>
    <xf numFmtId="0" fontId="14" fillId="5" borderId="0" xfId="8" applyFont="1" applyFill="1" applyBorder="1" applyAlignment="1" applyProtection="1">
      <alignment horizontal="right"/>
      <protection hidden="1"/>
    </xf>
    <xf numFmtId="0" fontId="8" fillId="5" borderId="0" xfId="8" applyFont="1" applyFill="1" applyBorder="1" applyAlignment="1" applyProtection="1">
      <alignment horizontal="right" shrinkToFit="1"/>
      <protection hidden="1"/>
    </xf>
    <xf numFmtId="0" fontId="8" fillId="5" borderId="0" xfId="8" applyNumberFormat="1" applyFont="1" applyFill="1" applyBorder="1" applyProtection="1">
      <protection hidden="1"/>
    </xf>
    <xf numFmtId="0" fontId="0" fillId="5" borderId="0" xfId="0" applyFill="1" applyBorder="1" applyProtection="1">
      <alignment vertical="center"/>
      <protection hidden="1"/>
    </xf>
    <xf numFmtId="0" fontId="14" fillId="10" borderId="98" xfId="8" applyFont="1" applyFill="1" applyBorder="1" applyAlignment="1" applyProtection="1">
      <alignment horizontal="center" shrinkToFit="1"/>
      <protection hidden="1"/>
    </xf>
    <xf numFmtId="0" fontId="14" fillId="5" borderId="120" xfId="8" applyFont="1" applyFill="1" applyBorder="1" applyAlignment="1" applyProtection="1">
      <alignment horizontal="right"/>
      <protection hidden="1"/>
    </xf>
    <xf numFmtId="49" fontId="14" fillId="5" borderId="19" xfId="8" applyNumberFormat="1" applyFont="1" applyFill="1" applyBorder="1" applyAlignment="1" applyProtection="1">
      <alignment horizontal="right" shrinkToFit="1"/>
      <protection hidden="1"/>
    </xf>
    <xf numFmtId="0" fontId="14" fillId="5" borderId="53" xfId="8" applyFont="1" applyFill="1" applyBorder="1" applyAlignment="1" applyProtection="1">
      <alignment horizontal="right"/>
      <protection hidden="1"/>
    </xf>
    <xf numFmtId="49" fontId="14" fillId="5" borderId="15" xfId="8" applyNumberFormat="1" applyFont="1" applyFill="1" applyBorder="1" applyAlignment="1" applyProtection="1">
      <alignment horizontal="right" shrinkToFit="1"/>
      <protection hidden="1"/>
    </xf>
    <xf numFmtId="0" fontId="14" fillId="5" borderId="98" xfId="8" applyFont="1" applyFill="1" applyBorder="1" applyAlignment="1" applyProtection="1">
      <alignment horizontal="right" shrinkToFit="1"/>
      <protection hidden="1"/>
    </xf>
    <xf numFmtId="49" fontId="14" fillId="5" borderId="138" xfId="8" applyNumberFormat="1" applyFont="1" applyFill="1" applyBorder="1" applyAlignment="1" applyProtection="1">
      <alignment horizontal="right" shrinkToFit="1"/>
      <protection hidden="1"/>
    </xf>
    <xf numFmtId="0" fontId="14" fillId="5" borderId="54" xfId="8" applyFont="1" applyFill="1" applyBorder="1" applyAlignment="1" applyProtection="1">
      <alignment horizontal="right"/>
      <protection hidden="1"/>
    </xf>
    <xf numFmtId="0" fontId="14" fillId="5" borderId="98" xfId="8" applyFont="1" applyFill="1" applyBorder="1" applyAlignment="1" applyProtection="1">
      <alignment horizontal="right"/>
      <protection hidden="1"/>
    </xf>
    <xf numFmtId="0" fontId="14" fillId="5" borderId="15" xfId="8" applyFont="1" applyFill="1" applyBorder="1" applyAlignment="1" applyProtection="1">
      <alignment horizontal="right" shrinkToFit="1"/>
      <protection hidden="1"/>
    </xf>
    <xf numFmtId="0" fontId="14" fillId="5" borderId="138" xfId="8" applyFont="1" applyFill="1" applyBorder="1" applyAlignment="1" applyProtection="1">
      <alignment horizontal="right" shrinkToFit="1"/>
      <protection hidden="1"/>
    </xf>
    <xf numFmtId="0" fontId="14" fillId="5" borderId="17" xfId="8" applyFont="1" applyFill="1" applyBorder="1" applyAlignment="1" applyProtection="1">
      <alignment horizontal="right" shrinkToFit="1"/>
      <protection hidden="1"/>
    </xf>
    <xf numFmtId="177" fontId="14" fillId="5" borderId="0" xfId="8" applyNumberFormat="1" applyFont="1" applyFill="1" applyBorder="1" applyProtection="1">
      <protection hidden="1"/>
    </xf>
    <xf numFmtId="49" fontId="36" fillId="0" borderId="30" xfId="0" applyNumberFormat="1" applyFont="1" applyFill="1" applyBorder="1" applyAlignment="1" applyProtection="1">
      <alignment horizontal="left" vertical="center"/>
      <protection locked="0" hidden="1"/>
    </xf>
    <xf numFmtId="0" fontId="7" fillId="5" borderId="75" xfId="6" applyFont="1" applyFill="1" applyBorder="1" applyAlignment="1" applyProtection="1">
      <alignment horizontal="center" vertical="center" shrinkToFit="1"/>
      <protection locked="0" hidden="1"/>
    </xf>
    <xf numFmtId="0" fontId="42" fillId="5" borderId="30" xfId="6" applyFont="1" applyFill="1" applyBorder="1" applyAlignment="1">
      <alignment horizontal="left" vertical="center"/>
    </xf>
    <xf numFmtId="0" fontId="6" fillId="5" borderId="0" xfId="6" applyFont="1" applyFill="1" applyBorder="1" applyAlignment="1">
      <alignment vertical="center"/>
    </xf>
    <xf numFmtId="0" fontId="6" fillId="5" borderId="0" xfId="6" applyFont="1" applyFill="1" applyBorder="1" applyAlignment="1" applyProtection="1">
      <alignment vertical="center"/>
      <protection hidden="1"/>
    </xf>
    <xf numFmtId="0" fontId="0" fillId="5" borderId="0" xfId="0" applyFill="1" applyAlignment="1">
      <alignment vertical="center"/>
    </xf>
    <xf numFmtId="0" fontId="6" fillId="5" borderId="0" xfId="6" applyFont="1" applyFill="1" applyBorder="1" applyAlignment="1" applyProtection="1">
      <alignment vertical="center"/>
      <protection locked="0"/>
    </xf>
    <xf numFmtId="0" fontId="83" fillId="5" borderId="75" xfId="6" applyFont="1" applyFill="1" applyBorder="1" applyAlignment="1">
      <alignment horizontal="left" vertical="center"/>
    </xf>
    <xf numFmtId="0" fontId="6" fillId="11" borderId="51" xfId="6" applyFont="1" applyFill="1" applyBorder="1" applyAlignment="1">
      <alignment horizontal="center" vertical="center"/>
    </xf>
    <xf numFmtId="0" fontId="6" fillId="11" borderId="54" xfId="6" applyFont="1" applyFill="1" applyBorder="1" applyAlignment="1">
      <alignment horizontal="center" vertical="center"/>
    </xf>
    <xf numFmtId="180" fontId="38" fillId="5" borderId="0" xfId="8" applyNumberFormat="1" applyFont="1" applyFill="1" applyBorder="1" applyAlignment="1" applyProtection="1">
      <alignment shrinkToFit="1"/>
      <protection hidden="1"/>
    </xf>
    <xf numFmtId="177" fontId="14" fillId="0" borderId="19" xfId="8" applyNumberFormat="1" applyFont="1" applyFill="1" applyBorder="1" applyAlignment="1" applyProtection="1">
      <alignment horizontal="center"/>
      <protection hidden="1"/>
    </xf>
    <xf numFmtId="177" fontId="14" fillId="0" borderId="15" xfId="8" applyNumberFormat="1" applyFont="1" applyFill="1" applyBorder="1" applyAlignment="1" applyProtection="1">
      <alignment horizontal="center"/>
      <protection hidden="1"/>
    </xf>
    <xf numFmtId="177" fontId="14" fillId="0" borderId="138" xfId="8" applyNumberFormat="1" applyFont="1" applyFill="1" applyBorder="1" applyAlignment="1" applyProtection="1">
      <alignment horizontal="center"/>
      <protection hidden="1"/>
    </xf>
    <xf numFmtId="177" fontId="14" fillId="0" borderId="17" xfId="8" applyNumberFormat="1" applyFont="1" applyFill="1" applyBorder="1" applyAlignment="1" applyProtection="1">
      <alignment horizontal="center"/>
      <protection hidden="1"/>
    </xf>
    <xf numFmtId="0" fontId="82" fillId="2" borderId="0" xfId="3" applyFont="1" applyFill="1">
      <alignment vertical="center"/>
    </xf>
    <xf numFmtId="0" fontId="38" fillId="2" borderId="0" xfId="3" applyFont="1" applyFill="1">
      <alignment vertical="center"/>
    </xf>
    <xf numFmtId="0" fontId="44" fillId="2" borderId="0" xfId="3" applyFont="1" applyFill="1">
      <alignment vertical="center"/>
    </xf>
    <xf numFmtId="0" fontId="44" fillId="2" borderId="0" xfId="3" applyFill="1">
      <alignment vertical="center"/>
    </xf>
    <xf numFmtId="0" fontId="8" fillId="5" borderId="0" xfId="8" applyFont="1" applyFill="1" applyAlignment="1" applyProtection="1">
      <alignment vertical="center" wrapText="1"/>
      <protection hidden="1"/>
    </xf>
    <xf numFmtId="0" fontId="8" fillId="5" borderId="75" xfId="8" applyFont="1" applyFill="1" applyBorder="1" applyAlignment="1" applyProtection="1">
      <alignment vertical="center" wrapText="1"/>
      <protection hidden="1"/>
    </xf>
    <xf numFmtId="0" fontId="6" fillId="0" borderId="0" xfId="6" applyNumberFormat="1" applyFont="1" applyFill="1" applyBorder="1" applyAlignment="1">
      <alignment horizontal="center" vertical="center"/>
    </xf>
    <xf numFmtId="0" fontId="8" fillId="0" borderId="6" xfId="0" applyFont="1" applyBorder="1" applyAlignment="1" applyProtection="1">
      <alignment horizontal="center"/>
      <protection hidden="1"/>
    </xf>
    <xf numFmtId="0" fontId="8" fillId="0" borderId="6" xfId="0" applyFont="1" applyBorder="1" applyAlignment="1" applyProtection="1">
      <alignment horizontal="right"/>
      <protection hidden="1"/>
    </xf>
    <xf numFmtId="0" fontId="8" fillId="0" borderId="4" xfId="0" applyFont="1" applyBorder="1" applyAlignment="1" applyProtection="1">
      <alignment horizontal="center"/>
      <protection hidden="1"/>
    </xf>
    <xf numFmtId="0" fontId="8" fillId="0" borderId="4" xfId="0" applyFont="1" applyBorder="1" applyAlignment="1" applyProtection="1">
      <alignment horizontal="right"/>
      <protection hidden="1"/>
    </xf>
    <xf numFmtId="0" fontId="8" fillId="0" borderId="16" xfId="0" applyFont="1" applyBorder="1" applyAlignment="1" applyProtection="1">
      <alignment horizontal="center"/>
      <protection hidden="1"/>
    </xf>
    <xf numFmtId="0" fontId="8" fillId="0" borderId="16" xfId="0" applyFont="1" applyBorder="1" applyAlignment="1" applyProtection="1">
      <alignment horizontal="right"/>
      <protection hidden="1"/>
    </xf>
    <xf numFmtId="0" fontId="8" fillId="0" borderId="6" xfId="0" applyFont="1" applyFill="1" applyBorder="1" applyAlignment="1" applyProtection="1">
      <alignment horizontal="right"/>
      <protection hidden="1"/>
    </xf>
    <xf numFmtId="0" fontId="8" fillId="0" borderId="4" xfId="0" applyFont="1" applyFill="1" applyBorder="1" applyAlignment="1" applyProtection="1">
      <alignment horizontal="right"/>
      <protection hidden="1"/>
    </xf>
    <xf numFmtId="0" fontId="8" fillId="0" borderId="16" xfId="0" applyFont="1" applyFill="1" applyBorder="1" applyAlignment="1" applyProtection="1">
      <alignment horizontal="right"/>
      <protection hidden="1"/>
    </xf>
    <xf numFmtId="0" fontId="8" fillId="0" borderId="133" xfId="0" applyNumberFormat="1" applyFont="1" applyBorder="1" applyAlignment="1" applyProtection="1">
      <alignment horizontal="center" vertical="center"/>
      <protection hidden="1"/>
    </xf>
    <xf numFmtId="0" fontId="8" fillId="0" borderId="134" xfId="0" applyNumberFormat="1" applyFont="1" applyBorder="1" applyAlignment="1" applyProtection="1">
      <alignment horizontal="center" vertical="center"/>
      <protection hidden="1"/>
    </xf>
    <xf numFmtId="0" fontId="8" fillId="0" borderId="135" xfId="0" applyNumberFormat="1" applyFont="1" applyBorder="1" applyAlignment="1" applyProtection="1">
      <alignment horizontal="center" vertical="center"/>
      <protection hidden="1"/>
    </xf>
    <xf numFmtId="0" fontId="8" fillId="0" borderId="6" xfId="0" applyNumberFormat="1" applyFont="1" applyFill="1" applyBorder="1" applyAlignment="1" applyProtection="1">
      <alignment horizontal="right" vertical="center"/>
      <protection hidden="1"/>
    </xf>
    <xf numFmtId="0" fontId="8" fillId="0" borderId="6" xfId="0" applyFont="1" applyFill="1" applyBorder="1" applyAlignment="1" applyProtection="1">
      <alignment horizontal="right" vertical="center"/>
      <protection hidden="1"/>
    </xf>
    <xf numFmtId="0" fontId="8" fillId="0" borderId="4" xfId="0" applyNumberFormat="1" applyFont="1" applyFill="1" applyBorder="1" applyAlignment="1" applyProtection="1">
      <alignment horizontal="right" vertical="center"/>
      <protection hidden="1"/>
    </xf>
    <xf numFmtId="0" fontId="8" fillId="0" borderId="4" xfId="0" applyFont="1" applyFill="1" applyBorder="1" applyAlignment="1" applyProtection="1">
      <alignment horizontal="right" vertical="center"/>
      <protection hidden="1"/>
    </xf>
    <xf numFmtId="0" fontId="8" fillId="0" borderId="16" xfId="0" applyNumberFormat="1" applyFont="1" applyFill="1" applyBorder="1" applyAlignment="1" applyProtection="1">
      <alignment horizontal="right" vertical="center"/>
      <protection hidden="1"/>
    </xf>
    <xf numFmtId="0" fontId="8" fillId="0" borderId="16" xfId="0" applyFont="1" applyFill="1" applyBorder="1" applyAlignment="1" applyProtection="1">
      <alignment horizontal="right" vertical="center"/>
      <protection hidden="1"/>
    </xf>
    <xf numFmtId="0" fontId="6" fillId="11" borderId="129" xfId="0" applyFont="1" applyFill="1" applyBorder="1" applyAlignment="1" applyProtection="1">
      <alignment horizontal="center" vertical="center" shrinkToFit="1"/>
      <protection locked="0" hidden="1"/>
    </xf>
    <xf numFmtId="0" fontId="6" fillId="11" borderId="148" xfId="0" applyFont="1" applyFill="1" applyBorder="1" applyAlignment="1" applyProtection="1">
      <alignment vertical="center" shrinkToFit="1"/>
      <protection locked="0" hidden="1"/>
    </xf>
    <xf numFmtId="0" fontId="6" fillId="0" borderId="0" xfId="6" applyFont="1" applyFill="1" applyBorder="1" applyAlignment="1">
      <alignment horizontal="left" vertical="center"/>
    </xf>
    <xf numFmtId="49" fontId="6" fillId="0" borderId="0" xfId="6" applyNumberFormat="1" applyFont="1" applyFill="1" applyBorder="1" applyAlignment="1">
      <alignment horizontal="left" vertical="center"/>
    </xf>
    <xf numFmtId="0" fontId="50" fillId="0" borderId="25" xfId="14" applyFont="1" applyFill="1" applyBorder="1" applyAlignment="1" applyProtection="1">
      <protection hidden="1"/>
    </xf>
    <xf numFmtId="49" fontId="14" fillId="0" borderId="25" xfId="0" applyNumberFormat="1" applyFont="1" applyBorder="1" applyProtection="1">
      <alignment vertical="center"/>
      <protection hidden="1"/>
    </xf>
    <xf numFmtId="0" fontId="8" fillId="4" borderId="145" xfId="8" applyFont="1" applyFill="1" applyBorder="1" applyAlignment="1" applyProtection="1">
      <alignment horizontal="center"/>
      <protection hidden="1"/>
    </xf>
    <xf numFmtId="0" fontId="8" fillId="4" borderId="147" xfId="8" applyFont="1" applyFill="1" applyBorder="1" applyAlignment="1" applyProtection="1">
      <alignment horizontal="center"/>
      <protection locked="0" hidden="1"/>
    </xf>
    <xf numFmtId="0" fontId="8" fillId="4" borderId="149" xfId="8" applyFont="1" applyFill="1" applyBorder="1" applyAlignment="1" applyProtection="1">
      <alignment horizontal="center"/>
      <protection hidden="1"/>
    </xf>
    <xf numFmtId="0" fontId="8" fillId="4" borderId="143" xfId="8" applyFont="1" applyFill="1" applyBorder="1" applyAlignment="1" applyProtection="1">
      <alignment horizontal="center"/>
      <protection locked="0" hidden="1"/>
    </xf>
    <xf numFmtId="0" fontId="8" fillId="0" borderId="0" xfId="0" applyNumberFormat="1" applyFont="1" applyBorder="1" applyAlignment="1">
      <alignment horizontal="left"/>
    </xf>
    <xf numFmtId="49" fontId="8" fillId="0" borderId="0" xfId="0" applyNumberFormat="1" applyFont="1" applyBorder="1" applyAlignment="1">
      <alignment horizontal="left"/>
    </xf>
    <xf numFmtId="177" fontId="14" fillId="8" borderId="4" xfId="2" applyNumberFormat="1" applyFont="1" applyFill="1" applyBorder="1" applyAlignment="1" applyProtection="1">
      <alignment horizontal="right" vertical="center"/>
      <protection locked="0" hidden="1"/>
    </xf>
    <xf numFmtId="0" fontId="14" fillId="8" borderId="4" xfId="2" applyFont="1" applyFill="1" applyBorder="1" applyAlignment="1" applyProtection="1">
      <alignment horizontal="left" vertical="center" shrinkToFit="1"/>
      <protection locked="0" hidden="1"/>
    </xf>
    <xf numFmtId="1" fontId="14" fillId="8" borderId="4" xfId="2" applyNumberFormat="1" applyFont="1" applyFill="1" applyBorder="1" applyAlignment="1" applyProtection="1">
      <alignment horizontal="center" vertical="center"/>
      <protection locked="0" hidden="1"/>
    </xf>
    <xf numFmtId="178" fontId="14" fillId="8" borderId="4" xfId="2" applyNumberFormat="1" applyFont="1" applyFill="1" applyBorder="1" applyAlignment="1" applyProtection="1">
      <alignment horizontal="center" vertical="center"/>
      <protection locked="0" hidden="1"/>
    </xf>
    <xf numFmtId="0" fontId="14" fillId="8" borderId="18" xfId="2" applyFont="1" applyFill="1" applyBorder="1" applyAlignment="1" applyProtection="1">
      <alignment horizontal="left" vertical="center" shrinkToFit="1"/>
      <protection locked="0" hidden="1"/>
    </xf>
    <xf numFmtId="1" fontId="14" fillId="8" borderId="18" xfId="2" applyNumberFormat="1" applyFont="1" applyFill="1" applyBorder="1" applyAlignment="1" applyProtection="1">
      <alignment horizontal="center" vertical="center"/>
      <protection locked="0" hidden="1"/>
    </xf>
    <xf numFmtId="178" fontId="14" fillId="8" borderId="18" xfId="2" applyNumberFormat="1" applyFont="1" applyFill="1" applyBorder="1" applyAlignment="1" applyProtection="1">
      <alignment horizontal="center" vertical="center"/>
      <protection locked="0" hidden="1"/>
    </xf>
    <xf numFmtId="0" fontId="14" fillId="8" borderId="4" xfId="2" applyFont="1" applyFill="1" applyBorder="1" applyAlignment="1" applyProtection="1">
      <alignment vertical="center" shrinkToFit="1"/>
      <protection locked="0" hidden="1"/>
    </xf>
    <xf numFmtId="0" fontId="14" fillId="8" borderId="4" xfId="2" applyFont="1" applyFill="1" applyBorder="1" applyProtection="1">
      <alignment vertical="center"/>
      <protection locked="0" hidden="1"/>
    </xf>
    <xf numFmtId="0" fontId="14" fillId="12" borderId="4" xfId="2" applyFont="1" applyFill="1" applyBorder="1" applyProtection="1">
      <alignment vertical="center"/>
      <protection locked="0" hidden="1"/>
    </xf>
    <xf numFmtId="177" fontId="14" fillId="12" borderId="4" xfId="2" applyNumberFormat="1" applyFont="1" applyFill="1" applyBorder="1" applyAlignment="1" applyProtection="1">
      <alignment horizontal="right" vertical="center"/>
      <protection locked="0" hidden="1"/>
    </xf>
    <xf numFmtId="0" fontId="14" fillId="12" borderId="4" xfId="2" applyFont="1" applyFill="1" applyBorder="1" applyAlignment="1" applyProtection="1">
      <alignment horizontal="left" vertical="center" shrinkToFit="1"/>
      <protection locked="0" hidden="1"/>
    </xf>
    <xf numFmtId="1" fontId="14" fillId="12" borderId="4" xfId="2" applyNumberFormat="1" applyFont="1" applyFill="1" applyBorder="1" applyAlignment="1" applyProtection="1">
      <alignment horizontal="center" vertical="center"/>
      <protection locked="0" hidden="1"/>
    </xf>
    <xf numFmtId="178" fontId="14" fillId="12" borderId="4" xfId="2" applyNumberFormat="1" applyFont="1" applyFill="1" applyBorder="1" applyAlignment="1" applyProtection="1">
      <alignment horizontal="center" vertical="center"/>
      <protection locked="0" hidden="1"/>
    </xf>
    <xf numFmtId="49" fontId="8" fillId="0" borderId="150" xfId="12" applyNumberFormat="1" applyFont="1" applyFill="1" applyBorder="1" applyAlignment="1" applyProtection="1">
      <alignment horizontal="right"/>
      <protection locked="0" hidden="1"/>
    </xf>
    <xf numFmtId="0" fontId="86" fillId="0" borderId="151" xfId="0" quotePrefix="1" applyFont="1" applyFill="1" applyBorder="1" applyAlignment="1" applyProtection="1">
      <alignment horizontal="centerContinuous" vertical="center" shrinkToFit="1"/>
      <protection hidden="1"/>
    </xf>
    <xf numFmtId="0" fontId="87" fillId="0" borderId="152" xfId="0" applyFont="1" applyBorder="1" applyAlignment="1" applyProtection="1">
      <alignment horizontal="distributed" vertical="center" justifyLastLine="1"/>
      <protection hidden="1"/>
    </xf>
    <xf numFmtId="0" fontId="89" fillId="0" borderId="151" xfId="0" applyFont="1" applyBorder="1" applyAlignment="1" applyProtection="1">
      <alignment horizontal="center" vertical="center" wrapText="1"/>
      <protection hidden="1"/>
    </xf>
    <xf numFmtId="0" fontId="89" fillId="0" borderId="151" xfId="0" applyFont="1" applyBorder="1" applyAlignment="1" applyProtection="1">
      <alignment vertical="center" wrapText="1"/>
      <protection hidden="1"/>
    </xf>
    <xf numFmtId="0" fontId="87" fillId="5" borderId="153" xfId="0" applyFont="1" applyFill="1" applyBorder="1" applyAlignment="1" applyProtection="1">
      <alignment vertical="center"/>
      <protection hidden="1"/>
    </xf>
    <xf numFmtId="0" fontId="6" fillId="0" borderId="0" xfId="6" applyFont="1" applyFill="1" applyBorder="1" applyAlignment="1">
      <alignment horizontal="right" vertical="center"/>
    </xf>
    <xf numFmtId="0" fontId="15" fillId="0" borderId="33" xfId="0" applyFont="1" applyBorder="1" applyAlignment="1">
      <alignment horizontal="center" shrinkToFit="1"/>
    </xf>
    <xf numFmtId="0" fontId="15" fillId="0" borderId="0" xfId="0" applyNumberFormat="1" applyFont="1" applyBorder="1" applyAlignment="1">
      <alignment horizontal="left"/>
    </xf>
    <xf numFmtId="0" fontId="14" fillId="0" borderId="0" xfId="9" applyFont="1" applyAlignment="1"/>
    <xf numFmtId="0" fontId="15" fillId="0" borderId="0" xfId="0" applyNumberFormat="1" applyFont="1" applyBorder="1" applyAlignment="1"/>
    <xf numFmtId="0" fontId="14" fillId="0" borderId="0" xfId="9" applyFont="1" applyAlignment="1" applyProtection="1">
      <protection hidden="1"/>
    </xf>
    <xf numFmtId="0" fontId="14" fillId="0" borderId="0" xfId="0" applyNumberFormat="1" applyFont="1" applyBorder="1" applyAlignment="1">
      <alignment horizontal="left"/>
    </xf>
    <xf numFmtId="1" fontId="8" fillId="0" borderId="6" xfId="9" applyNumberFormat="1" applyFont="1" applyFill="1" applyBorder="1" applyAlignment="1" applyProtection="1">
      <alignment horizontal="center"/>
      <protection hidden="1"/>
    </xf>
    <xf numFmtId="1" fontId="8" fillId="0" borderId="4" xfId="9" applyNumberFormat="1" applyFont="1" applyFill="1" applyBorder="1" applyAlignment="1" applyProtection="1">
      <alignment horizontal="center"/>
      <protection hidden="1"/>
    </xf>
    <xf numFmtId="1" fontId="8" fillId="0" borderId="16" xfId="9" applyNumberFormat="1" applyFont="1" applyFill="1" applyBorder="1" applyAlignment="1" applyProtection="1">
      <alignment horizontal="center"/>
      <protection hidden="1"/>
    </xf>
    <xf numFmtId="0" fontId="6" fillId="5" borderId="0" xfId="6" applyNumberFormat="1" applyFont="1" applyFill="1" applyBorder="1" applyAlignment="1">
      <alignment horizontal="right" vertical="center"/>
    </xf>
    <xf numFmtId="0" fontId="86" fillId="0" borderId="154" xfId="0" applyFont="1" applyFill="1" applyBorder="1" applyAlignment="1" applyProtection="1">
      <alignment horizontal="distributed" vertical="center" justifyLastLine="1"/>
      <protection hidden="1"/>
    </xf>
    <xf numFmtId="0" fontId="88" fillId="0" borderId="154" xfId="0" applyFont="1" applyBorder="1" applyAlignment="1" applyProtection="1">
      <alignment horizontal="distributed" justifyLastLine="1"/>
      <protection hidden="1"/>
    </xf>
    <xf numFmtId="0" fontId="14" fillId="11" borderId="137" xfId="2" applyFont="1" applyFill="1" applyBorder="1" applyAlignment="1" applyProtection="1">
      <alignment horizontal="center" vertical="center"/>
      <protection locked="0" hidden="1"/>
    </xf>
    <xf numFmtId="0" fontId="14" fillId="11" borderId="82" xfId="2" applyFont="1" applyFill="1" applyBorder="1" applyAlignment="1" applyProtection="1">
      <alignment horizontal="center" vertical="center"/>
      <protection locked="0" hidden="1"/>
    </xf>
    <xf numFmtId="0" fontId="14" fillId="11" borderId="83" xfId="2" applyFont="1" applyFill="1" applyBorder="1" applyAlignment="1" applyProtection="1">
      <alignment horizontal="center" vertical="center"/>
      <protection locked="0" hidden="1"/>
    </xf>
    <xf numFmtId="0" fontId="74" fillId="0" borderId="104" xfId="0" applyFont="1" applyFill="1" applyBorder="1" applyAlignment="1" applyProtection="1">
      <alignment vertical="center" shrinkToFit="1"/>
      <protection locked="0" hidden="1"/>
    </xf>
    <xf numFmtId="0" fontId="74" fillId="0" borderId="2" xfId="0" applyFont="1" applyFill="1" applyBorder="1" applyAlignment="1" applyProtection="1">
      <alignment vertical="center" shrinkToFit="1"/>
      <protection locked="0" hidden="1"/>
    </xf>
    <xf numFmtId="0" fontId="74" fillId="0" borderId="3" xfId="0" applyFont="1" applyFill="1" applyBorder="1" applyAlignment="1" applyProtection="1">
      <alignment horizontal="center" vertical="center"/>
      <protection locked="0" hidden="1"/>
    </xf>
    <xf numFmtId="0" fontId="60" fillId="5" borderId="68" xfId="7" applyFont="1" applyFill="1" applyBorder="1" applyAlignment="1" applyProtection="1">
      <alignment horizontal="left" vertical="center" shrinkToFit="1"/>
      <protection hidden="1"/>
    </xf>
    <xf numFmtId="0" fontId="60" fillId="5" borderId="69" xfId="7" applyFont="1" applyFill="1" applyBorder="1" applyAlignment="1" applyProtection="1">
      <alignment horizontal="left" vertical="center" shrinkToFit="1"/>
      <protection hidden="1"/>
    </xf>
    <xf numFmtId="0" fontId="60" fillId="5" borderId="155" xfId="7" applyFont="1" applyFill="1" applyBorder="1" applyAlignment="1" applyProtection="1">
      <alignment horizontal="left" vertical="center"/>
      <protection hidden="1"/>
    </xf>
    <xf numFmtId="0" fontId="60" fillId="5" borderId="71" xfId="7" applyFont="1" applyFill="1" applyBorder="1" applyAlignment="1" applyProtection="1">
      <alignment horizontal="left" vertical="center" shrinkToFit="1"/>
      <protection hidden="1"/>
    </xf>
    <xf numFmtId="0" fontId="60" fillId="5" borderId="156" xfId="7" applyFont="1" applyFill="1" applyBorder="1" applyAlignment="1" applyProtection="1">
      <alignment horizontal="center" vertical="center"/>
      <protection hidden="1"/>
    </xf>
    <xf numFmtId="0" fontId="60" fillId="5" borderId="71" xfId="7" applyFont="1" applyFill="1" applyBorder="1" applyAlignment="1" applyProtection="1">
      <alignment horizontal="left" vertical="center"/>
      <protection hidden="1"/>
    </xf>
    <xf numFmtId="0" fontId="90" fillId="5" borderId="0" xfId="0" applyFont="1" applyFill="1">
      <alignment vertical="center"/>
    </xf>
    <xf numFmtId="49" fontId="83" fillId="5" borderId="30" xfId="6" applyNumberFormat="1" applyFont="1" applyFill="1" applyBorder="1" applyAlignment="1" applyProtection="1">
      <alignment horizontal="left" vertical="center" shrinkToFit="1"/>
      <protection locked="0" hidden="1"/>
    </xf>
    <xf numFmtId="49" fontId="87" fillId="0" borderId="157" xfId="0" applyNumberFormat="1" applyFont="1" applyBorder="1" applyAlignment="1" applyProtection="1">
      <alignment horizontal="centerContinuous" vertical="center" shrinkToFit="1"/>
      <protection hidden="1"/>
    </xf>
    <xf numFmtId="49" fontId="87" fillId="0" borderId="157" xfId="0" applyNumberFormat="1" applyFont="1" applyBorder="1" applyAlignment="1" applyProtection="1">
      <alignment horizontal="distributed" vertical="center" justifyLastLine="1"/>
      <protection hidden="1"/>
    </xf>
    <xf numFmtId="49" fontId="87" fillId="0" borderId="158" xfId="0" applyNumberFormat="1" applyFont="1" applyBorder="1" applyAlignment="1" applyProtection="1">
      <alignment horizontal="distributed" vertical="center" justifyLastLine="1"/>
      <protection hidden="1"/>
    </xf>
    <xf numFmtId="49" fontId="7" fillId="0" borderId="0" xfId="0" applyNumberFormat="1" applyFont="1" applyFill="1" applyAlignment="1">
      <alignment horizontal="distributed" vertical="center"/>
    </xf>
    <xf numFmtId="0" fontId="84" fillId="5" borderId="0" xfId="6" applyFont="1" applyFill="1" applyBorder="1" applyAlignment="1">
      <alignment vertical="center" shrinkToFit="1"/>
    </xf>
    <xf numFmtId="49" fontId="83" fillId="0" borderId="159" xfId="0" applyNumberFormat="1" applyFont="1" applyFill="1" applyBorder="1" applyAlignment="1" applyProtection="1">
      <alignment horizontal="center" vertical="center" shrinkToFit="1"/>
      <protection locked="0" hidden="1"/>
    </xf>
    <xf numFmtId="0" fontId="0" fillId="0" borderId="90" xfId="0" applyBorder="1" applyAlignment="1">
      <alignment horizontal="left" vertical="center"/>
    </xf>
    <xf numFmtId="0" fontId="0" fillId="0" borderId="92" xfId="0" applyBorder="1">
      <alignment vertical="center"/>
    </xf>
    <xf numFmtId="0" fontId="8" fillId="5" borderId="0" xfId="8" applyFont="1" applyFill="1" applyProtection="1">
      <protection hidden="1"/>
    </xf>
    <xf numFmtId="0" fontId="8" fillId="5" borderId="0" xfId="8" applyNumberFormat="1" applyFont="1" applyFill="1" applyProtection="1">
      <protection hidden="1"/>
    </xf>
    <xf numFmtId="49" fontId="8" fillId="0" borderId="0" xfId="8" applyNumberFormat="1" applyFont="1" applyFill="1" applyProtection="1">
      <protection hidden="1"/>
    </xf>
    <xf numFmtId="0" fontId="8" fillId="0" borderId="0" xfId="0" applyFont="1" applyFill="1" applyProtection="1">
      <alignment vertical="center"/>
      <protection hidden="1"/>
    </xf>
    <xf numFmtId="0" fontId="8" fillId="0" borderId="0" xfId="8" applyFont="1" applyFill="1" applyProtection="1">
      <protection locked="0" hidden="1"/>
    </xf>
    <xf numFmtId="0" fontId="8" fillId="0" borderId="0" xfId="8" applyNumberFormat="1" applyFont="1" applyFill="1" applyProtection="1">
      <protection hidden="1"/>
    </xf>
    <xf numFmtId="0" fontId="8" fillId="5" borderId="0" xfId="0" applyFont="1" applyFill="1" applyBorder="1" applyAlignment="1" applyProtection="1">
      <protection hidden="1"/>
    </xf>
    <xf numFmtId="0" fontId="8" fillId="5" borderId="0" xfId="8" applyFont="1" applyFill="1" applyBorder="1" applyAlignment="1" applyProtection="1">
      <protection hidden="1"/>
    </xf>
    <xf numFmtId="0" fontId="78" fillId="5" borderId="0" xfId="0" applyFont="1" applyFill="1" applyProtection="1">
      <alignment vertical="center"/>
      <protection hidden="1"/>
    </xf>
    <xf numFmtId="0" fontId="74" fillId="5" borderId="0" xfId="0" applyFont="1" applyFill="1">
      <alignment vertical="center"/>
    </xf>
    <xf numFmtId="0" fontId="0" fillId="5" borderId="0" xfId="0" applyFill="1" applyBorder="1" applyAlignment="1" applyProtection="1">
      <alignment vertical="center" shrinkToFit="1"/>
      <protection hidden="1"/>
    </xf>
    <xf numFmtId="0" fontId="0" fillId="5" borderId="0" xfId="0" applyFill="1" applyBorder="1" applyAlignment="1" applyProtection="1">
      <alignment horizontal="center" vertical="center"/>
      <protection hidden="1"/>
    </xf>
    <xf numFmtId="0" fontId="12" fillId="4" borderId="0" xfId="0" applyFont="1" applyFill="1" applyBorder="1" applyAlignment="1" applyProtection="1">
      <alignment horizontal="center" vertical="center"/>
      <protection locked="0" hidden="1"/>
    </xf>
    <xf numFmtId="0" fontId="0" fillId="5" borderId="159" xfId="0" applyFill="1" applyBorder="1" applyAlignment="1" applyProtection="1">
      <alignment horizontal="center" vertical="center"/>
      <protection hidden="1"/>
    </xf>
    <xf numFmtId="0" fontId="0" fillId="0" borderId="159" xfId="0" applyFill="1" applyBorder="1" applyProtection="1">
      <alignment vertical="center"/>
      <protection locked="0" hidden="1"/>
    </xf>
    <xf numFmtId="49" fontId="10" fillId="0" borderId="6" xfId="9" applyNumberFormat="1" applyFont="1" applyFill="1" applyBorder="1" applyAlignment="1" applyProtection="1">
      <protection hidden="1"/>
    </xf>
    <xf numFmtId="49" fontId="10" fillId="0" borderId="4" xfId="9" applyNumberFormat="1" applyFont="1" applyFill="1" applyBorder="1" applyAlignment="1" applyProtection="1">
      <protection hidden="1"/>
    </xf>
    <xf numFmtId="49" fontId="10" fillId="0" borderId="16" xfId="9" applyNumberFormat="1" applyFont="1" applyFill="1" applyBorder="1" applyAlignment="1" applyProtection="1">
      <protection hidden="1"/>
    </xf>
    <xf numFmtId="49" fontId="8" fillId="0" borderId="6" xfId="8" applyNumberFormat="1" applyFont="1" applyFill="1" applyBorder="1" applyAlignment="1" applyProtection="1">
      <alignment shrinkToFit="1"/>
      <protection hidden="1"/>
    </xf>
    <xf numFmtId="49" fontId="8" fillId="0" borderId="18" xfId="8" applyNumberFormat="1" applyFont="1" applyFill="1" applyBorder="1" applyAlignment="1" applyProtection="1">
      <alignment shrinkToFit="1"/>
      <protection hidden="1"/>
    </xf>
    <xf numFmtId="0" fontId="8" fillId="5" borderId="0" xfId="8" applyFont="1" applyFill="1" applyAlignment="1" applyProtection="1">
      <protection hidden="1"/>
    </xf>
    <xf numFmtId="49" fontId="14" fillId="4" borderId="0" xfId="0" applyNumberFormat="1" applyFont="1" applyFill="1" applyBorder="1" applyAlignment="1" applyProtection="1">
      <alignment vertical="center"/>
      <protection locked="0" hidden="1"/>
    </xf>
    <xf numFmtId="0" fontId="68" fillId="0" borderId="0" xfId="13" applyNumberFormat="1" applyFont="1" applyFill="1" applyAlignment="1" applyProtection="1">
      <alignment horizontal="left" vertical="center"/>
      <protection locked="0" hidden="1"/>
    </xf>
    <xf numFmtId="49" fontId="23" fillId="0" borderId="0" xfId="4" applyNumberFormat="1" applyFont="1" applyFill="1" applyAlignment="1" applyProtection="1">
      <alignment horizontal="left" vertical="center"/>
      <protection locked="0"/>
    </xf>
    <xf numFmtId="0" fontId="8" fillId="0" borderId="0" xfId="4" applyFill="1" applyBorder="1" applyProtection="1">
      <alignment vertical="center"/>
      <protection locked="0"/>
    </xf>
    <xf numFmtId="0" fontId="0" fillId="5" borderId="0" xfId="0" applyFill="1">
      <alignment vertical="center"/>
    </xf>
    <xf numFmtId="0" fontId="91" fillId="5" borderId="0" xfId="0" applyFont="1" applyFill="1">
      <alignment vertical="center"/>
    </xf>
    <xf numFmtId="0" fontId="8" fillId="0" borderId="38" xfId="8" applyNumberFormat="1" applyFont="1" applyFill="1" applyBorder="1" applyAlignment="1" applyProtection="1">
      <alignment horizontal="left" shrinkToFit="1"/>
      <protection locked="0" hidden="1"/>
    </xf>
    <xf numFmtId="0" fontId="8" fillId="0" borderId="46" xfId="8" applyNumberFormat="1" applyFont="1" applyFill="1" applyBorder="1" applyAlignment="1" applyProtection="1">
      <alignment horizontal="left" shrinkToFit="1"/>
      <protection locked="0" hidden="1"/>
    </xf>
    <xf numFmtId="0" fontId="8" fillId="0" borderId="40" xfId="8" applyNumberFormat="1" applyFont="1" applyFill="1" applyBorder="1" applyAlignment="1" applyProtection="1">
      <alignment horizontal="left" shrinkToFit="1"/>
      <protection locked="0" hidden="1"/>
    </xf>
    <xf numFmtId="177" fontId="8" fillId="0" borderId="46" xfId="8" applyNumberFormat="1" applyFont="1" applyFill="1" applyBorder="1" applyAlignment="1" applyProtection="1">
      <alignment horizontal="left" shrinkToFit="1"/>
      <protection locked="0" hidden="1"/>
    </xf>
    <xf numFmtId="177" fontId="8" fillId="0" borderId="40" xfId="8" applyNumberFormat="1" applyFont="1" applyFill="1" applyBorder="1" applyAlignment="1" applyProtection="1">
      <alignment horizontal="left" shrinkToFit="1"/>
      <protection locked="0" hidden="1"/>
    </xf>
    <xf numFmtId="177" fontId="8" fillId="0" borderId="38" xfId="8" applyNumberFormat="1" applyFont="1" applyFill="1" applyBorder="1" applyAlignment="1" applyProtection="1">
      <alignment horizontal="left" shrinkToFit="1"/>
      <protection locked="0" hidden="1"/>
    </xf>
    <xf numFmtId="0" fontId="92" fillId="5" borderId="0" xfId="0" applyFont="1" applyFill="1">
      <alignment vertical="center"/>
    </xf>
    <xf numFmtId="0" fontId="8" fillId="5" borderId="0" xfId="13" applyNumberFormat="1" applyFont="1" applyFill="1" applyProtection="1">
      <protection hidden="1"/>
    </xf>
    <xf numFmtId="0" fontId="14" fillId="5" borderId="0" xfId="13" applyNumberFormat="1" applyFont="1" applyFill="1" applyAlignment="1" applyProtection="1">
      <alignment horizontal="center" vertical="center" shrinkToFit="1"/>
      <protection hidden="1"/>
    </xf>
    <xf numFmtId="0" fontId="4" fillId="0" borderId="0" xfId="0" applyFont="1">
      <alignment vertical="center"/>
    </xf>
    <xf numFmtId="0" fontId="6" fillId="3" borderId="180" xfId="6" applyFont="1" applyFill="1" applyBorder="1" applyAlignment="1">
      <alignment horizontal="center" vertical="center"/>
    </xf>
    <xf numFmtId="0" fontId="14" fillId="12" borderId="4" xfId="2" applyNumberFormat="1" applyFont="1" applyFill="1" applyBorder="1" applyAlignment="1" applyProtection="1">
      <alignment horizontal="center" vertical="center"/>
      <protection locked="0" hidden="1"/>
    </xf>
    <xf numFmtId="0" fontId="14" fillId="12" borderId="16" xfId="2" applyNumberFormat="1" applyFont="1" applyFill="1" applyBorder="1" applyAlignment="1" applyProtection="1">
      <alignment horizontal="center" vertical="center"/>
      <protection locked="0" hidden="1"/>
    </xf>
    <xf numFmtId="0" fontId="14" fillId="8" borderId="16" xfId="2" applyFont="1" applyFill="1" applyBorder="1" applyProtection="1">
      <alignment vertical="center"/>
      <protection locked="0" hidden="1"/>
    </xf>
    <xf numFmtId="177" fontId="14" fillId="8" borderId="16" xfId="2" applyNumberFormat="1" applyFont="1" applyFill="1" applyBorder="1" applyAlignment="1" applyProtection="1">
      <alignment horizontal="right" vertical="center"/>
      <protection locked="0" hidden="1"/>
    </xf>
    <xf numFmtId="0" fontId="14" fillId="8" borderId="16" xfId="2" applyFont="1" applyFill="1" applyBorder="1" applyAlignment="1" applyProtection="1">
      <alignment vertical="center" shrinkToFit="1"/>
      <protection locked="0" hidden="1"/>
    </xf>
    <xf numFmtId="178" fontId="14" fillId="8" borderId="16" xfId="2" applyNumberFormat="1" applyFont="1" applyFill="1" applyBorder="1" applyAlignment="1" applyProtection="1">
      <alignment horizontal="center" vertical="center"/>
      <protection locked="0" hidden="1"/>
    </xf>
    <xf numFmtId="1" fontId="14" fillId="8" borderId="16" xfId="2" applyNumberFormat="1" applyFont="1" applyFill="1" applyBorder="1" applyAlignment="1" applyProtection="1">
      <alignment horizontal="center" vertical="center"/>
      <protection locked="0" hidden="1"/>
    </xf>
    <xf numFmtId="0" fontId="68" fillId="5" borderId="0" xfId="8" applyFont="1" applyFill="1" applyBorder="1" applyAlignment="1" applyProtection="1">
      <alignment horizontal="left"/>
      <protection hidden="1"/>
    </xf>
    <xf numFmtId="0" fontId="6" fillId="11" borderId="181" xfId="6" applyFont="1" applyFill="1" applyBorder="1" applyAlignment="1" applyProtection="1">
      <alignment horizontal="center" vertical="center" shrinkToFit="1"/>
      <protection locked="0" hidden="1"/>
    </xf>
    <xf numFmtId="0" fontId="6" fillId="8" borderId="171" xfId="6" applyFont="1" applyFill="1" applyBorder="1" applyAlignment="1" applyProtection="1">
      <alignment horizontal="center" vertical="center"/>
      <protection locked="0" hidden="1"/>
    </xf>
    <xf numFmtId="0" fontId="7" fillId="8" borderId="45" xfId="0" applyFont="1" applyFill="1" applyBorder="1" applyAlignment="1" applyProtection="1">
      <alignment horizontal="center" vertical="center"/>
      <protection hidden="1"/>
    </xf>
    <xf numFmtId="0" fontId="7" fillId="8" borderId="121" xfId="0" applyFont="1" applyFill="1" applyBorder="1" applyAlignment="1" applyProtection="1">
      <alignment horizontal="center" vertical="center"/>
      <protection hidden="1"/>
    </xf>
    <xf numFmtId="0" fontId="7" fillId="8" borderId="122"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protection locked="0" hidden="1"/>
    </xf>
    <xf numFmtId="0" fontId="6" fillId="0" borderId="0" xfId="0" applyFont="1" applyFill="1" applyBorder="1" applyAlignment="1">
      <alignment horizontal="center" vertical="center"/>
    </xf>
    <xf numFmtId="0" fontId="93" fillId="0" borderId="0" xfId="0" applyFont="1">
      <alignment vertical="center"/>
    </xf>
    <xf numFmtId="0" fontId="8" fillId="14" borderId="0" xfId="8" applyFont="1" applyFill="1" applyAlignment="1" applyProtection="1">
      <protection hidden="1"/>
    </xf>
    <xf numFmtId="0" fontId="32" fillId="14" borderId="0" xfId="8" applyFont="1" applyFill="1" applyAlignment="1" applyProtection="1">
      <protection hidden="1"/>
    </xf>
    <xf numFmtId="0" fontId="14" fillId="14" borderId="0" xfId="8" applyFont="1" applyFill="1" applyAlignment="1" applyProtection="1">
      <alignment horizontal="center" shrinkToFit="1"/>
      <protection hidden="1"/>
    </xf>
    <xf numFmtId="0" fontId="8" fillId="14" borderId="0" xfId="8" applyFont="1" applyFill="1" applyBorder="1" applyAlignment="1" applyProtection="1">
      <protection hidden="1"/>
    </xf>
    <xf numFmtId="176" fontId="94" fillId="5" borderId="0" xfId="8" applyNumberFormat="1" applyFont="1" applyFill="1" applyBorder="1" applyAlignment="1" applyProtection="1">
      <alignment horizontal="left"/>
      <protection hidden="1"/>
    </xf>
    <xf numFmtId="0" fontId="95" fillId="14" borderId="182" xfId="0" applyFont="1" applyFill="1" applyBorder="1">
      <alignment vertical="center"/>
    </xf>
    <xf numFmtId="0" fontId="95" fillId="14" borderId="183" xfId="0" applyFont="1" applyFill="1" applyBorder="1">
      <alignment vertical="center"/>
    </xf>
    <xf numFmtId="0" fontId="95" fillId="14" borderId="104" xfId="0" applyFont="1" applyFill="1" applyBorder="1">
      <alignment vertical="center"/>
    </xf>
    <xf numFmtId="0" fontId="95" fillId="14" borderId="0" xfId="0" applyFont="1" applyFill="1">
      <alignment vertical="center"/>
    </xf>
    <xf numFmtId="0" fontId="0" fillId="14" borderId="0" xfId="0" applyFill="1" applyBorder="1" applyAlignment="1" applyProtection="1">
      <alignment horizontal="center" vertical="center"/>
      <protection hidden="1"/>
    </xf>
    <xf numFmtId="0" fontId="9" fillId="14" borderId="0" xfId="0" applyFont="1" applyFill="1" applyBorder="1" applyAlignment="1" applyProtection="1">
      <alignment horizontal="center" vertical="center"/>
      <protection locked="0" hidden="1"/>
    </xf>
    <xf numFmtId="0" fontId="0" fillId="14" borderId="0" xfId="0" applyFill="1">
      <alignment vertical="center"/>
    </xf>
    <xf numFmtId="0" fontId="0" fillId="14" borderId="0" xfId="0" applyFill="1" applyBorder="1" applyProtection="1">
      <alignment vertical="center"/>
      <protection hidden="1"/>
    </xf>
    <xf numFmtId="0" fontId="0" fillId="14" borderId="0" xfId="0" applyFill="1" applyBorder="1" applyAlignment="1" applyProtection="1">
      <alignment vertical="center" shrinkToFit="1"/>
      <protection hidden="1"/>
    </xf>
    <xf numFmtId="0" fontId="14" fillId="12" borderId="121" xfId="2" applyNumberFormat="1" applyFont="1" applyFill="1" applyBorder="1" applyAlignment="1" applyProtection="1">
      <alignment horizontal="center" vertical="center"/>
      <protection locked="0" hidden="1"/>
    </xf>
    <xf numFmtId="0" fontId="14" fillId="12" borderId="122" xfId="2" applyNumberFormat="1" applyFont="1" applyFill="1" applyBorder="1" applyAlignment="1" applyProtection="1">
      <alignment horizontal="center" vertical="center"/>
      <protection locked="0" hidden="1"/>
    </xf>
    <xf numFmtId="0" fontId="52" fillId="8" borderId="184" xfId="0" applyFont="1" applyFill="1" applyBorder="1" applyAlignment="1">
      <alignment horizontal="center" vertical="center"/>
    </xf>
    <xf numFmtId="0" fontId="69" fillId="0" borderId="178" xfId="0" applyNumberFormat="1" applyFont="1" applyFill="1" applyBorder="1" applyAlignment="1" applyProtection="1">
      <alignment horizontal="center" vertical="center"/>
      <protection locked="0" hidden="1"/>
    </xf>
    <xf numFmtId="0" fontId="69" fillId="0" borderId="134" xfId="0" applyNumberFormat="1" applyFont="1" applyFill="1" applyBorder="1" applyAlignment="1" applyProtection="1">
      <alignment horizontal="center" vertical="center"/>
      <protection locked="0" hidden="1"/>
    </xf>
    <xf numFmtId="0" fontId="69" fillId="0" borderId="70" xfId="0" applyNumberFormat="1" applyFont="1" applyFill="1" applyBorder="1" applyAlignment="1" applyProtection="1">
      <alignment horizontal="center" vertical="center"/>
      <protection locked="0" hidden="1"/>
    </xf>
    <xf numFmtId="49" fontId="14" fillId="4" borderId="28" xfId="0" applyNumberFormat="1" applyFont="1" applyFill="1" applyBorder="1" applyAlignment="1" applyProtection="1">
      <alignment vertical="center"/>
      <protection locked="0" hidden="1"/>
    </xf>
    <xf numFmtId="0" fontId="7" fillId="8" borderId="53" xfId="0" applyFont="1" applyFill="1" applyBorder="1" applyAlignment="1" applyProtection="1">
      <alignment vertical="center"/>
      <protection hidden="1"/>
    </xf>
    <xf numFmtId="0" fontId="7" fillId="8" borderId="54" xfId="0" applyFont="1" applyFill="1" applyBorder="1" applyAlignment="1" applyProtection="1">
      <alignment vertical="center"/>
      <protection hidden="1"/>
    </xf>
    <xf numFmtId="177" fontId="8" fillId="12" borderId="6" xfId="0" applyNumberFormat="1" applyFont="1" applyFill="1" applyBorder="1" applyAlignment="1" applyProtection="1">
      <alignment horizontal="right" vertical="center"/>
      <protection locked="0" hidden="1"/>
    </xf>
    <xf numFmtId="0" fontId="8" fillId="12" borderId="6" xfId="0" applyFont="1" applyFill="1" applyBorder="1" applyAlignment="1" applyProtection="1">
      <alignment horizontal="left" vertical="center"/>
      <protection locked="0" hidden="1"/>
    </xf>
    <xf numFmtId="0" fontId="8" fillId="12" borderId="6" xfId="0" applyFont="1" applyFill="1" applyBorder="1" applyAlignment="1" applyProtection="1">
      <alignment horizontal="left" vertical="center" shrinkToFit="1"/>
      <protection locked="0" hidden="1"/>
    </xf>
    <xf numFmtId="1" fontId="8" fillId="12" borderId="6" xfId="0" applyNumberFormat="1" applyFont="1" applyFill="1" applyBorder="1" applyAlignment="1" applyProtection="1">
      <alignment horizontal="center" vertical="center"/>
      <protection locked="0" hidden="1"/>
    </xf>
    <xf numFmtId="49" fontId="8" fillId="12" borderId="6" xfId="0" applyNumberFormat="1" applyFont="1" applyFill="1" applyBorder="1" applyAlignment="1" applyProtection="1">
      <alignment horizontal="center" vertical="center"/>
      <protection locked="0" hidden="1"/>
    </xf>
    <xf numFmtId="0" fontId="8" fillId="12" borderId="6" xfId="0" applyNumberFormat="1" applyFont="1" applyFill="1" applyBorder="1" applyAlignment="1" applyProtection="1">
      <alignment horizontal="center" vertical="center"/>
      <protection locked="0" hidden="1"/>
    </xf>
    <xf numFmtId="0" fontId="8" fillId="12" borderId="42" xfId="0" applyNumberFormat="1" applyFont="1" applyFill="1" applyBorder="1" applyAlignment="1" applyProtection="1">
      <alignment horizontal="center" vertical="center"/>
      <protection locked="0" hidden="1"/>
    </xf>
    <xf numFmtId="177" fontId="8" fillId="12" borderId="4" xfId="0" applyNumberFormat="1" applyFont="1" applyFill="1" applyBorder="1" applyAlignment="1" applyProtection="1">
      <alignment horizontal="right" vertical="center"/>
      <protection locked="0" hidden="1"/>
    </xf>
    <xf numFmtId="0" fontId="8" fillId="12" borderId="4" xfId="0" applyFont="1" applyFill="1" applyBorder="1" applyAlignment="1" applyProtection="1">
      <alignment horizontal="left" vertical="center"/>
      <protection locked="0" hidden="1"/>
    </xf>
    <xf numFmtId="0" fontId="8" fillId="12" borderId="4" xfId="0" applyFont="1" applyFill="1" applyBorder="1" applyAlignment="1" applyProtection="1">
      <alignment horizontal="left" vertical="center" shrinkToFit="1"/>
      <protection locked="0" hidden="1"/>
    </xf>
    <xf numFmtId="1" fontId="8" fillId="12" borderId="4" xfId="0" applyNumberFormat="1" applyFont="1" applyFill="1" applyBorder="1" applyAlignment="1" applyProtection="1">
      <alignment horizontal="center" vertical="center"/>
      <protection locked="0" hidden="1"/>
    </xf>
    <xf numFmtId="49" fontId="8" fillId="12" borderId="4" xfId="0" applyNumberFormat="1" applyFont="1" applyFill="1" applyBorder="1" applyAlignment="1" applyProtection="1">
      <alignment horizontal="center" vertical="center"/>
      <protection locked="0" hidden="1"/>
    </xf>
    <xf numFmtId="0" fontId="8" fillId="12" borderId="4" xfId="0" applyNumberFormat="1" applyFont="1" applyFill="1" applyBorder="1" applyAlignment="1" applyProtection="1">
      <alignment horizontal="center" vertical="center"/>
      <protection locked="0" hidden="1"/>
    </xf>
    <xf numFmtId="0" fontId="8" fillId="12" borderId="121" xfId="0" applyNumberFormat="1" applyFont="1" applyFill="1" applyBorder="1" applyAlignment="1" applyProtection="1">
      <alignment horizontal="center" vertical="center"/>
      <protection locked="0" hidden="1"/>
    </xf>
    <xf numFmtId="0" fontId="8" fillId="12" borderId="16" xfId="0" applyFont="1" applyFill="1" applyBorder="1" applyAlignment="1" applyProtection="1">
      <alignment horizontal="left" vertical="center"/>
      <protection locked="0" hidden="1"/>
    </xf>
    <xf numFmtId="49" fontId="97" fillId="0" borderId="159" xfId="0" applyNumberFormat="1" applyFont="1" applyFill="1" applyBorder="1" applyAlignment="1" applyProtection="1">
      <alignment horizontal="center" vertical="center" shrinkToFit="1"/>
      <protection locked="0" hidden="1"/>
    </xf>
    <xf numFmtId="0" fontId="25" fillId="5" borderId="0" xfId="8" applyFont="1" applyFill="1" applyBorder="1" applyAlignment="1" applyProtection="1">
      <alignment shrinkToFit="1"/>
      <protection hidden="1"/>
    </xf>
    <xf numFmtId="0" fontId="43" fillId="5" borderId="0" xfId="8" applyFont="1" applyFill="1" applyBorder="1" applyAlignment="1" applyProtection="1">
      <alignment horizontal="left" vertical="center"/>
      <protection hidden="1"/>
    </xf>
    <xf numFmtId="0" fontId="98" fillId="5" borderId="0" xfId="8" applyFont="1" applyFill="1" applyBorder="1" applyAlignment="1" applyProtection="1">
      <alignment horizontal="right" vertical="center"/>
      <protection hidden="1"/>
    </xf>
    <xf numFmtId="49" fontId="38" fillId="5" borderId="0" xfId="9" applyNumberFormat="1" applyFont="1" applyFill="1" applyBorder="1" applyAlignment="1" applyProtection="1">
      <alignment horizontal="left" vertical="center" shrinkToFit="1"/>
      <protection hidden="1"/>
    </xf>
    <xf numFmtId="0" fontId="98" fillId="0" borderId="159" xfId="8" applyFont="1" applyFill="1" applyBorder="1" applyAlignment="1" applyProtection="1">
      <alignment horizontal="center" vertical="center"/>
      <protection locked="0" hidden="1"/>
    </xf>
    <xf numFmtId="0" fontId="32" fillId="5" borderId="0" xfId="8" applyFont="1" applyFill="1" applyAlignment="1" applyProtection="1">
      <alignment horizontal="right" vertical="center"/>
      <protection hidden="1"/>
    </xf>
    <xf numFmtId="0" fontId="32" fillId="0" borderId="159" xfId="8" applyFont="1" applyFill="1" applyBorder="1" applyAlignment="1" applyProtection="1">
      <alignment horizontal="center" vertical="center"/>
      <protection locked="0" hidden="1"/>
    </xf>
    <xf numFmtId="0" fontId="32" fillId="5" borderId="0" xfId="8" applyFont="1" applyFill="1" applyAlignment="1" applyProtection="1">
      <alignment vertical="center"/>
      <protection hidden="1"/>
    </xf>
    <xf numFmtId="0" fontId="32" fillId="5" borderId="0" xfId="8" applyFont="1" applyFill="1" applyBorder="1" applyAlignment="1" applyProtection="1">
      <alignment horizontal="right" vertical="center"/>
      <protection hidden="1"/>
    </xf>
    <xf numFmtId="0" fontId="32" fillId="5" borderId="0" xfId="8" applyFont="1" applyFill="1" applyBorder="1" applyAlignment="1" applyProtection="1">
      <alignment vertical="center"/>
      <protection hidden="1"/>
    </xf>
    <xf numFmtId="0" fontId="32" fillId="5" borderId="0" xfId="8" applyFont="1" applyFill="1" applyBorder="1" applyAlignment="1" applyProtection="1">
      <alignment horizontal="center" vertical="center"/>
      <protection hidden="1"/>
    </xf>
    <xf numFmtId="176" fontId="38" fillId="5" borderId="0" xfId="9" applyNumberFormat="1" applyFont="1" applyFill="1" applyBorder="1" applyAlignment="1" applyProtection="1">
      <alignment horizontal="center" shrinkToFit="1"/>
      <protection hidden="1"/>
    </xf>
    <xf numFmtId="176" fontId="38" fillId="5" borderId="0" xfId="9" applyNumberFormat="1" applyFont="1" applyFill="1" applyBorder="1" applyAlignment="1" applyProtection="1">
      <alignment horizontal="left" vertical="center" shrinkToFit="1"/>
      <protection hidden="1"/>
    </xf>
    <xf numFmtId="0" fontId="38" fillId="0" borderId="159" xfId="9" applyNumberFormat="1" applyFont="1" applyFill="1" applyBorder="1" applyAlignment="1" applyProtection="1">
      <alignment horizontal="center" vertical="center"/>
      <protection locked="0" hidden="1"/>
    </xf>
    <xf numFmtId="0" fontId="8" fillId="0" borderId="0" xfId="9" applyFont="1" applyFill="1" applyProtection="1">
      <protection hidden="1"/>
    </xf>
    <xf numFmtId="0" fontId="8" fillId="0" borderId="0" xfId="9" applyFont="1" applyFill="1" applyBorder="1" applyAlignment="1" applyProtection="1">
      <alignment horizontal="left"/>
      <protection hidden="1"/>
    </xf>
    <xf numFmtId="176" fontId="19" fillId="5" borderId="0" xfId="8" applyNumberFormat="1" applyFont="1" applyFill="1" applyBorder="1" applyAlignment="1" applyProtection="1">
      <alignment horizontal="right" vertical="center"/>
      <protection hidden="1"/>
    </xf>
    <xf numFmtId="176" fontId="19" fillId="5" borderId="0" xfId="8" applyNumberFormat="1" applyFont="1" applyFill="1" applyBorder="1" applyAlignment="1" applyProtection="1">
      <alignment horizontal="left" vertical="center"/>
      <protection hidden="1"/>
    </xf>
    <xf numFmtId="49" fontId="8" fillId="5" borderId="0" xfId="8" applyNumberFormat="1" applyFont="1" applyFill="1" applyAlignment="1" applyProtection="1">
      <alignment vertical="center"/>
      <protection locked="0" hidden="1"/>
    </xf>
    <xf numFmtId="0" fontId="38" fillId="5" borderId="0" xfId="8" applyFont="1" applyFill="1" applyAlignment="1" applyProtection="1">
      <alignment vertical="center" wrapText="1"/>
      <protection hidden="1"/>
    </xf>
    <xf numFmtId="0" fontId="38" fillId="0" borderId="159" xfId="8" applyFont="1" applyFill="1" applyBorder="1" applyAlignment="1" applyProtection="1">
      <alignment horizontal="center" vertical="center" wrapText="1"/>
      <protection locked="0" hidden="1"/>
    </xf>
    <xf numFmtId="0" fontId="83" fillId="5" borderId="0" xfId="0" applyFont="1" applyFill="1" applyAlignment="1">
      <alignment horizontal="right" vertical="center"/>
    </xf>
    <xf numFmtId="0" fontId="83" fillId="5" borderId="0" xfId="0" applyFont="1" applyFill="1">
      <alignment vertical="center"/>
    </xf>
    <xf numFmtId="0" fontId="83" fillId="0" borderId="159" xfId="0" applyFont="1" applyFill="1" applyBorder="1" applyAlignment="1" applyProtection="1">
      <alignment horizontal="center" vertical="center"/>
      <protection locked="0"/>
    </xf>
    <xf numFmtId="0" fontId="6" fillId="11" borderId="21" xfId="6" applyFont="1" applyFill="1" applyBorder="1" applyAlignment="1">
      <alignment horizontal="center" vertical="center"/>
    </xf>
    <xf numFmtId="0" fontId="6" fillId="11" borderId="23" xfId="6" applyFont="1" applyFill="1" applyBorder="1" applyAlignment="1">
      <alignment horizontal="center" vertical="center"/>
    </xf>
    <xf numFmtId="0" fontId="14" fillId="11" borderId="130" xfId="2" applyFont="1" applyFill="1" applyBorder="1" applyAlignment="1" applyProtection="1">
      <alignment horizontal="center" vertical="center"/>
      <protection locked="0" hidden="1"/>
    </xf>
    <xf numFmtId="0" fontId="14" fillId="11" borderId="131" xfId="2" applyFont="1" applyFill="1" applyBorder="1" applyAlignment="1" applyProtection="1">
      <alignment horizontal="center" vertical="center"/>
      <protection locked="0" hidden="1"/>
    </xf>
    <xf numFmtId="0" fontId="14" fillId="11" borderId="132" xfId="2" applyFont="1" applyFill="1" applyBorder="1" applyAlignment="1" applyProtection="1">
      <alignment horizontal="center" vertical="center"/>
      <protection locked="0" hidden="1"/>
    </xf>
    <xf numFmtId="0" fontId="6" fillId="0" borderId="25" xfId="6" applyFont="1" applyFill="1" applyBorder="1" applyAlignment="1">
      <alignment horizontal="center" vertical="center"/>
    </xf>
    <xf numFmtId="0" fontId="6" fillId="0" borderId="25" xfId="6" applyFont="1" applyFill="1" applyBorder="1" applyAlignment="1">
      <alignment vertical="center"/>
    </xf>
    <xf numFmtId="0" fontId="8" fillId="0" borderId="55" xfId="9" applyNumberFormat="1" applyFont="1" applyFill="1" applyBorder="1" applyAlignment="1" applyProtection="1">
      <protection hidden="1"/>
    </xf>
    <xf numFmtId="0" fontId="8" fillId="0" borderId="56" xfId="9" applyNumberFormat="1" applyFont="1" applyFill="1" applyBorder="1" applyAlignment="1" applyProtection="1">
      <protection hidden="1"/>
    </xf>
    <xf numFmtId="0" fontId="14" fillId="0" borderId="5" xfId="0" applyFont="1" applyBorder="1" applyAlignment="1" applyProtection="1">
      <alignment horizontal="center" shrinkToFit="1"/>
      <protection hidden="1"/>
    </xf>
    <xf numFmtId="0" fontId="0" fillId="15" borderId="9" xfId="0" applyNumberFormat="1" applyFill="1" applyBorder="1" applyAlignment="1">
      <alignment horizontal="left" vertical="center"/>
    </xf>
    <xf numFmtId="49" fontId="0" fillId="15" borderId="9" xfId="0" applyNumberFormat="1" applyFill="1" applyBorder="1" applyAlignment="1">
      <alignment horizontal="left" vertical="center"/>
    </xf>
    <xf numFmtId="49" fontId="0" fillId="15" borderId="12" xfId="0" applyNumberFormat="1" applyFill="1" applyBorder="1" applyAlignment="1">
      <alignment horizontal="left" vertical="center"/>
    </xf>
    <xf numFmtId="0" fontId="8" fillId="0" borderId="6" xfId="0" applyNumberFormat="1" applyFont="1" applyFill="1" applyBorder="1" applyAlignment="1" applyProtection="1">
      <alignment horizontal="center"/>
      <protection hidden="1"/>
    </xf>
    <xf numFmtId="0" fontId="8" fillId="0" borderId="55" xfId="8" applyNumberFormat="1" applyFont="1" applyFill="1" applyBorder="1" applyAlignment="1" applyProtection="1">
      <protection hidden="1"/>
    </xf>
    <xf numFmtId="0" fontId="8" fillId="0" borderId="4" xfId="0" applyNumberFormat="1" applyFont="1" applyFill="1" applyBorder="1" applyAlignment="1" applyProtection="1">
      <alignment horizontal="center"/>
      <protection hidden="1"/>
    </xf>
    <xf numFmtId="0" fontId="8" fillId="0" borderId="56" xfId="8" applyNumberFormat="1" applyFont="1" applyFill="1" applyBorder="1" applyAlignment="1" applyProtection="1">
      <protection hidden="1"/>
    </xf>
    <xf numFmtId="0" fontId="8" fillId="0" borderId="16" xfId="0" applyNumberFormat="1" applyFont="1" applyFill="1" applyBorder="1" applyAlignment="1" applyProtection="1">
      <alignment horizontal="center"/>
      <protection hidden="1"/>
    </xf>
    <xf numFmtId="49" fontId="8" fillId="0" borderId="16" xfId="8" applyNumberFormat="1" applyFont="1" applyFill="1" applyBorder="1" applyAlignment="1" applyProtection="1">
      <alignment shrinkToFit="1"/>
      <protection hidden="1"/>
    </xf>
    <xf numFmtId="0" fontId="8" fillId="0" borderId="57" xfId="8" applyNumberFormat="1" applyFont="1" applyFill="1" applyBorder="1" applyAlignment="1" applyProtection="1">
      <protection hidden="1"/>
    </xf>
    <xf numFmtId="0" fontId="14" fillId="12" borderId="6" xfId="0" applyFont="1" applyFill="1" applyBorder="1" applyProtection="1">
      <alignment vertical="center"/>
      <protection locked="0" hidden="1"/>
    </xf>
    <xf numFmtId="0" fontId="14" fillId="12" borderId="4" xfId="0" applyFont="1" applyFill="1" applyBorder="1" applyProtection="1">
      <alignment vertical="center"/>
      <protection locked="0" hidden="1"/>
    </xf>
    <xf numFmtId="0" fontId="87" fillId="5" borderId="153" xfId="0" applyFont="1" applyFill="1" applyBorder="1" applyAlignment="1" applyProtection="1">
      <alignment horizontal="center" vertical="center"/>
      <protection hidden="1"/>
    </xf>
    <xf numFmtId="0" fontId="8" fillId="0" borderId="14" xfId="8" applyNumberFormat="1" applyFont="1" applyFill="1" applyBorder="1" applyProtection="1">
      <protection hidden="1"/>
    </xf>
    <xf numFmtId="0" fontId="8" fillId="0" borderId="15" xfId="8" applyNumberFormat="1" applyFont="1" applyFill="1" applyBorder="1" applyProtection="1">
      <protection hidden="1"/>
    </xf>
    <xf numFmtId="0" fontId="14" fillId="0" borderId="66" xfId="8" applyFont="1" applyBorder="1" applyAlignment="1" applyProtection="1">
      <alignment horizontal="center" vertical="center" shrinkToFit="1"/>
      <protection hidden="1"/>
    </xf>
    <xf numFmtId="0" fontId="14" fillId="0" borderId="5" xfId="0" applyFont="1" applyBorder="1" applyAlignment="1" applyProtection="1">
      <alignment horizontal="center" vertical="center" shrinkToFit="1"/>
      <protection hidden="1"/>
    </xf>
    <xf numFmtId="0" fontId="14" fillId="0" borderId="34" xfId="8" applyFont="1" applyBorder="1" applyAlignment="1" applyProtection="1">
      <alignment horizontal="center" vertical="center" shrinkToFit="1"/>
      <protection hidden="1"/>
    </xf>
    <xf numFmtId="0" fontId="8" fillId="0" borderId="120" xfId="8" applyFont="1" applyFill="1" applyBorder="1" applyProtection="1">
      <protection hidden="1"/>
    </xf>
    <xf numFmtId="0" fontId="8" fillId="0" borderId="6" xfId="8" applyFont="1" applyFill="1" applyBorder="1" applyProtection="1">
      <protection hidden="1"/>
    </xf>
    <xf numFmtId="0" fontId="8" fillId="0" borderId="53" xfId="8" applyFont="1" applyFill="1" applyBorder="1" applyProtection="1">
      <protection hidden="1"/>
    </xf>
    <xf numFmtId="0" fontId="8" fillId="0" borderId="54" xfId="8" applyFont="1" applyFill="1" applyBorder="1" applyProtection="1">
      <protection hidden="1"/>
    </xf>
    <xf numFmtId="0" fontId="8" fillId="0" borderId="17" xfId="8" applyNumberFormat="1" applyFont="1" applyFill="1" applyBorder="1" applyProtection="1">
      <protection hidden="1"/>
    </xf>
    <xf numFmtId="0" fontId="14" fillId="0" borderId="185" xfId="13" applyNumberFormat="1" applyFont="1" applyFill="1" applyBorder="1" applyAlignment="1" applyProtection="1">
      <alignment horizontal="center" vertical="center" shrinkToFit="1"/>
      <protection hidden="1"/>
    </xf>
    <xf numFmtId="0" fontId="14" fillId="0" borderId="21" xfId="13" applyNumberFormat="1" applyFont="1" applyFill="1" applyBorder="1" applyAlignment="1" applyProtection="1">
      <alignment shrinkToFit="1"/>
      <protection locked="0" hidden="1"/>
    </xf>
    <xf numFmtId="0" fontId="14" fillId="0" borderId="22" xfId="13" applyNumberFormat="1" applyFont="1" applyFill="1" applyBorder="1" applyAlignment="1" applyProtection="1">
      <alignment shrinkToFit="1"/>
      <protection locked="0" hidden="1"/>
    </xf>
    <xf numFmtId="0" fontId="14" fillId="0" borderId="23" xfId="13" applyNumberFormat="1" applyFont="1" applyFill="1" applyBorder="1" applyAlignment="1" applyProtection="1">
      <alignment shrinkToFit="1"/>
      <protection locked="0" hidden="1"/>
    </xf>
    <xf numFmtId="0" fontId="14" fillId="0" borderId="29" xfId="0" applyNumberFormat="1" applyFont="1" applyBorder="1" applyAlignment="1" applyProtection="1">
      <alignment horizontal="center" vertical="center" shrinkToFit="1"/>
      <protection hidden="1"/>
    </xf>
    <xf numFmtId="0" fontId="8" fillId="0" borderId="14" xfId="13" applyNumberFormat="1" applyFont="1" applyFill="1" applyBorder="1" applyProtection="1">
      <protection hidden="1"/>
    </xf>
    <xf numFmtId="0" fontId="8" fillId="0" borderId="15" xfId="13" applyNumberFormat="1" applyFont="1" applyFill="1" applyBorder="1" applyProtection="1">
      <protection hidden="1"/>
    </xf>
    <xf numFmtId="0" fontId="8" fillId="0" borderId="17" xfId="13" applyNumberFormat="1" applyFont="1" applyFill="1" applyBorder="1" applyProtection="1">
      <protection hidden="1"/>
    </xf>
    <xf numFmtId="0" fontId="8" fillId="5" borderId="0" xfId="8" applyFont="1" applyFill="1" applyBorder="1" applyAlignment="1" applyProtection="1">
      <alignment horizontal="center"/>
      <protection hidden="1"/>
    </xf>
    <xf numFmtId="176" fontId="32" fillId="5" borderId="0" xfId="8" applyNumberFormat="1" applyFont="1" applyFill="1" applyBorder="1" applyAlignment="1" applyProtection="1">
      <alignment horizontal="center"/>
      <protection hidden="1"/>
    </xf>
    <xf numFmtId="0" fontId="19" fillId="5" borderId="0" xfId="8" applyFont="1" applyFill="1" applyBorder="1" applyAlignment="1" applyProtection="1">
      <alignment horizontal="center"/>
      <protection hidden="1"/>
    </xf>
    <xf numFmtId="0" fontId="8" fillId="5" borderId="0" xfId="8" applyFont="1" applyFill="1" applyBorder="1" applyAlignment="1" applyProtection="1">
      <alignment horizontal="center" shrinkToFit="1"/>
      <protection hidden="1"/>
    </xf>
    <xf numFmtId="177" fontId="8" fillId="0" borderId="37" xfId="0" applyNumberFormat="1" applyFont="1" applyBorder="1" applyAlignment="1">
      <alignment horizontal="left" vertical="center" shrinkToFit="1"/>
    </xf>
    <xf numFmtId="177" fontId="8" fillId="0" borderId="59" xfId="0" applyNumberFormat="1" applyFont="1" applyBorder="1" applyAlignment="1">
      <alignment horizontal="left" vertical="center" shrinkToFit="1"/>
    </xf>
    <xf numFmtId="177" fontId="8" fillId="0" borderId="60" xfId="0" applyNumberFormat="1" applyFont="1" applyBorder="1" applyAlignment="1">
      <alignment horizontal="left" vertical="center" shrinkToFit="1"/>
    </xf>
    <xf numFmtId="177" fontId="8" fillId="0" borderId="63" xfId="0" applyNumberFormat="1" applyFont="1" applyBorder="1" applyAlignment="1">
      <alignment horizontal="left" vertical="center" shrinkToFit="1"/>
    </xf>
    <xf numFmtId="0" fontId="8" fillId="0" borderId="6" xfId="8" applyNumberFormat="1" applyFont="1" applyFill="1" applyBorder="1" applyAlignment="1" applyProtection="1">
      <alignment horizontal="right"/>
      <protection locked="0" hidden="1"/>
    </xf>
    <xf numFmtId="0" fontId="8" fillId="0" borderId="4" xfId="8" applyNumberFormat="1" applyFont="1" applyFill="1" applyBorder="1" applyAlignment="1" applyProtection="1">
      <alignment horizontal="right"/>
      <protection locked="0" hidden="1"/>
    </xf>
    <xf numFmtId="0" fontId="8" fillId="0" borderId="16" xfId="8" applyNumberFormat="1" applyFont="1" applyFill="1" applyBorder="1" applyAlignment="1" applyProtection="1">
      <alignment horizontal="right"/>
      <protection locked="0" hidden="1"/>
    </xf>
    <xf numFmtId="0" fontId="8" fillId="0" borderId="57" xfId="9" applyNumberFormat="1" applyFont="1" applyFill="1" applyBorder="1" applyAlignment="1" applyProtection="1">
      <protection hidden="1"/>
    </xf>
    <xf numFmtId="177" fontId="8" fillId="0" borderId="6" xfId="8" applyNumberFormat="1" applyFont="1" applyFill="1" applyBorder="1" applyAlignment="1" applyProtection="1">
      <protection hidden="1"/>
    </xf>
    <xf numFmtId="177" fontId="8" fillId="0" borderId="4" xfId="8" applyNumberFormat="1" applyFont="1" applyFill="1" applyBorder="1" applyAlignment="1" applyProtection="1">
      <protection hidden="1"/>
    </xf>
    <xf numFmtId="0" fontId="8" fillId="14" borderId="88" xfId="0" applyFont="1" applyFill="1" applyBorder="1" applyAlignment="1" applyProtection="1">
      <alignment horizontal="right" shrinkToFit="1"/>
      <protection hidden="1"/>
    </xf>
    <xf numFmtId="0" fontId="8" fillId="17" borderId="0" xfId="8" applyFont="1" applyFill="1" applyAlignment="1" applyProtection="1">
      <protection hidden="1"/>
    </xf>
    <xf numFmtId="49" fontId="14" fillId="0" borderId="43" xfId="8" applyNumberFormat="1" applyFont="1" applyFill="1" applyBorder="1" applyAlignment="1" applyProtection="1">
      <alignment horizontal="right"/>
      <protection locked="0" hidden="1"/>
    </xf>
    <xf numFmtId="49" fontId="14" fillId="0" borderId="47" xfId="8" applyNumberFormat="1" applyFont="1" applyFill="1" applyBorder="1" applyAlignment="1" applyProtection="1">
      <alignment horizontal="right"/>
      <protection locked="0" hidden="1"/>
    </xf>
    <xf numFmtId="49" fontId="14" fillId="0" borderId="50" xfId="8" applyNumberFormat="1" applyFont="1" applyFill="1" applyBorder="1" applyAlignment="1" applyProtection="1">
      <alignment horizontal="right"/>
      <protection locked="0" hidden="1"/>
    </xf>
    <xf numFmtId="49" fontId="8" fillId="5" borderId="0" xfId="8" applyNumberFormat="1" applyFont="1" applyFill="1" applyAlignment="1" applyProtection="1">
      <alignment horizontal="center" shrinkToFit="1"/>
      <protection locked="0" hidden="1"/>
    </xf>
    <xf numFmtId="49" fontId="32" fillId="5" borderId="0" xfId="8" applyNumberFormat="1" applyFont="1" applyFill="1" applyAlignment="1" applyProtection="1">
      <alignment horizontal="center" shrinkToFit="1"/>
      <protection locked="0" hidden="1"/>
    </xf>
    <xf numFmtId="49" fontId="8" fillId="0" borderId="0" xfId="8" applyNumberFormat="1" applyFont="1" applyFill="1" applyAlignment="1" applyProtection="1">
      <alignment horizontal="center" shrinkToFit="1"/>
      <protection locked="0" hidden="1"/>
    </xf>
    <xf numFmtId="0" fontId="99" fillId="5" borderId="0" xfId="8" applyFont="1" applyFill="1" applyAlignment="1" applyProtection="1">
      <protection hidden="1"/>
    </xf>
    <xf numFmtId="0" fontId="101" fillId="14" borderId="0" xfId="0" applyFont="1" applyFill="1" applyAlignment="1">
      <alignment horizontal="left"/>
    </xf>
    <xf numFmtId="0" fontId="99" fillId="14" borderId="0" xfId="8" applyFont="1" applyFill="1" applyAlignment="1" applyProtection="1">
      <protection hidden="1"/>
    </xf>
    <xf numFmtId="0" fontId="99" fillId="14" borderId="0" xfId="8" applyFont="1" applyFill="1" applyAlignment="1" applyProtection="1">
      <alignment horizontal="left"/>
      <protection hidden="1"/>
    </xf>
    <xf numFmtId="49" fontId="101" fillId="14" borderId="0" xfId="0" applyNumberFormat="1" applyFont="1" applyFill="1" applyAlignment="1">
      <alignment horizontal="left"/>
    </xf>
    <xf numFmtId="0" fontId="99" fillId="14" borderId="0" xfId="8" applyFont="1" applyFill="1" applyAlignment="1" applyProtection="1">
      <alignment shrinkToFit="1"/>
      <protection hidden="1"/>
    </xf>
    <xf numFmtId="0" fontId="99" fillId="5" borderId="0" xfId="8" applyNumberFormat="1" applyFont="1" applyFill="1" applyAlignment="1" applyProtection="1">
      <alignment horizontal="left"/>
      <protection hidden="1"/>
    </xf>
    <xf numFmtId="0" fontId="102" fillId="5" borderId="0" xfId="8" applyNumberFormat="1" applyFont="1" applyFill="1" applyBorder="1" applyAlignment="1" applyProtection="1">
      <alignment horizontal="left"/>
      <protection hidden="1"/>
    </xf>
    <xf numFmtId="0" fontId="99" fillId="5" borderId="0" xfId="8" applyNumberFormat="1" applyFont="1" applyFill="1" applyBorder="1" applyAlignment="1" applyProtection="1">
      <alignment horizontal="left"/>
      <protection hidden="1"/>
    </xf>
    <xf numFmtId="0" fontId="99" fillId="5" borderId="0" xfId="8" applyNumberFormat="1" applyFont="1" applyFill="1" applyBorder="1" applyAlignment="1" applyProtection="1">
      <alignment horizontal="left" shrinkToFit="1"/>
      <protection hidden="1"/>
    </xf>
    <xf numFmtId="0" fontId="99" fillId="14" borderId="81" xfId="8" applyFont="1" applyFill="1" applyBorder="1" applyAlignment="1" applyProtection="1">
      <alignment shrinkToFit="1"/>
      <protection hidden="1"/>
    </xf>
    <xf numFmtId="0" fontId="99" fillId="14" borderId="0" xfId="8" applyFont="1" applyFill="1" applyBorder="1" applyAlignment="1" applyProtection="1">
      <protection hidden="1"/>
    </xf>
    <xf numFmtId="0" fontId="14" fillId="0" borderId="32" xfId="8" applyFont="1" applyFill="1" applyBorder="1" applyAlignment="1" applyProtection="1">
      <alignment horizontal="left" shrinkToFit="1"/>
      <protection hidden="1"/>
    </xf>
    <xf numFmtId="0" fontId="14" fillId="0" borderId="24" xfId="8" applyFont="1" applyFill="1" applyBorder="1" applyAlignment="1" applyProtection="1">
      <protection hidden="1"/>
    </xf>
    <xf numFmtId="49" fontId="14" fillId="0" borderId="58" xfId="8" applyNumberFormat="1" applyFont="1" applyFill="1" applyBorder="1" applyAlignment="1" applyProtection="1">
      <alignment horizontal="center" shrinkToFit="1"/>
      <protection locked="0" hidden="1"/>
    </xf>
    <xf numFmtId="177" fontId="14" fillId="0" borderId="43" xfId="8" applyNumberFormat="1" applyFont="1" applyFill="1" applyBorder="1" applyAlignment="1" applyProtection="1">
      <alignment horizontal="center" shrinkToFit="1"/>
      <protection locked="0" hidden="1"/>
    </xf>
    <xf numFmtId="177" fontId="14" fillId="0" borderId="47" xfId="8" applyNumberFormat="1" applyFont="1" applyFill="1" applyBorder="1" applyAlignment="1" applyProtection="1">
      <alignment horizontal="center" shrinkToFit="1"/>
      <protection locked="0" hidden="1"/>
    </xf>
    <xf numFmtId="177" fontId="14" fillId="0" borderId="50" xfId="8" applyNumberFormat="1" applyFont="1" applyFill="1" applyBorder="1" applyAlignment="1" applyProtection="1">
      <alignment horizontal="center" shrinkToFit="1"/>
      <protection locked="0" hidden="1"/>
    </xf>
    <xf numFmtId="0" fontId="8" fillId="10" borderId="116" xfId="0" applyNumberFormat="1" applyFont="1" applyFill="1" applyBorder="1" applyAlignment="1">
      <alignment horizontal="right" vertical="center" shrinkToFit="1"/>
    </xf>
    <xf numFmtId="0" fontId="8" fillId="10" borderId="117" xfId="0" applyNumberFormat="1" applyFont="1" applyFill="1" applyBorder="1" applyAlignment="1">
      <alignment horizontal="right" vertical="center" shrinkToFit="1"/>
    </xf>
    <xf numFmtId="0" fontId="8" fillId="18" borderId="117" xfId="0" applyNumberFormat="1" applyFont="1" applyFill="1" applyBorder="1" applyAlignment="1">
      <alignment horizontal="right" vertical="center" shrinkToFit="1"/>
    </xf>
    <xf numFmtId="49" fontId="8" fillId="10" borderId="117" xfId="0" applyNumberFormat="1" applyFont="1" applyFill="1" applyBorder="1" applyAlignment="1">
      <alignment horizontal="right" vertical="center" shrinkToFit="1"/>
    </xf>
    <xf numFmtId="49" fontId="8" fillId="18" borderId="117" xfId="0" applyNumberFormat="1" applyFont="1" applyFill="1" applyBorder="1" applyAlignment="1">
      <alignment horizontal="right" vertical="center" shrinkToFit="1"/>
    </xf>
    <xf numFmtId="49" fontId="8" fillId="18" borderId="59" xfId="0" applyNumberFormat="1" applyFont="1" applyFill="1" applyBorder="1" applyAlignment="1">
      <alignment horizontal="right" vertical="center" shrinkToFit="1"/>
    </xf>
    <xf numFmtId="49" fontId="8" fillId="18" borderId="60" xfId="0" applyNumberFormat="1" applyFont="1" applyFill="1" applyBorder="1" applyAlignment="1">
      <alignment horizontal="right" vertical="center" shrinkToFit="1"/>
    </xf>
    <xf numFmtId="49" fontId="8" fillId="18" borderId="186" xfId="0" applyNumberFormat="1" applyFont="1" applyFill="1" applyBorder="1" applyAlignment="1">
      <alignment horizontal="right" vertical="center" shrinkToFit="1"/>
    </xf>
    <xf numFmtId="0" fontId="8" fillId="9" borderId="173" xfId="0" applyNumberFormat="1" applyFont="1" applyFill="1" applyBorder="1" applyAlignment="1">
      <alignment horizontal="right" vertical="center" shrinkToFit="1"/>
    </xf>
    <xf numFmtId="0" fontId="8" fillId="9" borderId="117" xfId="0" applyNumberFormat="1" applyFont="1" applyFill="1" applyBorder="1" applyAlignment="1">
      <alignment horizontal="right" vertical="center" shrinkToFit="1"/>
    </xf>
    <xf numFmtId="49" fontId="8" fillId="9" borderId="117" xfId="0" applyNumberFormat="1" applyFont="1" applyFill="1" applyBorder="1" applyAlignment="1">
      <alignment horizontal="right" vertical="center" shrinkToFit="1"/>
    </xf>
    <xf numFmtId="49" fontId="8" fillId="9" borderId="187" xfId="0" applyNumberFormat="1" applyFont="1" applyFill="1" applyBorder="1" applyAlignment="1">
      <alignment horizontal="right" vertical="center" shrinkToFit="1"/>
    </xf>
    <xf numFmtId="0" fontId="8" fillId="0" borderId="127" xfId="12" applyNumberFormat="1" applyFont="1" applyBorder="1" applyAlignment="1" applyProtection="1">
      <alignment horizontal="center"/>
      <protection hidden="1"/>
    </xf>
    <xf numFmtId="0" fontId="8" fillId="0" borderId="131" xfId="12" applyNumberFormat="1" applyFont="1" applyBorder="1" applyAlignment="1" applyProtection="1">
      <alignment horizontal="center"/>
      <protection hidden="1"/>
    </xf>
    <xf numFmtId="0" fontId="8" fillId="0" borderId="144" xfId="12" applyNumberFormat="1" applyFont="1" applyBorder="1" applyAlignment="1" applyProtection="1">
      <alignment horizontal="center"/>
      <protection hidden="1"/>
    </xf>
    <xf numFmtId="0" fontId="8" fillId="0" borderId="0" xfId="12" applyNumberFormat="1" applyFont="1" applyBorder="1" applyAlignment="1" applyProtection="1">
      <alignment horizontal="center" shrinkToFit="1"/>
      <protection hidden="1"/>
    </xf>
    <xf numFmtId="0" fontId="8" fillId="0" borderId="0" xfId="8" applyNumberFormat="1" applyFont="1" applyFill="1" applyBorder="1" applyAlignment="1" applyProtection="1">
      <alignment horizontal="center"/>
      <protection hidden="1"/>
    </xf>
    <xf numFmtId="0" fontId="8" fillId="9" borderId="0" xfId="8" applyNumberFormat="1" applyFont="1" applyFill="1" applyBorder="1" applyAlignment="1" applyProtection="1">
      <alignment horizontal="center"/>
      <protection hidden="1"/>
    </xf>
    <xf numFmtId="0" fontId="8" fillId="0" borderId="0" xfId="12" applyNumberFormat="1" applyFont="1" applyBorder="1" applyAlignment="1" applyProtection="1">
      <alignment horizontal="center"/>
      <protection hidden="1"/>
    </xf>
    <xf numFmtId="0" fontId="99" fillId="5" borderId="81" xfId="9" applyFont="1" applyFill="1" applyBorder="1" applyProtection="1">
      <protection hidden="1"/>
    </xf>
    <xf numFmtId="0" fontId="99" fillId="5" borderId="0" xfId="9" applyFont="1" applyFill="1" applyBorder="1" applyProtection="1">
      <protection hidden="1"/>
    </xf>
    <xf numFmtId="0" fontId="99" fillId="5" borderId="81" xfId="9" applyFont="1" applyFill="1" applyBorder="1" applyAlignment="1" applyProtection="1">
      <alignment horizontal="right"/>
      <protection hidden="1"/>
    </xf>
    <xf numFmtId="176" fontId="37" fillId="5" borderId="0" xfId="9" applyNumberFormat="1" applyFont="1" applyFill="1" applyBorder="1" applyAlignment="1" applyProtection="1">
      <alignment horizontal="left" shrinkToFit="1"/>
      <protection hidden="1"/>
    </xf>
    <xf numFmtId="0" fontId="8" fillId="5" borderId="0" xfId="9" applyFont="1" applyFill="1" applyBorder="1" applyAlignment="1" applyProtection="1">
      <alignment horizontal="center"/>
      <protection hidden="1"/>
    </xf>
    <xf numFmtId="0" fontId="8" fillId="0" borderId="127" xfId="9" applyFont="1" applyBorder="1" applyProtection="1">
      <protection hidden="1"/>
    </xf>
    <xf numFmtId="0" fontId="8" fillId="0" borderId="131" xfId="9" applyFont="1" applyBorder="1" applyProtection="1">
      <protection hidden="1"/>
    </xf>
    <xf numFmtId="0" fontId="8" fillId="0" borderId="132" xfId="9" applyFont="1" applyBorder="1" applyProtection="1">
      <protection hidden="1"/>
    </xf>
    <xf numFmtId="0" fontId="8" fillId="0" borderId="55" xfId="9" applyNumberFormat="1" applyFont="1" applyFill="1" applyBorder="1" applyProtection="1">
      <protection hidden="1"/>
    </xf>
    <xf numFmtId="0" fontId="8" fillId="0" borderId="56" xfId="9" applyNumberFormat="1" applyFont="1" applyFill="1" applyBorder="1" applyProtection="1">
      <protection hidden="1"/>
    </xf>
    <xf numFmtId="0" fontId="8" fillId="0" borderId="57" xfId="9" applyNumberFormat="1" applyFont="1" applyFill="1" applyBorder="1" applyProtection="1">
      <protection hidden="1"/>
    </xf>
    <xf numFmtId="0" fontId="8" fillId="0" borderId="21" xfId="8" applyNumberFormat="1" applyFont="1" applyFill="1" applyBorder="1" applyAlignment="1" applyProtection="1">
      <alignment horizontal="right"/>
      <protection locked="0" hidden="1"/>
    </xf>
    <xf numFmtId="0" fontId="8" fillId="0" borderId="22" xfId="8" applyNumberFormat="1" applyFont="1" applyFill="1" applyBorder="1" applyAlignment="1" applyProtection="1">
      <alignment horizontal="right"/>
      <protection locked="0" hidden="1"/>
    </xf>
    <xf numFmtId="0" fontId="8" fillId="0" borderId="23" xfId="8" applyNumberFormat="1" applyFont="1" applyFill="1" applyBorder="1" applyAlignment="1" applyProtection="1">
      <alignment horizontal="right"/>
      <protection locked="0" hidden="1"/>
    </xf>
    <xf numFmtId="0" fontId="8" fillId="0" borderId="19" xfId="8" applyNumberFormat="1" applyFont="1" applyFill="1" applyBorder="1" applyAlignment="1" applyProtection="1">
      <alignment horizontal="right"/>
      <protection locked="0" hidden="1"/>
    </xf>
    <xf numFmtId="0" fontId="14" fillId="0" borderId="0" xfId="9" applyFont="1" applyFill="1" applyAlignment="1" applyProtection="1">
      <alignment horizontal="center"/>
      <protection hidden="1"/>
    </xf>
    <xf numFmtId="0" fontId="8" fillId="14" borderId="0" xfId="9" applyFont="1" applyFill="1" applyAlignment="1" applyProtection="1">
      <alignment horizontal="left"/>
      <protection hidden="1"/>
    </xf>
    <xf numFmtId="0" fontId="8" fillId="14" borderId="0" xfId="9" applyFont="1" applyFill="1" applyAlignment="1" applyProtection="1">
      <protection hidden="1"/>
    </xf>
    <xf numFmtId="0" fontId="14" fillId="14" borderId="0" xfId="9" applyFont="1" applyFill="1" applyAlignment="1" applyProtection="1">
      <alignment horizontal="center"/>
      <protection hidden="1"/>
    </xf>
    <xf numFmtId="0" fontId="69" fillId="0" borderId="130" xfId="0" applyNumberFormat="1" applyFont="1" applyFill="1" applyBorder="1" applyAlignment="1" applyProtection="1">
      <alignment horizontal="center" vertical="center"/>
      <protection locked="0" hidden="1"/>
    </xf>
    <xf numFmtId="0" fontId="69" fillId="0" borderId="131" xfId="0" applyNumberFormat="1" applyFont="1" applyFill="1" applyBorder="1" applyAlignment="1" applyProtection="1">
      <alignment horizontal="center" vertical="center"/>
      <protection locked="0" hidden="1"/>
    </xf>
    <xf numFmtId="0" fontId="69" fillId="0" borderId="132" xfId="0" applyNumberFormat="1" applyFont="1" applyFill="1" applyBorder="1" applyAlignment="1" applyProtection="1">
      <alignment horizontal="center" vertical="center"/>
      <protection locked="0" hidden="1"/>
    </xf>
    <xf numFmtId="0" fontId="14" fillId="12" borderId="51" xfId="2" applyFont="1" applyFill="1" applyBorder="1" applyAlignment="1" applyProtection="1">
      <alignment horizontal="left" vertical="center"/>
      <protection locked="0" hidden="1"/>
    </xf>
    <xf numFmtId="0" fontId="14" fillId="12" borderId="6" xfId="2" applyFont="1" applyFill="1" applyBorder="1" applyAlignment="1" applyProtection="1">
      <alignment horizontal="left" vertical="center" shrinkToFit="1"/>
      <protection locked="0" hidden="1"/>
    </xf>
    <xf numFmtId="1" fontId="14" fillId="12" borderId="6" xfId="2" applyNumberFormat="1" applyFont="1" applyFill="1" applyBorder="1" applyAlignment="1" applyProtection="1">
      <alignment horizontal="center" vertical="center"/>
      <protection locked="0" hidden="1"/>
    </xf>
    <xf numFmtId="178" fontId="14" fillId="12" borderId="6" xfId="2" applyNumberFormat="1" applyFont="1" applyFill="1" applyBorder="1" applyAlignment="1" applyProtection="1">
      <alignment horizontal="center" vertical="center"/>
      <protection locked="0" hidden="1"/>
    </xf>
    <xf numFmtId="0" fontId="14" fillId="12" borderId="6" xfId="2" applyNumberFormat="1" applyFont="1" applyFill="1" applyBorder="1" applyAlignment="1" applyProtection="1">
      <alignment horizontal="center" vertical="center"/>
      <protection locked="0" hidden="1"/>
    </xf>
    <xf numFmtId="0" fontId="14" fillId="12" borderId="14" xfId="2" applyNumberFormat="1" applyFont="1" applyFill="1" applyBorder="1" applyAlignment="1" applyProtection="1">
      <alignment horizontal="center" vertical="center"/>
      <protection locked="0" hidden="1"/>
    </xf>
    <xf numFmtId="0" fontId="14" fillId="12" borderId="53" xfId="2" applyFont="1" applyFill="1" applyBorder="1" applyAlignment="1" applyProtection="1">
      <alignment horizontal="left" vertical="center"/>
      <protection locked="0" hidden="1"/>
    </xf>
    <xf numFmtId="0" fontId="14" fillId="12" borderId="15" xfId="2" applyNumberFormat="1" applyFont="1" applyFill="1" applyBorder="1" applyAlignment="1" applyProtection="1">
      <alignment horizontal="center" vertical="center"/>
      <protection locked="0" hidden="1"/>
    </xf>
    <xf numFmtId="0" fontId="14" fillId="12" borderId="54" xfId="2" applyFont="1" applyFill="1" applyBorder="1" applyAlignment="1" applyProtection="1">
      <alignment horizontal="left" vertical="center"/>
      <protection locked="0" hidden="1"/>
    </xf>
    <xf numFmtId="0" fontId="14" fillId="12" borderId="17" xfId="2" applyNumberFormat="1" applyFont="1" applyFill="1" applyBorder="1" applyAlignment="1" applyProtection="1">
      <alignment horizontal="center" vertical="center"/>
      <protection locked="0" hidden="1"/>
    </xf>
    <xf numFmtId="0" fontId="14" fillId="12" borderId="51" xfId="2" applyFont="1" applyFill="1" applyBorder="1" applyProtection="1">
      <alignment vertical="center"/>
      <protection locked="0" hidden="1"/>
    </xf>
    <xf numFmtId="177" fontId="14" fillId="12" borderId="14" xfId="2" applyNumberFormat="1" applyFont="1" applyFill="1" applyBorder="1" applyAlignment="1" applyProtection="1">
      <alignment horizontal="right" vertical="center"/>
      <protection locked="0" hidden="1"/>
    </xf>
    <xf numFmtId="0" fontId="14" fillId="12" borderId="53" xfId="2" applyFont="1" applyFill="1" applyBorder="1" applyProtection="1">
      <alignment vertical="center"/>
      <protection locked="0" hidden="1"/>
    </xf>
    <xf numFmtId="177" fontId="14" fillId="12" borderId="15" xfId="2" applyNumberFormat="1" applyFont="1" applyFill="1" applyBorder="1" applyAlignment="1" applyProtection="1">
      <alignment horizontal="right" vertical="center"/>
      <protection locked="0" hidden="1"/>
    </xf>
    <xf numFmtId="0" fontId="14" fillId="8" borderId="53" xfId="2" applyFont="1" applyFill="1" applyBorder="1" applyProtection="1">
      <alignment vertical="center"/>
      <protection locked="0" hidden="1"/>
    </xf>
    <xf numFmtId="177" fontId="14" fillId="8" borderId="15" xfId="2" applyNumberFormat="1" applyFont="1" applyFill="1" applyBorder="1" applyAlignment="1" applyProtection="1">
      <alignment horizontal="right" vertical="center"/>
      <protection locked="0" hidden="1"/>
    </xf>
    <xf numFmtId="0" fontId="14" fillId="8" borderId="54" xfId="2" applyFont="1" applyFill="1" applyBorder="1" applyProtection="1">
      <alignment vertical="center"/>
      <protection locked="0" hidden="1"/>
    </xf>
    <xf numFmtId="177" fontId="14" fillId="8" borderId="17" xfId="2" applyNumberFormat="1" applyFont="1" applyFill="1" applyBorder="1" applyAlignment="1" applyProtection="1">
      <alignment horizontal="right" vertical="center"/>
      <protection locked="0" hidden="1"/>
    </xf>
    <xf numFmtId="183" fontId="14" fillId="19" borderId="136" xfId="0" applyNumberFormat="1" applyFont="1" applyFill="1" applyBorder="1" applyAlignment="1" applyProtection="1">
      <alignment horizontal="center" vertical="center"/>
      <protection hidden="1"/>
    </xf>
    <xf numFmtId="0" fontId="8" fillId="19" borderId="185" xfId="0" applyFont="1" applyFill="1" applyBorder="1" applyAlignment="1" applyProtection="1">
      <alignment horizontal="center" vertical="center"/>
      <protection hidden="1"/>
    </xf>
    <xf numFmtId="183" fontId="14" fillId="19" borderId="81" xfId="0" applyNumberFormat="1" applyFont="1" applyFill="1" applyBorder="1" applyAlignment="1" applyProtection="1">
      <alignment horizontal="center" vertical="center"/>
      <protection hidden="1"/>
    </xf>
    <xf numFmtId="0" fontId="8" fillId="19" borderId="188" xfId="0" applyFont="1" applyFill="1" applyBorder="1" applyAlignment="1" applyProtection="1">
      <alignment horizontal="center" vertical="center"/>
      <protection hidden="1"/>
    </xf>
    <xf numFmtId="0" fontId="14" fillId="19" borderId="81" xfId="2" applyFont="1" applyFill="1" applyBorder="1" applyAlignment="1" applyProtection="1">
      <alignment horizontal="center" vertical="center"/>
      <protection hidden="1"/>
    </xf>
    <xf numFmtId="0" fontId="14" fillId="19" borderId="188" xfId="2" applyFont="1" applyFill="1" applyBorder="1" applyAlignment="1" applyProtection="1">
      <alignment horizontal="center" vertical="center"/>
      <protection hidden="1"/>
    </xf>
    <xf numFmtId="0" fontId="14" fillId="19" borderId="189" xfId="2" applyFont="1" applyFill="1" applyBorder="1" applyAlignment="1" applyProtection="1">
      <alignment horizontal="center" vertical="center"/>
      <protection hidden="1"/>
    </xf>
    <xf numFmtId="0" fontId="14" fillId="19" borderId="49" xfId="2" applyFont="1" applyFill="1" applyBorder="1" applyAlignment="1" applyProtection="1">
      <alignment horizontal="center" vertical="center"/>
      <protection hidden="1"/>
    </xf>
    <xf numFmtId="0" fontId="14" fillId="19" borderId="29" xfId="0" applyFont="1" applyFill="1" applyBorder="1" applyAlignment="1" applyProtection="1">
      <alignment horizontal="left" vertical="center"/>
      <protection hidden="1"/>
    </xf>
    <xf numFmtId="0" fontId="14" fillId="19" borderId="190" xfId="0" applyFont="1" applyFill="1" applyBorder="1" applyAlignment="1" applyProtection="1">
      <alignment horizontal="left" vertical="center"/>
      <protection hidden="1"/>
    </xf>
    <xf numFmtId="0" fontId="14" fillId="19" borderId="190" xfId="2" applyFont="1" applyFill="1" applyBorder="1" applyAlignment="1" applyProtection="1">
      <alignment horizontal="left" vertical="center"/>
      <protection hidden="1"/>
    </xf>
    <xf numFmtId="0" fontId="14" fillId="19" borderId="77" xfId="2" applyFont="1" applyFill="1" applyBorder="1" applyAlignment="1" applyProtection="1">
      <alignment horizontal="left" vertical="center"/>
      <protection hidden="1"/>
    </xf>
    <xf numFmtId="0" fontId="14" fillId="19" borderId="191" xfId="2" applyFont="1" applyFill="1" applyBorder="1" applyAlignment="1" applyProtection="1">
      <alignment horizontal="center" vertical="center"/>
      <protection hidden="1"/>
    </xf>
    <xf numFmtId="0" fontId="14" fillId="19" borderId="192" xfId="2" applyFont="1" applyFill="1" applyBorder="1" applyAlignment="1" applyProtection="1">
      <alignment horizontal="center" vertical="center"/>
      <protection hidden="1"/>
    </xf>
    <xf numFmtId="0" fontId="14" fillId="19" borderId="193" xfId="2" applyFont="1" applyFill="1" applyBorder="1" applyAlignment="1" applyProtection="1">
      <alignment horizontal="center" vertical="center"/>
      <protection hidden="1"/>
    </xf>
    <xf numFmtId="0" fontId="14" fillId="19" borderId="194" xfId="2" applyFont="1" applyFill="1" applyBorder="1" applyAlignment="1" applyProtection="1">
      <alignment horizontal="center" vertical="center"/>
      <protection hidden="1"/>
    </xf>
    <xf numFmtId="0" fontId="14" fillId="19" borderId="195" xfId="2" applyFont="1" applyFill="1" applyBorder="1" applyAlignment="1" applyProtection="1">
      <alignment horizontal="center" vertical="center"/>
      <protection hidden="1"/>
    </xf>
    <xf numFmtId="0" fontId="14" fillId="19" borderId="196" xfId="2" applyFont="1" applyFill="1" applyBorder="1" applyAlignment="1" applyProtection="1">
      <alignment horizontal="center" vertical="center"/>
      <protection hidden="1"/>
    </xf>
    <xf numFmtId="0" fontId="14" fillId="19" borderId="197" xfId="2" applyFont="1" applyFill="1" applyBorder="1" applyAlignment="1" applyProtection="1">
      <alignment horizontal="left" vertical="center"/>
      <protection hidden="1"/>
    </xf>
    <xf numFmtId="0" fontId="14" fillId="19" borderId="124" xfId="2" applyFont="1" applyFill="1" applyBorder="1" applyAlignment="1" applyProtection="1">
      <alignment horizontal="left" vertical="center"/>
      <protection hidden="1"/>
    </xf>
    <xf numFmtId="0" fontId="14" fillId="19" borderId="198" xfId="2" applyFont="1" applyFill="1" applyBorder="1" applyAlignment="1" applyProtection="1">
      <alignment horizontal="left" vertical="center"/>
      <protection hidden="1"/>
    </xf>
    <xf numFmtId="0" fontId="14" fillId="5" borderId="0" xfId="8" applyFont="1" applyFill="1" applyAlignment="1" applyProtection="1">
      <alignment horizontal="left" shrinkToFit="1"/>
      <protection hidden="1"/>
    </xf>
    <xf numFmtId="0" fontId="14" fillId="5" borderId="0" xfId="8" applyFont="1" applyFill="1" applyBorder="1" applyAlignment="1" applyProtection="1">
      <alignment horizontal="left" shrinkToFit="1"/>
      <protection hidden="1"/>
    </xf>
    <xf numFmtId="0" fontId="35" fillId="7" borderId="0" xfId="0" applyFont="1" applyFill="1" applyAlignment="1">
      <alignment horizontal="center" vertical="center"/>
    </xf>
    <xf numFmtId="0" fontId="12" fillId="7" borderId="0" xfId="0" applyFont="1" applyFill="1" applyAlignment="1">
      <alignment horizontal="center" vertical="center"/>
    </xf>
    <xf numFmtId="0" fontId="35" fillId="5" borderId="0" xfId="0" applyFont="1" applyFill="1" applyAlignment="1">
      <alignment horizontal="center" vertical="center"/>
    </xf>
    <xf numFmtId="0" fontId="0" fillId="5" borderId="0" xfId="0" applyFill="1" applyAlignment="1">
      <alignment horizontal="center" vertical="center"/>
    </xf>
    <xf numFmtId="0" fontId="100" fillId="15" borderId="0" xfId="6" applyFont="1" applyFill="1" applyBorder="1" applyAlignment="1">
      <alignment horizontal="center" vertical="center"/>
    </xf>
    <xf numFmtId="0" fontId="100" fillId="15" borderId="10" xfId="6" applyFont="1" applyFill="1" applyBorder="1" applyAlignment="1">
      <alignment horizontal="center" vertical="center"/>
    </xf>
    <xf numFmtId="0" fontId="97" fillId="5" borderId="75" xfId="6" applyFont="1" applyFill="1" applyBorder="1" applyAlignment="1">
      <alignment horizontal="left" vertical="top"/>
    </xf>
    <xf numFmtId="0" fontId="6" fillId="0" borderId="0" xfId="0" applyFont="1" applyFill="1" applyBorder="1" applyAlignment="1">
      <alignment horizontal="center" vertical="center"/>
    </xf>
    <xf numFmtId="0" fontId="42" fillId="5" borderId="30" xfId="0" applyFont="1" applyFill="1" applyBorder="1" applyAlignment="1" applyProtection="1">
      <alignment horizontal="center" vertical="center"/>
      <protection locked="0" hidden="1"/>
    </xf>
    <xf numFmtId="0" fontId="42" fillId="5" borderId="35" xfId="0" applyFont="1" applyFill="1" applyBorder="1" applyAlignment="1" applyProtection="1">
      <alignment horizontal="center" vertical="center"/>
      <protection locked="0" hidden="1"/>
    </xf>
    <xf numFmtId="0" fontId="84" fillId="0" borderId="136" xfId="6" applyFont="1" applyFill="1" applyBorder="1" applyAlignment="1" applyProtection="1">
      <alignment vertical="center"/>
      <protection locked="0" hidden="1"/>
    </xf>
    <xf numFmtId="0" fontId="84" fillId="0" borderId="35" xfId="6" applyFont="1" applyFill="1" applyBorder="1" applyAlignment="1" applyProtection="1">
      <alignment vertical="center"/>
      <protection locked="0" hidden="1"/>
    </xf>
    <xf numFmtId="49" fontId="83" fillId="0" borderId="136" xfId="6" applyNumberFormat="1" applyFont="1" applyFill="1" applyBorder="1" applyAlignment="1" applyProtection="1">
      <alignment horizontal="left" vertical="center"/>
      <protection locked="0" hidden="1"/>
    </xf>
    <xf numFmtId="49" fontId="83" fillId="0" borderId="30" xfId="6" applyNumberFormat="1" applyFont="1" applyFill="1" applyBorder="1" applyAlignment="1" applyProtection="1">
      <alignment horizontal="left" vertical="center"/>
      <protection locked="0" hidden="1"/>
    </xf>
    <xf numFmtId="49" fontId="83" fillId="0" borderId="35" xfId="6" applyNumberFormat="1" applyFont="1" applyFill="1" applyBorder="1" applyAlignment="1" applyProtection="1">
      <alignment horizontal="left" vertical="center"/>
      <protection locked="0" hidden="1"/>
    </xf>
    <xf numFmtId="0" fontId="87" fillId="0" borderId="154" xfId="0" applyFont="1" applyFill="1" applyBorder="1" applyAlignment="1" applyProtection="1">
      <alignment horizontal="center" vertical="center" justifyLastLine="1"/>
      <protection hidden="1"/>
    </xf>
    <xf numFmtId="0" fontId="87" fillId="0" borderId="151" xfId="0" applyFont="1" applyFill="1" applyBorder="1" applyAlignment="1" applyProtection="1">
      <alignment horizontal="center" vertical="center" justifyLastLine="1"/>
      <protection hidden="1"/>
    </xf>
    <xf numFmtId="0" fontId="87" fillId="0" borderId="162" xfId="0" applyFont="1" applyBorder="1" applyAlignment="1" applyProtection="1">
      <alignment horizontal="distributed" vertical="center" justifyLastLine="1"/>
      <protection hidden="1"/>
    </xf>
    <xf numFmtId="0" fontId="87" fillId="0" borderId="163" xfId="0" applyFont="1" applyBorder="1" applyAlignment="1" applyProtection="1">
      <alignment horizontal="distributed" vertical="center" justifyLastLine="1"/>
      <protection hidden="1"/>
    </xf>
    <xf numFmtId="0" fontId="87" fillId="0" borderId="154" xfId="0" applyFont="1" applyFill="1" applyBorder="1" applyAlignment="1" applyProtection="1">
      <alignment horizontal="center" vertical="center" wrapText="1"/>
      <protection hidden="1"/>
    </xf>
    <xf numFmtId="0" fontId="87" fillId="0" borderId="151" xfId="0" applyFont="1" applyFill="1" applyBorder="1" applyAlignment="1" applyProtection="1">
      <alignment horizontal="center" vertical="center" wrapText="1"/>
      <protection hidden="1"/>
    </xf>
    <xf numFmtId="0" fontId="88" fillId="0" borderId="154" xfId="0" applyFont="1" applyBorder="1" applyAlignment="1" applyProtection="1">
      <alignment vertical="center" textRotation="255"/>
      <protection hidden="1"/>
    </xf>
    <xf numFmtId="0" fontId="88" fillId="0" borderId="151" xfId="0" applyFont="1" applyBorder="1" applyAlignment="1" applyProtection="1">
      <alignment vertical="center" textRotation="255"/>
      <protection hidden="1"/>
    </xf>
    <xf numFmtId="0" fontId="88" fillId="0" borderId="154" xfId="0" applyFont="1" applyBorder="1" applyAlignment="1" applyProtection="1">
      <alignment horizontal="center" vertical="center" textRotation="255"/>
      <protection hidden="1"/>
    </xf>
    <xf numFmtId="0" fontId="88" fillId="0" borderId="151" xfId="0" applyFont="1" applyBorder="1" applyAlignment="1" applyProtection="1">
      <alignment horizontal="center" vertical="center" textRotation="255"/>
      <protection hidden="1"/>
    </xf>
    <xf numFmtId="49" fontId="88" fillId="0" borderId="160" xfId="0" applyNumberFormat="1" applyFont="1" applyBorder="1" applyAlignment="1" applyProtection="1">
      <alignment horizontal="distributed" vertical="center" justifyLastLine="1"/>
      <protection hidden="1"/>
    </xf>
    <xf numFmtId="49" fontId="88" fillId="0" borderId="161" xfId="0" applyNumberFormat="1" applyFont="1" applyBorder="1" applyAlignment="1" applyProtection="1">
      <alignment horizontal="distributed" vertical="center" justifyLastLine="1"/>
      <protection hidden="1"/>
    </xf>
    <xf numFmtId="0" fontId="42" fillId="5" borderId="136" xfId="0" applyFont="1" applyFill="1" applyBorder="1" applyAlignment="1" applyProtection="1">
      <alignment horizontal="center" vertical="center"/>
      <protection locked="0" hidden="1"/>
    </xf>
    <xf numFmtId="49" fontId="97" fillId="0" borderId="136" xfId="6" applyNumberFormat="1" applyFont="1" applyFill="1" applyBorder="1" applyAlignment="1" applyProtection="1">
      <alignment horizontal="left" vertical="center"/>
      <protection locked="0" hidden="1"/>
    </xf>
    <xf numFmtId="0" fontId="97" fillId="0" borderId="30" xfId="6" applyNumberFormat="1" applyFont="1" applyFill="1" applyBorder="1" applyAlignment="1" applyProtection="1">
      <alignment horizontal="left" vertical="center"/>
      <protection locked="0" hidden="1"/>
    </xf>
    <xf numFmtId="0" fontId="97" fillId="0" borderId="35" xfId="6" applyNumberFormat="1" applyFont="1" applyFill="1" applyBorder="1" applyAlignment="1" applyProtection="1">
      <alignment horizontal="left" vertical="center"/>
      <protection locked="0" hidden="1"/>
    </xf>
    <xf numFmtId="0" fontId="96" fillId="0" borderId="26" xfId="6" applyFont="1" applyFill="1" applyBorder="1" applyAlignment="1" applyProtection="1">
      <alignment vertical="center" shrinkToFit="1"/>
      <protection locked="0" hidden="1"/>
    </xf>
    <xf numFmtId="0" fontId="96" fillId="0" borderId="58" xfId="6" applyFont="1" applyFill="1" applyBorder="1" applyAlignment="1" applyProtection="1">
      <alignment vertical="center" shrinkToFit="1"/>
      <protection locked="0" hidden="1"/>
    </xf>
    <xf numFmtId="0" fontId="70" fillId="5" borderId="0" xfId="8" applyFont="1" applyFill="1" applyBorder="1" applyAlignment="1" applyProtection="1">
      <alignment horizontal="left"/>
      <protection hidden="1"/>
    </xf>
    <xf numFmtId="0" fontId="14" fillId="13" borderId="26" xfId="9" applyFont="1" applyFill="1" applyBorder="1" applyAlignment="1" applyProtection="1">
      <alignment horizontal="center"/>
      <protection hidden="1"/>
    </xf>
    <xf numFmtId="0" fontId="14" fillId="13" borderId="58" xfId="9" applyFont="1" applyFill="1" applyBorder="1" applyAlignment="1" applyProtection="1">
      <alignment horizontal="center"/>
      <protection hidden="1"/>
    </xf>
    <xf numFmtId="0" fontId="14" fillId="9" borderId="26" xfId="9" applyFont="1" applyFill="1" applyBorder="1" applyAlignment="1" applyProtection="1">
      <alignment horizontal="center"/>
      <protection hidden="1"/>
    </xf>
    <xf numFmtId="0" fontId="14" fillId="9" borderId="58" xfId="9" applyFont="1" applyFill="1" applyBorder="1" applyAlignment="1" applyProtection="1">
      <alignment horizontal="center"/>
      <protection hidden="1"/>
    </xf>
    <xf numFmtId="0" fontId="14" fillId="0" borderId="26" xfId="9" applyFont="1" applyBorder="1" applyAlignment="1" applyProtection="1">
      <alignment horizontal="center" shrinkToFit="1"/>
      <protection hidden="1"/>
    </xf>
    <xf numFmtId="0" fontId="14" fillId="0" borderId="58" xfId="9" applyFont="1" applyBorder="1" applyAlignment="1" applyProtection="1">
      <alignment horizontal="center" shrinkToFit="1"/>
      <protection hidden="1"/>
    </xf>
    <xf numFmtId="176" fontId="37" fillId="5" borderId="0" xfId="9" applyNumberFormat="1" applyFont="1" applyFill="1" applyBorder="1" applyAlignment="1" applyProtection="1">
      <alignment horizontal="left" shrinkToFit="1"/>
      <protection hidden="1"/>
    </xf>
    <xf numFmtId="0" fontId="8" fillId="5" borderId="0" xfId="9" applyFont="1" applyFill="1" applyBorder="1" applyAlignment="1" applyProtection="1">
      <alignment horizontal="center"/>
      <protection hidden="1"/>
    </xf>
    <xf numFmtId="0" fontId="14" fillId="17" borderId="88" xfId="8" applyFont="1" applyFill="1" applyBorder="1" applyAlignment="1" applyProtection="1">
      <alignment horizontal="center"/>
      <protection hidden="1"/>
    </xf>
    <xf numFmtId="0" fontId="14" fillId="17" borderId="89" xfId="8" applyFont="1" applyFill="1" applyBorder="1" applyAlignment="1" applyProtection="1">
      <alignment horizontal="center"/>
      <protection hidden="1"/>
    </xf>
    <xf numFmtId="0" fontId="8" fillId="5" borderId="88" xfId="8" applyFont="1" applyFill="1" applyBorder="1" applyAlignment="1" applyProtection="1">
      <alignment horizontal="center"/>
      <protection hidden="1"/>
    </xf>
    <xf numFmtId="0" fontId="8" fillId="5" borderId="89" xfId="8" applyFont="1" applyFill="1" applyBorder="1" applyAlignment="1" applyProtection="1">
      <alignment horizontal="center"/>
      <protection hidden="1"/>
    </xf>
    <xf numFmtId="0" fontId="103" fillId="16" borderId="75" xfId="8" applyFont="1" applyFill="1" applyBorder="1" applyAlignment="1" applyProtection="1">
      <alignment horizontal="center" wrapText="1" shrinkToFit="1"/>
      <protection hidden="1"/>
    </xf>
    <xf numFmtId="0" fontId="14" fillId="5" borderId="137" xfId="8" applyFont="1" applyFill="1" applyBorder="1" applyAlignment="1" applyProtection="1">
      <alignment horizontal="center"/>
      <protection hidden="1"/>
    </xf>
    <xf numFmtId="0" fontId="14" fillId="5" borderId="43" xfId="8" applyFont="1" applyFill="1" applyBorder="1" applyAlignment="1" applyProtection="1">
      <alignment horizontal="center"/>
      <protection hidden="1"/>
    </xf>
    <xf numFmtId="0" fontId="14" fillId="10" borderId="82" xfId="8" applyFont="1" applyFill="1" applyBorder="1" applyAlignment="1" applyProtection="1">
      <alignment horizontal="center"/>
      <protection hidden="1"/>
    </xf>
    <xf numFmtId="0" fontId="14" fillId="10" borderId="47" xfId="8" applyFont="1" applyFill="1" applyBorder="1" applyAlignment="1" applyProtection="1">
      <alignment horizontal="center"/>
      <protection hidden="1"/>
    </xf>
    <xf numFmtId="0" fontId="32" fillId="0" borderId="51" xfId="8" applyFont="1" applyBorder="1" applyAlignment="1" applyProtection="1">
      <alignment horizontal="center"/>
      <protection hidden="1"/>
    </xf>
    <xf numFmtId="0" fontId="32" fillId="0" borderId="6" xfId="8" applyFont="1" applyBorder="1" applyAlignment="1" applyProtection="1">
      <alignment horizontal="center"/>
      <protection hidden="1"/>
    </xf>
    <xf numFmtId="0" fontId="32" fillId="0" borderId="14" xfId="8" applyFont="1" applyBorder="1" applyAlignment="1" applyProtection="1">
      <alignment horizontal="center"/>
      <protection hidden="1"/>
    </xf>
    <xf numFmtId="0" fontId="8" fillId="5" borderId="53" xfId="12" applyFont="1" applyFill="1" applyBorder="1" applyAlignment="1" applyProtection="1">
      <alignment horizontal="center" shrinkToFit="1"/>
      <protection hidden="1"/>
    </xf>
    <xf numFmtId="0" fontId="8" fillId="5" borderId="4" xfId="12" applyFont="1" applyFill="1" applyBorder="1" applyAlignment="1" applyProtection="1">
      <alignment horizontal="center" shrinkToFit="1"/>
      <protection hidden="1"/>
    </xf>
    <xf numFmtId="0" fontId="32" fillId="10" borderId="82" xfId="12" applyFont="1" applyFill="1" applyBorder="1" applyAlignment="1" applyProtection="1">
      <alignment horizontal="center" shrinkToFit="1"/>
      <protection hidden="1"/>
    </xf>
    <xf numFmtId="0" fontId="32" fillId="10" borderId="131" xfId="12" applyFont="1" applyFill="1" applyBorder="1" applyAlignment="1" applyProtection="1">
      <alignment horizontal="center" shrinkToFit="1"/>
      <protection hidden="1"/>
    </xf>
    <xf numFmtId="0" fontId="32" fillId="10" borderId="47" xfId="12" applyFont="1" applyFill="1" applyBorder="1" applyAlignment="1" applyProtection="1">
      <alignment horizontal="center" shrinkToFit="1"/>
      <protection hidden="1"/>
    </xf>
    <xf numFmtId="0" fontId="32" fillId="9" borderId="164" xfId="12" applyFont="1" applyFill="1" applyBorder="1" applyAlignment="1" applyProtection="1">
      <alignment horizontal="center" shrinkToFit="1"/>
      <protection hidden="1"/>
    </xf>
    <xf numFmtId="0" fontId="32" fillId="9" borderId="165" xfId="12" applyFont="1" applyFill="1" applyBorder="1" applyAlignment="1" applyProtection="1">
      <alignment horizontal="center" shrinkToFit="1"/>
      <protection hidden="1"/>
    </xf>
    <xf numFmtId="0" fontId="32" fillId="9" borderId="166" xfId="12" applyFont="1" applyFill="1" applyBorder="1" applyAlignment="1" applyProtection="1">
      <alignment horizontal="center" shrinkToFit="1"/>
      <protection hidden="1"/>
    </xf>
    <xf numFmtId="0" fontId="14" fillId="10" borderId="86" xfId="8" applyFont="1" applyFill="1" applyBorder="1" applyAlignment="1" applyProtection="1">
      <alignment horizontal="center"/>
      <protection hidden="1"/>
    </xf>
    <xf numFmtId="0" fontId="14" fillId="10" borderId="87" xfId="8" applyFont="1" applyFill="1" applyBorder="1" applyAlignment="1" applyProtection="1">
      <alignment horizontal="center"/>
      <protection hidden="1"/>
    </xf>
    <xf numFmtId="0" fontId="99" fillId="14" borderId="81" xfId="8" applyFont="1" applyFill="1" applyBorder="1" applyAlignment="1" applyProtection="1">
      <alignment horizontal="center" shrinkToFit="1"/>
      <protection hidden="1"/>
    </xf>
    <xf numFmtId="0" fontId="99" fillId="14" borderId="0" xfId="8" applyFont="1" applyFill="1" applyBorder="1" applyAlignment="1" applyProtection="1">
      <alignment horizontal="center" shrinkToFit="1"/>
      <protection hidden="1"/>
    </xf>
    <xf numFmtId="0" fontId="14" fillId="9" borderId="137" xfId="8" applyFont="1" applyFill="1" applyBorder="1" applyAlignment="1" applyProtection="1">
      <alignment horizontal="center" shrinkToFit="1"/>
      <protection hidden="1"/>
    </xf>
    <xf numFmtId="0" fontId="14" fillId="9" borderId="43" xfId="8" applyFont="1" applyFill="1" applyBorder="1" applyAlignment="1" applyProtection="1">
      <alignment horizontal="center" shrinkToFit="1"/>
      <protection hidden="1"/>
    </xf>
    <xf numFmtId="0" fontId="14" fillId="9" borderId="87" xfId="8" applyFont="1" applyFill="1" applyBorder="1" applyAlignment="1" applyProtection="1">
      <alignment horizontal="center"/>
      <protection hidden="1"/>
    </xf>
    <xf numFmtId="0" fontId="14" fillId="9" borderId="1" xfId="8" applyFont="1" applyFill="1" applyBorder="1" applyAlignment="1" applyProtection="1">
      <alignment horizontal="center"/>
      <protection hidden="1"/>
    </xf>
    <xf numFmtId="0" fontId="8" fillId="5" borderId="25" xfId="8" applyFont="1" applyFill="1" applyBorder="1" applyAlignment="1" applyProtection="1">
      <alignment horizontal="center"/>
      <protection hidden="1"/>
    </xf>
    <xf numFmtId="0" fontId="14" fillId="10" borderId="88" xfId="8" applyFont="1" applyFill="1" applyBorder="1" applyAlignment="1" applyProtection="1">
      <alignment horizontal="center"/>
      <protection hidden="1"/>
    </xf>
    <xf numFmtId="0" fontId="14" fillId="10" borderId="25" xfId="8" applyFont="1" applyFill="1" applyBorder="1" applyAlignment="1" applyProtection="1">
      <alignment horizontal="center"/>
      <protection hidden="1"/>
    </xf>
    <xf numFmtId="0" fontId="14" fillId="9" borderId="25" xfId="8" applyFont="1" applyFill="1" applyBorder="1" applyAlignment="1" applyProtection="1">
      <alignment horizontal="center"/>
      <protection hidden="1"/>
    </xf>
    <xf numFmtId="0" fontId="14" fillId="9" borderId="89" xfId="8" applyFont="1" applyFill="1" applyBorder="1" applyAlignment="1" applyProtection="1">
      <alignment horizontal="center"/>
      <protection hidden="1"/>
    </xf>
    <xf numFmtId="0" fontId="8" fillId="5" borderId="0" xfId="8" applyFont="1" applyFill="1" applyBorder="1" applyAlignment="1" applyProtection="1">
      <alignment horizontal="center"/>
      <protection hidden="1"/>
    </xf>
    <xf numFmtId="0" fontId="14" fillId="17" borderId="86" xfId="8" applyFont="1" applyFill="1" applyBorder="1" applyAlignment="1" applyProtection="1">
      <alignment horizontal="center"/>
      <protection hidden="1"/>
    </xf>
    <xf numFmtId="0" fontId="14" fillId="17" borderId="1" xfId="8" applyFont="1" applyFill="1" applyBorder="1" applyAlignment="1" applyProtection="1">
      <alignment horizontal="center"/>
      <protection hidden="1"/>
    </xf>
    <xf numFmtId="0" fontId="14" fillId="5" borderId="0" xfId="8" applyFont="1" applyFill="1" applyBorder="1" applyAlignment="1" applyProtection="1">
      <alignment horizontal="center"/>
      <protection hidden="1"/>
    </xf>
    <xf numFmtId="176" fontId="37" fillId="5" borderId="0" xfId="9" applyNumberFormat="1" applyFont="1" applyFill="1" applyBorder="1" applyAlignment="1" applyProtection="1">
      <alignment horizontal="center" shrinkToFit="1"/>
      <protection hidden="1"/>
    </xf>
    <xf numFmtId="0" fontId="8" fillId="0" borderId="26" xfId="9" applyFont="1" applyBorder="1" applyAlignment="1" applyProtection="1">
      <alignment horizontal="center"/>
      <protection hidden="1"/>
    </xf>
    <xf numFmtId="0" fontId="8" fillId="0" borderId="58" xfId="9" applyFont="1" applyBorder="1" applyAlignment="1" applyProtection="1">
      <alignment horizontal="center"/>
      <protection hidden="1"/>
    </xf>
    <xf numFmtId="0" fontId="14" fillId="10" borderId="51" xfId="8" applyFont="1" applyFill="1" applyBorder="1" applyAlignment="1" applyProtection="1">
      <alignment horizontal="center"/>
      <protection hidden="1"/>
    </xf>
    <xf numFmtId="0" fontId="14" fillId="10" borderId="14" xfId="8" applyFont="1" applyFill="1" applyBorder="1" applyAlignment="1" applyProtection="1">
      <alignment horizontal="center"/>
      <protection hidden="1"/>
    </xf>
    <xf numFmtId="0" fontId="14" fillId="9" borderId="86" xfId="8" applyFont="1" applyFill="1" applyBorder="1" applyAlignment="1" applyProtection="1">
      <alignment horizontal="center"/>
      <protection hidden="1"/>
    </xf>
    <xf numFmtId="0" fontId="14" fillId="9" borderId="66" xfId="8" applyFont="1" applyFill="1" applyBorder="1" applyAlignment="1" applyProtection="1">
      <alignment horizontal="center" shrinkToFit="1"/>
      <protection hidden="1"/>
    </xf>
    <xf numFmtId="0" fontId="14" fillId="9" borderId="34" xfId="8" applyFont="1" applyFill="1" applyBorder="1" applyAlignment="1" applyProtection="1">
      <alignment horizontal="center" shrinkToFit="1"/>
      <protection hidden="1"/>
    </xf>
    <xf numFmtId="0" fontId="14" fillId="9" borderId="66" xfId="8" applyFont="1" applyFill="1" applyBorder="1" applyAlignment="1" applyProtection="1">
      <alignment horizontal="center"/>
      <protection hidden="1"/>
    </xf>
    <xf numFmtId="0" fontId="14" fillId="9" borderId="34" xfId="8" applyFont="1" applyFill="1" applyBorder="1" applyAlignment="1" applyProtection="1">
      <alignment horizontal="center"/>
      <protection hidden="1"/>
    </xf>
    <xf numFmtId="0" fontId="68" fillId="5" borderId="0" xfId="8" applyFont="1" applyFill="1" applyBorder="1" applyAlignment="1" applyProtection="1">
      <alignment horizontal="left" vertical="center"/>
      <protection hidden="1"/>
    </xf>
    <xf numFmtId="0" fontId="14" fillId="10" borderId="66" xfId="8" applyFont="1" applyFill="1" applyBorder="1" applyAlignment="1" applyProtection="1">
      <alignment horizontal="center"/>
      <protection hidden="1"/>
    </xf>
    <xf numFmtId="0" fontId="14" fillId="10" borderId="34" xfId="8" applyFont="1" applyFill="1" applyBorder="1" applyAlignment="1" applyProtection="1">
      <alignment horizontal="center"/>
      <protection hidden="1"/>
    </xf>
    <xf numFmtId="0" fontId="8" fillId="0" borderId="26" xfId="8" applyFont="1" applyBorder="1" applyAlignment="1" applyProtection="1">
      <alignment horizontal="center"/>
      <protection hidden="1"/>
    </xf>
    <xf numFmtId="0" fontId="8" fillId="0" borderId="58" xfId="8" applyFont="1" applyBorder="1" applyAlignment="1" applyProtection="1">
      <alignment horizontal="center"/>
      <protection hidden="1"/>
    </xf>
    <xf numFmtId="0" fontId="8" fillId="2" borderId="26" xfId="8" applyFont="1" applyFill="1" applyBorder="1" applyAlignment="1" applyProtection="1">
      <alignment horizontal="center"/>
      <protection hidden="1"/>
    </xf>
    <xf numFmtId="0" fontId="8" fillId="2" borderId="58" xfId="8" applyFont="1" applyFill="1" applyBorder="1" applyAlignment="1" applyProtection="1">
      <alignment horizontal="center"/>
      <protection hidden="1"/>
    </xf>
    <xf numFmtId="0" fontId="14" fillId="5" borderId="98" xfId="8" applyFont="1" applyFill="1" applyBorder="1" applyAlignment="1" applyProtection="1">
      <alignment horizontal="right" vertical="center" shrinkToFit="1"/>
      <protection hidden="1"/>
    </xf>
    <xf numFmtId="0" fontId="14" fillId="5" borderId="120" xfId="8" applyFont="1" applyFill="1" applyBorder="1" applyAlignment="1" applyProtection="1">
      <alignment horizontal="right" vertical="center" shrinkToFit="1"/>
      <protection hidden="1"/>
    </xf>
    <xf numFmtId="0" fontId="75" fillId="0" borderId="0" xfId="0" applyFont="1" applyFill="1" applyAlignment="1" applyProtection="1">
      <alignment horizontal="center" vertical="center"/>
      <protection locked="0"/>
    </xf>
    <xf numFmtId="0" fontId="76" fillId="5" borderId="0" xfId="10" applyFont="1" applyFill="1" applyBorder="1" applyAlignment="1" applyProtection="1">
      <alignment horizontal="center" vertical="center"/>
      <protection hidden="1"/>
    </xf>
    <xf numFmtId="0" fontId="75" fillId="5" borderId="0" xfId="10" applyFont="1" applyFill="1" applyBorder="1" applyAlignment="1" applyProtection="1">
      <alignment horizontal="center" vertical="center"/>
      <protection hidden="1"/>
    </xf>
    <xf numFmtId="49" fontId="75" fillId="5" borderId="0" xfId="10" applyNumberFormat="1" applyFont="1" applyFill="1" applyBorder="1" applyAlignment="1" applyProtection="1">
      <alignment horizontal="center" vertical="center"/>
      <protection hidden="1"/>
    </xf>
    <xf numFmtId="14" fontId="75" fillId="0" borderId="0" xfId="0" applyNumberFormat="1" applyFont="1" applyFill="1" applyAlignment="1" applyProtection="1">
      <alignment horizontal="left" vertical="center"/>
      <protection locked="0" hidden="1"/>
    </xf>
    <xf numFmtId="0" fontId="68" fillId="5" borderId="0" xfId="10" applyFont="1" applyFill="1" applyBorder="1" applyAlignment="1" applyProtection="1">
      <alignment horizontal="center" vertical="center"/>
      <protection hidden="1"/>
    </xf>
    <xf numFmtId="0" fontId="23" fillId="5" borderId="0" xfId="10" applyFont="1" applyFill="1" applyBorder="1" applyAlignment="1" applyProtection="1">
      <alignment horizontal="center" vertical="center"/>
      <protection hidden="1"/>
    </xf>
    <xf numFmtId="49" fontId="23" fillId="5" borderId="0" xfId="10" applyNumberFormat="1" applyFont="1" applyFill="1" applyBorder="1" applyAlignment="1" applyProtection="1">
      <alignment horizontal="center" vertical="center"/>
      <protection hidden="1"/>
    </xf>
    <xf numFmtId="0" fontId="8" fillId="0" borderId="26" xfId="8" applyNumberFormat="1" applyFont="1" applyBorder="1" applyAlignment="1" applyProtection="1">
      <alignment horizontal="center"/>
      <protection locked="0" hidden="1"/>
    </xf>
    <xf numFmtId="0" fontId="8" fillId="0" borderId="58" xfId="8" applyNumberFormat="1" applyFont="1" applyBorder="1" applyAlignment="1" applyProtection="1">
      <alignment horizontal="center"/>
      <protection locked="0" hidden="1"/>
    </xf>
    <xf numFmtId="0" fontId="68" fillId="5" borderId="0" xfId="13" applyNumberFormat="1" applyFont="1" applyFill="1" applyAlignment="1" applyProtection="1">
      <alignment horizontal="left" vertical="center" shrinkToFit="1"/>
      <protection hidden="1"/>
    </xf>
    <xf numFmtId="0" fontId="9" fillId="0" borderId="0" xfId="0" applyFont="1" applyAlignment="1">
      <alignment vertical="top" textRotation="255"/>
    </xf>
    <xf numFmtId="0" fontId="68" fillId="5" borderId="0" xfId="4" applyFont="1" applyFill="1" applyAlignment="1" applyProtection="1">
      <alignment horizontal="center" vertical="center"/>
      <protection locked="0"/>
    </xf>
    <xf numFmtId="0" fontId="26" fillId="5" borderId="0" xfId="4" applyFont="1" applyFill="1" applyAlignment="1">
      <alignment horizontal="center" vertical="center"/>
    </xf>
    <xf numFmtId="0" fontId="26" fillId="5" borderId="0" xfId="4" applyFont="1" applyFill="1">
      <alignment vertical="center"/>
    </xf>
    <xf numFmtId="0" fontId="51" fillId="5" borderId="13" xfId="7" applyFont="1" applyFill="1" applyBorder="1" applyAlignment="1" applyProtection="1">
      <alignment horizontal="left"/>
      <protection locked="0" hidden="1"/>
    </xf>
    <xf numFmtId="0" fontId="55" fillId="5" borderId="13" xfId="7" applyFont="1" applyFill="1" applyBorder="1" applyAlignment="1" applyProtection="1">
      <alignment vertical="center" shrinkToFit="1"/>
      <protection locked="0" hidden="1"/>
    </xf>
    <xf numFmtId="0" fontId="50" fillId="5" borderId="13" xfId="7" applyFont="1" applyFill="1" applyBorder="1" applyAlignment="1" applyProtection="1">
      <alignment vertical="center" shrinkToFit="1"/>
      <protection locked="0" hidden="1"/>
    </xf>
    <xf numFmtId="0" fontId="50" fillId="5" borderId="7" xfId="7" applyFont="1" applyFill="1" applyBorder="1" applyAlignment="1" applyProtection="1">
      <alignment horizontal="center" vertical="center"/>
      <protection locked="0" hidden="1"/>
    </xf>
    <xf numFmtId="0" fontId="50" fillId="5" borderId="74" xfId="7" applyFont="1" applyFill="1" applyBorder="1" applyAlignment="1" applyProtection="1">
      <alignment horizontal="center" vertical="center"/>
      <protection locked="0" hidden="1"/>
    </xf>
    <xf numFmtId="0" fontId="50" fillId="5" borderId="12" xfId="7" applyFont="1" applyFill="1" applyBorder="1" applyAlignment="1" applyProtection="1">
      <alignment horizontal="center" vertical="center"/>
      <protection locked="0" hidden="1"/>
    </xf>
    <xf numFmtId="0" fontId="50" fillId="5" borderId="13" xfId="7" applyFont="1" applyFill="1" applyBorder="1" applyAlignment="1" applyProtection="1">
      <alignment horizontal="center" vertical="center"/>
      <protection locked="0" hidden="1"/>
    </xf>
    <xf numFmtId="0" fontId="50" fillId="5" borderId="106" xfId="7" applyFont="1" applyFill="1" applyBorder="1" applyAlignment="1" applyProtection="1">
      <alignment horizontal="center" vertical="center"/>
      <protection locked="0" hidden="1"/>
    </xf>
    <xf numFmtId="0" fontId="50" fillId="5" borderId="104" xfId="7" applyFont="1" applyFill="1" applyBorder="1" applyAlignment="1" applyProtection="1">
      <alignment horizontal="center" vertical="center"/>
      <protection locked="0" hidden="1"/>
    </xf>
    <xf numFmtId="0" fontId="54" fillId="5" borderId="74" xfId="7" applyFont="1" applyFill="1" applyBorder="1" applyAlignment="1" applyProtection="1">
      <alignment horizontal="left" vertical="center"/>
      <protection locked="0" hidden="1"/>
    </xf>
    <xf numFmtId="0" fontId="57" fillId="5" borderId="171" xfId="7" applyFont="1" applyFill="1" applyBorder="1" applyAlignment="1" applyProtection="1">
      <alignment horizontal="center"/>
      <protection locked="0" hidden="1"/>
    </xf>
    <xf numFmtId="0" fontId="57" fillId="5" borderId="172" xfId="7" applyFont="1" applyFill="1" applyBorder="1" applyAlignment="1" applyProtection="1">
      <alignment horizontal="center"/>
      <protection locked="0" hidden="1"/>
    </xf>
    <xf numFmtId="0" fontId="57" fillId="5" borderId="20" xfId="7" applyFont="1" applyFill="1" applyBorder="1" applyAlignment="1" applyProtection="1">
      <alignment horizontal="center"/>
      <protection locked="0" hidden="1"/>
    </xf>
    <xf numFmtId="0" fontId="50" fillId="5" borderId="90" xfId="7" applyFont="1" applyFill="1" applyBorder="1" applyAlignment="1" applyProtection="1">
      <alignment horizontal="center" vertical="center"/>
      <protection locked="0" hidden="1"/>
    </xf>
    <xf numFmtId="0" fontId="50" fillId="5" borderId="91" xfId="7" applyFont="1" applyFill="1" applyBorder="1" applyAlignment="1" applyProtection="1">
      <alignment horizontal="center" vertical="center"/>
      <protection locked="0" hidden="1"/>
    </xf>
    <xf numFmtId="0" fontId="50" fillId="5" borderId="92" xfId="7" applyFont="1" applyFill="1" applyBorder="1" applyAlignment="1" applyProtection="1">
      <alignment horizontal="center" vertical="center"/>
      <protection locked="0" hidden="1"/>
    </xf>
    <xf numFmtId="0" fontId="66" fillId="5" borderId="7" xfId="7" applyFont="1" applyFill="1" applyBorder="1" applyAlignment="1" applyProtection="1">
      <alignment horizontal="center" vertical="center"/>
      <protection locked="0" hidden="1"/>
    </xf>
    <xf numFmtId="0" fontId="66" fillId="5" borderId="74" xfId="7" applyFont="1" applyFill="1" applyBorder="1" applyAlignment="1" applyProtection="1">
      <alignment horizontal="center" vertical="center"/>
      <protection locked="0" hidden="1"/>
    </xf>
    <xf numFmtId="0" fontId="66" fillId="5" borderId="8" xfId="7" applyFont="1" applyFill="1" applyBorder="1" applyAlignment="1" applyProtection="1">
      <alignment horizontal="center" vertical="center"/>
      <protection locked="0" hidden="1"/>
    </xf>
    <xf numFmtId="0" fontId="66" fillId="5" borderId="67" xfId="7" applyFont="1" applyFill="1" applyBorder="1" applyAlignment="1" applyProtection="1">
      <alignment horizontal="center" vertical="center"/>
      <protection locked="0" hidden="1"/>
    </xf>
    <xf numFmtId="0" fontId="66" fillId="5" borderId="127" xfId="7" applyFont="1" applyFill="1" applyBorder="1" applyAlignment="1" applyProtection="1">
      <alignment horizontal="center" vertical="center"/>
      <protection locked="0" hidden="1"/>
    </xf>
    <xf numFmtId="0" fontId="66" fillId="5" borderId="173" xfId="7" applyFont="1" applyFill="1" applyBorder="1" applyAlignment="1" applyProtection="1">
      <alignment horizontal="center" vertical="center"/>
      <protection locked="0" hidden="1"/>
    </xf>
    <xf numFmtId="0" fontId="50" fillId="0" borderId="7" xfId="7" applyFont="1" applyFill="1" applyBorder="1" applyAlignment="1" applyProtection="1">
      <alignment horizontal="center" vertical="center"/>
      <protection locked="0" hidden="1"/>
    </xf>
    <xf numFmtId="0" fontId="50" fillId="0" borderId="74" xfId="7" applyFont="1" applyFill="1" applyBorder="1" applyAlignment="1" applyProtection="1">
      <alignment horizontal="center" vertical="center"/>
      <protection locked="0" hidden="1"/>
    </xf>
    <xf numFmtId="0" fontId="50" fillId="0" borderId="9" xfId="7" applyFont="1" applyFill="1" applyBorder="1" applyAlignment="1" applyProtection="1">
      <alignment horizontal="center" vertical="center"/>
      <protection locked="0" hidden="1"/>
    </xf>
    <xf numFmtId="0" fontId="50" fillId="0" borderId="0" xfId="7" applyFont="1" applyFill="1" applyBorder="1" applyAlignment="1" applyProtection="1">
      <alignment horizontal="center" vertical="center"/>
      <protection locked="0" hidden="1"/>
    </xf>
    <xf numFmtId="0" fontId="50" fillId="0" borderId="12" xfId="7" applyFont="1" applyFill="1" applyBorder="1" applyAlignment="1" applyProtection="1">
      <alignment horizontal="center" vertical="center"/>
      <protection locked="0" hidden="1"/>
    </xf>
    <xf numFmtId="0" fontId="50" fillId="0" borderId="13" xfId="7" applyFont="1" applyFill="1" applyBorder="1" applyAlignment="1" applyProtection="1">
      <alignment horizontal="center" vertical="center"/>
      <protection locked="0" hidden="1"/>
    </xf>
    <xf numFmtId="0" fontId="50" fillId="5" borderId="70" xfId="7" applyFont="1" applyFill="1" applyBorder="1" applyAlignment="1" applyProtection="1">
      <alignment horizontal="center" vertical="center" shrinkToFit="1"/>
      <protection locked="0" hidden="1"/>
    </xf>
    <xf numFmtId="0" fontId="50" fillId="5" borderId="128" xfId="7" applyFont="1" applyFill="1" applyBorder="1" applyAlignment="1" applyProtection="1">
      <alignment horizontal="center" vertical="center" shrinkToFit="1"/>
      <protection locked="0" hidden="1"/>
    </xf>
    <xf numFmtId="0" fontId="50" fillId="5" borderId="169" xfId="7" applyFont="1" applyFill="1" applyBorder="1" applyAlignment="1" applyProtection="1">
      <alignment horizontal="center" vertical="center" shrinkToFit="1"/>
      <protection locked="0" hidden="1"/>
    </xf>
    <xf numFmtId="0" fontId="50" fillId="5" borderId="25" xfId="7" applyFont="1" applyFill="1" applyBorder="1" applyAlignment="1" applyProtection="1">
      <alignment horizontal="center" vertical="center" wrapText="1"/>
      <protection locked="0" hidden="1"/>
    </xf>
    <xf numFmtId="0" fontId="50" fillId="5" borderId="106" xfId="7" applyFont="1" applyFill="1" applyBorder="1" applyAlignment="1" applyProtection="1">
      <alignment horizontal="center" vertical="center" wrapText="1"/>
      <protection locked="0" hidden="1"/>
    </xf>
    <xf numFmtId="0" fontId="50" fillId="5" borderId="25" xfId="7" applyFont="1" applyFill="1" applyBorder="1" applyAlignment="1" applyProtection="1">
      <alignment horizontal="center" vertical="center"/>
      <protection locked="0" hidden="1"/>
    </xf>
    <xf numFmtId="0" fontId="66" fillId="5" borderId="25" xfId="7" applyFont="1" applyFill="1" applyBorder="1" applyAlignment="1" applyProtection="1">
      <alignment horizontal="center" vertical="center"/>
      <protection locked="0" hidden="1"/>
    </xf>
    <xf numFmtId="0" fontId="57" fillId="5" borderId="7" xfId="7" applyFont="1" applyFill="1" applyBorder="1" applyAlignment="1" applyProtection="1">
      <alignment horizontal="center" vertical="center" wrapText="1"/>
      <protection locked="0" hidden="1"/>
    </xf>
    <xf numFmtId="0" fontId="57" fillId="5" borderId="8" xfId="7" applyFont="1" applyFill="1" applyBorder="1" applyAlignment="1" applyProtection="1">
      <alignment horizontal="center" vertical="center" wrapText="1"/>
      <protection locked="0" hidden="1"/>
    </xf>
    <xf numFmtId="0" fontId="57" fillId="5" borderId="170" xfId="7" applyFont="1" applyFill="1" applyBorder="1" applyAlignment="1" applyProtection="1">
      <alignment horizontal="center" vertical="center" wrapText="1"/>
      <protection locked="0" hidden="1"/>
    </xf>
    <xf numFmtId="0" fontId="57" fillId="5" borderId="139" xfId="7" applyFont="1" applyFill="1" applyBorder="1" applyAlignment="1" applyProtection="1">
      <alignment horizontal="center" vertical="center" wrapText="1"/>
      <protection locked="0" hidden="1"/>
    </xf>
    <xf numFmtId="0" fontId="60" fillId="5" borderId="134" xfId="7" applyFont="1" applyFill="1" applyBorder="1" applyAlignment="1" applyProtection="1">
      <alignment horizontal="center" vertical="center"/>
      <protection hidden="1"/>
    </xf>
    <xf numFmtId="0" fontId="60" fillId="5" borderId="117" xfId="7" applyFont="1" applyFill="1" applyBorder="1" applyAlignment="1" applyProtection="1">
      <alignment horizontal="center" vertical="center"/>
      <protection hidden="1"/>
    </xf>
    <xf numFmtId="0" fontId="57" fillId="5" borderId="95" xfId="7" applyFont="1" applyFill="1" applyBorder="1" applyAlignment="1" applyProtection="1">
      <alignment horizontal="center"/>
      <protection locked="0" hidden="1"/>
    </xf>
    <xf numFmtId="0" fontId="57" fillId="5" borderId="96" xfId="7" applyFont="1" applyFill="1" applyBorder="1" applyAlignment="1" applyProtection="1">
      <alignment horizontal="center"/>
      <protection locked="0" hidden="1"/>
    </xf>
    <xf numFmtId="0" fontId="54" fillId="0" borderId="13" xfId="7" applyFont="1" applyFill="1" applyBorder="1" applyAlignment="1" applyProtection="1">
      <alignment horizontal="center"/>
      <protection locked="0" hidden="1"/>
    </xf>
    <xf numFmtId="0" fontId="50" fillId="5" borderId="8" xfId="7" applyFont="1" applyFill="1" applyBorder="1" applyAlignment="1" applyProtection="1">
      <alignment horizontal="center" vertical="center"/>
      <protection locked="0" hidden="1"/>
    </xf>
    <xf numFmtId="0" fontId="50" fillId="5" borderId="11" xfId="7" applyFont="1" applyFill="1" applyBorder="1" applyAlignment="1" applyProtection="1">
      <alignment horizontal="center" vertical="center"/>
      <protection locked="0" hidden="1"/>
    </xf>
    <xf numFmtId="0" fontId="50" fillId="0" borderId="8" xfId="7" applyFont="1" applyFill="1" applyBorder="1" applyAlignment="1" applyProtection="1">
      <alignment horizontal="right" vertical="center"/>
      <protection locked="0" hidden="1"/>
    </xf>
    <xf numFmtId="0" fontId="50" fillId="0" borderId="10" xfId="7" applyFont="1" applyFill="1" applyBorder="1" applyAlignment="1" applyProtection="1">
      <alignment horizontal="right" vertical="center"/>
      <protection locked="0" hidden="1"/>
    </xf>
    <xf numFmtId="0" fontId="50" fillId="0" borderId="11" xfId="7" applyFont="1" applyFill="1" applyBorder="1" applyAlignment="1" applyProtection="1">
      <alignment horizontal="right" vertical="center"/>
      <protection locked="0" hidden="1"/>
    </xf>
    <xf numFmtId="0" fontId="60" fillId="5" borderId="133" xfId="7" applyFont="1" applyFill="1" applyBorder="1" applyAlignment="1" applyProtection="1">
      <alignment horizontal="center" vertical="center"/>
      <protection hidden="1"/>
    </xf>
    <xf numFmtId="0" fontId="60" fillId="5" borderId="116" xfId="7" applyFont="1" applyFill="1" applyBorder="1" applyAlignment="1" applyProtection="1">
      <alignment horizontal="center" vertical="center"/>
      <protection hidden="1"/>
    </xf>
    <xf numFmtId="0" fontId="57" fillId="5" borderId="74" xfId="7" applyFont="1" applyFill="1" applyBorder="1" applyAlignment="1" applyProtection="1">
      <alignment horizontal="center" vertical="center" wrapText="1"/>
      <protection locked="0" hidden="1"/>
    </xf>
    <xf numFmtId="0" fontId="57" fillId="5" borderId="12" xfId="7" applyFont="1" applyFill="1" applyBorder="1" applyAlignment="1" applyProtection="1">
      <alignment horizontal="center" vertical="center" wrapText="1"/>
      <protection locked="0" hidden="1"/>
    </xf>
    <xf numFmtId="0" fontId="57" fillId="5" borderId="13" xfId="7" applyFont="1" applyFill="1" applyBorder="1" applyAlignment="1" applyProtection="1">
      <alignment horizontal="center" vertical="center" wrapText="1"/>
      <protection locked="0" hidden="1"/>
    </xf>
    <xf numFmtId="0" fontId="57" fillId="5" borderId="11" xfId="7" applyFont="1" applyFill="1" applyBorder="1" applyAlignment="1" applyProtection="1">
      <alignment horizontal="center" vertical="center" wrapText="1"/>
      <protection locked="0" hidden="1"/>
    </xf>
    <xf numFmtId="0" fontId="57" fillId="5" borderId="106" xfId="7" applyFont="1" applyFill="1" applyBorder="1" applyAlignment="1" applyProtection="1">
      <alignment vertical="center" wrapText="1"/>
      <protection locked="0" hidden="1"/>
    </xf>
    <xf numFmtId="0" fontId="57" fillId="5" borderId="104" xfId="7" applyFont="1" applyFill="1" applyBorder="1" applyAlignment="1" applyProtection="1">
      <alignment vertical="center" wrapText="1"/>
      <protection locked="0" hidden="1"/>
    </xf>
    <xf numFmtId="0" fontId="57" fillId="5" borderId="74" xfId="7" applyFont="1" applyFill="1" applyBorder="1" applyAlignment="1" applyProtection="1">
      <alignment horizontal="center"/>
      <protection locked="0" hidden="1"/>
    </xf>
    <xf numFmtId="0" fontId="50" fillId="5" borderId="90" xfId="7" applyNumberFormat="1" applyFont="1" applyFill="1" applyBorder="1" applyAlignment="1" applyProtection="1">
      <alignment vertical="center" shrinkToFit="1"/>
      <protection locked="0" hidden="1"/>
    </xf>
    <xf numFmtId="0" fontId="50" fillId="5" borderId="91" xfId="7" applyNumberFormat="1" applyFont="1" applyFill="1" applyBorder="1" applyAlignment="1" applyProtection="1">
      <alignment vertical="center" shrinkToFit="1"/>
      <protection locked="0" hidden="1"/>
    </xf>
    <xf numFmtId="0" fontId="50" fillId="5" borderId="92" xfId="7" applyNumberFormat="1" applyFont="1" applyFill="1" applyBorder="1" applyAlignment="1" applyProtection="1">
      <alignment vertical="center" shrinkToFit="1"/>
      <protection locked="0" hidden="1"/>
    </xf>
    <xf numFmtId="0" fontId="60" fillId="5" borderId="70" xfId="7" applyFont="1" applyFill="1" applyBorder="1" applyAlignment="1" applyProtection="1">
      <alignment horizontal="center" vertical="center"/>
      <protection hidden="1"/>
    </xf>
    <xf numFmtId="0" fontId="60" fillId="5" borderId="169" xfId="7" applyFont="1" applyFill="1" applyBorder="1" applyAlignment="1" applyProtection="1">
      <alignment horizontal="center" vertical="center"/>
      <protection hidden="1"/>
    </xf>
    <xf numFmtId="0" fontId="50" fillId="5" borderId="0" xfId="7" applyFont="1" applyFill="1" applyAlignment="1">
      <alignment horizontal="right" vertical="center"/>
    </xf>
    <xf numFmtId="0" fontId="57" fillId="5" borderId="0" xfId="7" applyFont="1" applyFill="1" applyBorder="1" applyAlignment="1">
      <alignment horizontal="right" vertical="center"/>
    </xf>
    <xf numFmtId="49" fontId="50" fillId="5" borderId="90" xfId="7" applyNumberFormat="1" applyFont="1" applyFill="1" applyBorder="1" applyAlignment="1" applyProtection="1">
      <alignment vertical="center" shrinkToFit="1"/>
      <protection locked="0" hidden="1"/>
    </xf>
    <xf numFmtId="0" fontId="50" fillId="5" borderId="91" xfId="7" applyFont="1" applyFill="1" applyBorder="1" applyAlignment="1" applyProtection="1">
      <alignment vertical="center" shrinkToFit="1"/>
      <protection locked="0" hidden="1"/>
    </xf>
    <xf numFmtId="0" fontId="50" fillId="5" borderId="92" xfId="7" applyFont="1" applyFill="1" applyBorder="1" applyAlignment="1" applyProtection="1">
      <alignment vertical="center" shrinkToFit="1"/>
      <protection locked="0" hidden="1"/>
    </xf>
    <xf numFmtId="0" fontId="8" fillId="0" borderId="176" xfId="7" applyFont="1" applyBorder="1" applyAlignment="1" applyProtection="1">
      <alignment horizontal="left" vertical="center" shrinkToFit="1"/>
      <protection hidden="1"/>
    </xf>
    <xf numFmtId="0" fontId="8" fillId="0" borderId="146" xfId="7" applyFont="1" applyBorder="1" applyAlignment="1" applyProtection="1">
      <alignment horizontal="left" vertical="center" shrinkToFit="1"/>
      <protection hidden="1"/>
    </xf>
    <xf numFmtId="0" fontId="61" fillId="0" borderId="178" xfId="7" applyFont="1" applyBorder="1" applyAlignment="1" applyProtection="1">
      <alignment horizontal="center" vertical="center"/>
      <protection hidden="1"/>
    </xf>
    <xf numFmtId="0" fontId="61" fillId="0" borderId="167" xfId="7" applyFont="1" applyBorder="1" applyAlignment="1" applyProtection="1">
      <alignment horizontal="center" vertical="center"/>
      <protection hidden="1"/>
    </xf>
    <xf numFmtId="0" fontId="61" fillId="0" borderId="175" xfId="7" applyFont="1" applyBorder="1" applyAlignment="1" applyProtection="1">
      <alignment horizontal="center" vertical="center"/>
      <protection hidden="1"/>
    </xf>
    <xf numFmtId="0" fontId="61" fillId="0" borderId="175" xfId="7" applyFont="1" applyFill="1" applyBorder="1" applyAlignment="1" applyProtection="1">
      <alignment horizontal="center" vertical="center"/>
      <protection hidden="1"/>
    </xf>
    <xf numFmtId="0" fontId="61" fillId="0" borderId="177" xfId="7" applyFont="1" applyFill="1" applyBorder="1" applyAlignment="1" applyProtection="1">
      <alignment horizontal="center" vertical="center"/>
      <protection hidden="1"/>
    </xf>
    <xf numFmtId="0" fontId="61" fillId="0" borderId="121" xfId="7" applyFont="1" applyBorder="1" applyAlignment="1" applyProtection="1">
      <alignment horizontal="center" vertical="center" shrinkToFit="1"/>
      <protection hidden="1"/>
    </xf>
    <xf numFmtId="0" fontId="61" fillId="0" borderId="22" xfId="7" applyFont="1" applyBorder="1" applyAlignment="1" applyProtection="1">
      <alignment horizontal="center" vertical="center" shrinkToFit="1"/>
      <protection hidden="1"/>
    </xf>
    <xf numFmtId="0" fontId="61" fillId="0" borderId="4" xfId="7" applyFont="1" applyBorder="1" applyAlignment="1" applyProtection="1">
      <alignment horizontal="center" vertical="center" shrinkToFit="1"/>
      <protection hidden="1"/>
    </xf>
    <xf numFmtId="0" fontId="8" fillId="0" borderId="176" xfId="7" applyFont="1" applyBorder="1" applyAlignment="1" applyProtection="1">
      <alignment horizontal="right" vertical="center" shrinkToFit="1"/>
      <protection hidden="1"/>
    </xf>
    <xf numFmtId="0" fontId="8" fillId="0" borderId="146" xfId="7" applyFont="1" applyBorder="1" applyAlignment="1" applyProtection="1">
      <alignment horizontal="right" vertical="center" shrinkToFit="1"/>
      <protection hidden="1"/>
    </xf>
    <xf numFmtId="0" fontId="14" fillId="0" borderId="0" xfId="7" applyFont="1" applyAlignment="1" applyProtection="1">
      <alignment horizontal="center" vertical="center"/>
      <protection hidden="1"/>
    </xf>
    <xf numFmtId="0" fontId="61" fillId="0" borderId="4" xfId="7" applyFont="1" applyBorder="1" applyAlignment="1" applyProtection="1">
      <alignment horizontal="center" vertical="center"/>
      <protection hidden="1"/>
    </xf>
    <xf numFmtId="0" fontId="61" fillId="0" borderId="121" xfId="7" applyFont="1" applyBorder="1" applyAlignment="1" applyProtection="1">
      <alignment horizontal="center" vertical="center"/>
      <protection hidden="1"/>
    </xf>
    <xf numFmtId="0" fontId="61" fillId="0" borderId="22" xfId="7" applyFont="1" applyBorder="1" applyAlignment="1" applyProtection="1">
      <alignment horizontal="center" vertical="center"/>
      <protection hidden="1"/>
    </xf>
    <xf numFmtId="0" fontId="10" fillId="0" borderId="13" xfId="7" applyFont="1" applyBorder="1" applyAlignment="1" applyProtection="1">
      <alignment horizontal="center" vertical="center"/>
      <protection hidden="1"/>
    </xf>
    <xf numFmtId="0" fontId="8" fillId="0" borderId="150" xfId="7" applyFont="1" applyBorder="1" applyAlignment="1" applyProtection="1">
      <alignment horizontal="right" vertical="center" shrinkToFit="1"/>
      <protection hidden="1"/>
    </xf>
    <xf numFmtId="0" fontId="8" fillId="0" borderId="179" xfId="7" applyFont="1" applyBorder="1" applyAlignment="1" applyProtection="1">
      <alignment horizontal="right" vertical="center" shrinkToFit="1"/>
      <protection hidden="1"/>
    </xf>
    <xf numFmtId="0" fontId="8" fillId="0" borderId="150" xfId="7" applyFont="1" applyBorder="1" applyAlignment="1" applyProtection="1">
      <alignment horizontal="left" vertical="center" shrinkToFit="1"/>
      <protection hidden="1"/>
    </xf>
    <xf numFmtId="0" fontId="8" fillId="0" borderId="179" xfId="7" applyFont="1" applyBorder="1" applyAlignment="1" applyProtection="1">
      <alignment horizontal="left" vertical="center" shrinkToFit="1"/>
      <protection hidden="1"/>
    </xf>
    <xf numFmtId="0" fontId="61" fillId="0" borderId="175" xfId="7" applyNumberFormat="1" applyFont="1" applyFill="1" applyBorder="1" applyAlignment="1" applyProtection="1">
      <alignment horizontal="center" vertical="center"/>
      <protection hidden="1"/>
    </xf>
    <xf numFmtId="0" fontId="61" fillId="0" borderId="177" xfId="7" applyNumberFormat="1" applyFont="1" applyFill="1" applyBorder="1" applyAlignment="1" applyProtection="1">
      <alignment horizontal="center" vertical="center"/>
      <protection hidden="1"/>
    </xf>
    <xf numFmtId="0" fontId="10" fillId="6" borderId="121" xfId="7" applyFont="1" applyFill="1" applyBorder="1" applyAlignment="1" applyProtection="1">
      <alignment horizontal="center" vertical="center"/>
      <protection hidden="1"/>
    </xf>
    <xf numFmtId="0" fontId="10" fillId="6" borderId="131" xfId="7" applyFont="1" applyFill="1" applyBorder="1" applyAlignment="1" applyProtection="1">
      <alignment horizontal="center" vertical="center"/>
      <protection hidden="1"/>
    </xf>
    <xf numFmtId="0" fontId="61" fillId="0" borderId="175" xfId="7" applyFont="1" applyFill="1" applyBorder="1" applyAlignment="1" applyProtection="1">
      <alignment horizontal="center" vertical="center"/>
      <protection locked="0" hidden="1"/>
    </xf>
    <xf numFmtId="0" fontId="10" fillId="0" borderId="167" xfId="7" applyFill="1" applyBorder="1" applyAlignment="1" applyProtection="1">
      <alignment horizontal="center" vertical="center"/>
      <protection locked="0" hidden="1"/>
    </xf>
    <xf numFmtId="0" fontId="61" fillId="6" borderId="72" xfId="7" applyFont="1" applyFill="1" applyBorder="1" applyAlignment="1" applyProtection="1">
      <alignment vertical="center"/>
      <protection locked="0" hidden="1"/>
    </xf>
    <xf numFmtId="0" fontId="10" fillId="6" borderId="168" xfId="7" applyFill="1" applyBorder="1" applyAlignment="1" applyProtection="1">
      <alignment vertical="center"/>
      <protection locked="0" hidden="1"/>
    </xf>
    <xf numFmtId="0" fontId="8" fillId="0" borderId="0" xfId="7" applyFont="1" applyBorder="1" applyAlignment="1" applyProtection="1">
      <alignment horizontal="center" vertical="center"/>
      <protection hidden="1"/>
    </xf>
    <xf numFmtId="0" fontId="61" fillId="0" borderId="72" xfId="7" applyFont="1" applyFill="1" applyBorder="1" applyAlignment="1" applyProtection="1">
      <alignment vertical="center"/>
      <protection locked="0" hidden="1"/>
    </xf>
    <xf numFmtId="0" fontId="10" fillId="0" borderId="168" xfId="7" applyFill="1" applyBorder="1" applyAlignment="1" applyProtection="1">
      <alignment vertical="center"/>
      <protection locked="0" hidden="1"/>
    </xf>
    <xf numFmtId="0" fontId="10" fillId="6" borderId="73" xfId="7" applyFont="1" applyFill="1" applyBorder="1" applyAlignment="1" applyProtection="1">
      <alignment horizontal="center" vertical="center"/>
      <protection hidden="1"/>
    </xf>
    <xf numFmtId="0" fontId="10" fillId="6" borderId="4" xfId="7" applyFont="1" applyFill="1" applyBorder="1" applyAlignment="1" applyProtection="1">
      <alignment horizontal="center" vertical="center"/>
      <protection hidden="1"/>
    </xf>
    <xf numFmtId="0" fontId="61" fillId="6" borderId="174" xfId="7" applyFont="1" applyFill="1" applyBorder="1" applyAlignment="1" applyProtection="1">
      <alignment horizontal="center" vertical="center"/>
      <protection hidden="1"/>
    </xf>
    <xf numFmtId="0" fontId="61" fillId="6" borderId="72" xfId="7" applyFont="1" applyFill="1" applyBorder="1" applyAlignment="1" applyProtection="1">
      <alignment horizontal="center" vertical="center"/>
      <protection hidden="1"/>
    </xf>
    <xf numFmtId="0" fontId="8" fillId="6" borderId="4" xfId="7" applyFont="1" applyFill="1" applyBorder="1" applyAlignment="1" applyProtection="1">
      <alignment vertical="center" shrinkToFit="1"/>
      <protection hidden="1"/>
    </xf>
    <xf numFmtId="0" fontId="8" fillId="0" borderId="4" xfId="7" applyFont="1" applyFill="1" applyBorder="1" applyAlignment="1" applyProtection="1">
      <alignment horizontal="center" vertical="center" shrinkToFit="1"/>
      <protection locked="0" hidden="1"/>
    </xf>
    <xf numFmtId="0" fontId="61" fillId="6" borderId="4" xfId="7" applyFont="1" applyFill="1" applyBorder="1" applyAlignment="1" applyProtection="1">
      <alignment horizontal="center" vertical="center" shrinkToFit="1"/>
      <protection locked="0" hidden="1"/>
    </xf>
    <xf numFmtId="0" fontId="61" fillId="6" borderId="73" xfId="7" applyFont="1" applyFill="1" applyBorder="1" applyAlignment="1" applyProtection="1">
      <alignment horizontal="center" vertical="center" textRotation="255" shrinkToFit="1"/>
      <protection hidden="1"/>
    </xf>
    <xf numFmtId="0" fontId="61" fillId="6" borderId="102" xfId="7" applyFont="1" applyFill="1" applyBorder="1" applyAlignment="1" applyProtection="1">
      <alignment horizontal="center" vertical="center" textRotation="255" shrinkToFit="1"/>
      <protection hidden="1"/>
    </xf>
    <xf numFmtId="0" fontId="8" fillId="0" borderId="99" xfId="7" applyFont="1" applyFill="1" applyBorder="1" applyAlignment="1" applyProtection="1">
      <alignment horizontal="center" vertical="center" shrinkToFit="1"/>
      <protection locked="0" hidden="1"/>
    </xf>
    <xf numFmtId="0" fontId="61" fillId="6" borderId="73" xfId="7" applyFont="1" applyFill="1" applyBorder="1" applyAlignment="1" applyProtection="1">
      <alignment horizontal="center" vertical="center" textRotation="255" shrinkToFit="1"/>
      <protection locked="0" hidden="1"/>
    </xf>
    <xf numFmtId="0" fontId="61" fillId="6" borderId="102" xfId="7" applyFont="1" applyFill="1" applyBorder="1" applyAlignment="1" applyProtection="1">
      <alignment horizontal="center" vertical="center" textRotation="255" shrinkToFit="1"/>
      <protection locked="0" hidden="1"/>
    </xf>
    <xf numFmtId="0" fontId="8" fillId="6" borderId="99" xfId="7" applyFont="1" applyFill="1" applyBorder="1" applyAlignment="1" applyProtection="1">
      <alignment vertical="center" shrinkToFit="1"/>
      <protection hidden="1"/>
    </xf>
    <xf numFmtId="0" fontId="54" fillId="4" borderId="13" xfId="7" applyFont="1" applyFill="1" applyBorder="1" applyAlignment="1" applyProtection="1">
      <alignment horizontal="center"/>
      <protection locked="0" hidden="1"/>
    </xf>
    <xf numFmtId="0" fontId="63" fillId="5" borderId="95" xfId="7" applyFont="1" applyFill="1" applyBorder="1" applyAlignment="1" applyProtection="1">
      <alignment horizontal="center"/>
      <protection locked="0" hidden="1"/>
    </xf>
    <xf numFmtId="0" fontId="63" fillId="5" borderId="96" xfId="7" applyFont="1" applyFill="1" applyBorder="1" applyAlignment="1" applyProtection="1">
      <alignment horizontal="center"/>
      <protection locked="0" hidden="1"/>
    </xf>
    <xf numFmtId="0" fontId="58" fillId="5" borderId="7" xfId="7" applyFont="1" applyFill="1" applyBorder="1" applyAlignment="1" applyProtection="1">
      <alignment horizontal="center" vertical="center"/>
      <protection locked="0" hidden="1"/>
    </xf>
    <xf numFmtId="0" fontId="58" fillId="5" borderId="74" xfId="7" applyFont="1" applyFill="1" applyBorder="1" applyAlignment="1" applyProtection="1">
      <alignment horizontal="center" vertical="center"/>
      <protection locked="0" hidden="1"/>
    </xf>
    <xf numFmtId="0" fontId="58" fillId="5" borderId="8" xfId="7" applyFont="1" applyFill="1" applyBorder="1" applyAlignment="1" applyProtection="1">
      <alignment horizontal="center" vertical="center"/>
      <protection locked="0" hidden="1"/>
    </xf>
    <xf numFmtId="0" fontId="58" fillId="5" borderId="67" xfId="7" applyFont="1" applyFill="1" applyBorder="1" applyAlignment="1" applyProtection="1">
      <alignment horizontal="center" vertical="center"/>
      <protection locked="0" hidden="1"/>
    </xf>
    <xf numFmtId="0" fontId="58" fillId="5" borderId="127" xfId="7" applyFont="1" applyFill="1" applyBorder="1" applyAlignment="1" applyProtection="1">
      <alignment horizontal="center" vertical="center"/>
      <protection locked="0" hidden="1"/>
    </xf>
    <xf numFmtId="0" fontId="58" fillId="5" borderId="173" xfId="7" applyFont="1" applyFill="1" applyBorder="1" applyAlignment="1" applyProtection="1">
      <alignment horizontal="center" vertical="center"/>
      <protection locked="0" hidden="1"/>
    </xf>
    <xf numFmtId="0" fontId="50" fillId="4" borderId="7" xfId="7" applyFont="1" applyFill="1" applyBorder="1" applyAlignment="1" applyProtection="1">
      <alignment horizontal="center" vertical="center"/>
      <protection locked="0" hidden="1"/>
    </xf>
    <xf numFmtId="0" fontId="50" fillId="4" borderId="74" xfId="7" applyFont="1" applyFill="1" applyBorder="1" applyAlignment="1" applyProtection="1">
      <alignment horizontal="center" vertical="center"/>
      <protection locked="0" hidden="1"/>
    </xf>
    <xf numFmtId="0" fontId="50" fillId="4" borderId="9" xfId="7" applyFont="1" applyFill="1" applyBorder="1" applyAlignment="1" applyProtection="1">
      <alignment horizontal="center" vertical="center"/>
      <protection locked="0" hidden="1"/>
    </xf>
    <xf numFmtId="0" fontId="50" fillId="4" borderId="0" xfId="7" applyFont="1" applyFill="1" applyBorder="1" applyAlignment="1" applyProtection="1">
      <alignment horizontal="center" vertical="center"/>
      <protection locked="0" hidden="1"/>
    </xf>
    <xf numFmtId="0" fontId="50" fillId="4" borderId="12" xfId="7" applyFont="1" applyFill="1" applyBorder="1" applyAlignment="1" applyProtection="1">
      <alignment horizontal="center" vertical="center"/>
      <protection locked="0" hidden="1"/>
    </xf>
    <xf numFmtId="0" fontId="50" fillId="4" borderId="13" xfId="7" applyFont="1" applyFill="1" applyBorder="1" applyAlignment="1" applyProtection="1">
      <alignment horizontal="center" vertical="center"/>
      <protection locked="0" hidden="1"/>
    </xf>
    <xf numFmtId="0" fontId="50" fillId="4" borderId="8" xfId="7" applyFont="1" applyFill="1" applyBorder="1" applyAlignment="1" applyProtection="1">
      <alignment horizontal="right" vertical="center"/>
      <protection locked="0" hidden="1"/>
    </xf>
    <xf numFmtId="0" fontId="50" fillId="4" borderId="10" xfId="7" applyFont="1" applyFill="1" applyBorder="1" applyAlignment="1" applyProtection="1">
      <alignment horizontal="right" vertical="center"/>
      <protection locked="0" hidden="1"/>
    </xf>
    <xf numFmtId="0" fontId="50" fillId="4" borderId="11" xfId="7" applyFont="1" applyFill="1" applyBorder="1" applyAlignment="1" applyProtection="1">
      <alignment horizontal="right" vertical="center"/>
      <protection locked="0" hidden="1"/>
    </xf>
    <xf numFmtId="0" fontId="62" fillId="5" borderId="74" xfId="7" applyFont="1" applyFill="1" applyBorder="1" applyAlignment="1" applyProtection="1">
      <alignment horizontal="left" vertical="center"/>
      <protection locked="0" hidden="1"/>
    </xf>
    <xf numFmtId="0" fontId="8" fillId="3" borderId="4" xfId="7" applyFont="1" applyFill="1" applyBorder="1" applyAlignment="1" applyProtection="1">
      <alignment vertical="center" shrinkToFit="1"/>
      <protection hidden="1"/>
    </xf>
    <xf numFmtId="0" fontId="61" fillId="3" borderId="174" xfId="7" applyFont="1" applyFill="1" applyBorder="1" applyAlignment="1" applyProtection="1">
      <alignment horizontal="center" vertical="center"/>
      <protection hidden="1"/>
    </xf>
    <xf numFmtId="0" fontId="61" fillId="3" borderId="72" xfId="7" applyFont="1" applyFill="1" applyBorder="1" applyAlignment="1" applyProtection="1">
      <alignment horizontal="center" vertical="center"/>
      <protection hidden="1"/>
    </xf>
    <xf numFmtId="0" fontId="10" fillId="3" borderId="73" xfId="7" applyFont="1" applyFill="1" applyBorder="1" applyAlignment="1" applyProtection="1">
      <alignment horizontal="center" vertical="center"/>
      <protection hidden="1"/>
    </xf>
    <xf numFmtId="0" fontId="10" fillId="3" borderId="4" xfId="7" applyFont="1" applyFill="1" applyBorder="1" applyAlignment="1" applyProtection="1">
      <alignment horizontal="center" vertical="center"/>
      <protection hidden="1"/>
    </xf>
    <xf numFmtId="0" fontId="61" fillId="3" borderId="73" xfId="7" applyFont="1" applyFill="1" applyBorder="1" applyAlignment="1" applyProtection="1">
      <alignment horizontal="center" vertical="center" textRotation="255" shrinkToFit="1"/>
      <protection hidden="1"/>
    </xf>
    <xf numFmtId="0" fontId="61" fillId="3" borderId="102" xfId="7" applyFont="1" applyFill="1" applyBorder="1" applyAlignment="1" applyProtection="1">
      <alignment horizontal="center" vertical="center" textRotation="255" shrinkToFit="1"/>
      <protection hidden="1"/>
    </xf>
    <xf numFmtId="0" fontId="10" fillId="3" borderId="121" xfId="7" applyFont="1" applyFill="1" applyBorder="1" applyAlignment="1" applyProtection="1">
      <alignment horizontal="center" vertical="center"/>
      <protection hidden="1"/>
    </xf>
    <xf numFmtId="0" fontId="10" fillId="3" borderId="131" xfId="7" applyFont="1" applyFill="1" applyBorder="1" applyAlignment="1" applyProtection="1">
      <alignment horizontal="center" vertical="center"/>
      <protection hidden="1"/>
    </xf>
    <xf numFmtId="0" fontId="61" fillId="3" borderId="4" xfId="7" applyFont="1" applyFill="1" applyBorder="1" applyAlignment="1" applyProtection="1">
      <alignment horizontal="center" vertical="center" shrinkToFit="1"/>
      <protection locked="0" hidden="1"/>
    </xf>
    <xf numFmtId="0" fontId="61" fillId="3" borderId="73" xfId="7" applyFont="1" applyFill="1" applyBorder="1" applyAlignment="1" applyProtection="1">
      <alignment horizontal="center" vertical="center" textRotation="255" shrinkToFit="1"/>
      <protection locked="0" hidden="1"/>
    </xf>
    <xf numFmtId="0" fontId="61" fillId="3" borderId="102" xfId="7" applyFont="1" applyFill="1" applyBorder="1" applyAlignment="1" applyProtection="1">
      <alignment horizontal="center" vertical="center" textRotation="255" shrinkToFit="1"/>
      <protection locked="0" hidden="1"/>
    </xf>
    <xf numFmtId="0" fontId="8" fillId="3" borderId="99" xfId="7" applyFont="1" applyFill="1" applyBorder="1" applyAlignment="1" applyProtection="1">
      <alignment vertical="center" shrinkToFit="1"/>
      <protection hidden="1"/>
    </xf>
    <xf numFmtId="0" fontId="27" fillId="0" borderId="176" xfId="7" applyFont="1" applyBorder="1" applyAlignment="1" applyProtection="1">
      <alignment horizontal="right" vertical="center" shrinkToFit="1"/>
      <protection hidden="1"/>
    </xf>
    <xf numFmtId="0" fontId="27" fillId="0" borderId="146" xfId="7" applyFont="1" applyBorder="1" applyAlignment="1" applyProtection="1">
      <alignment horizontal="right" vertical="center" shrinkToFit="1"/>
      <protection hidden="1"/>
    </xf>
    <xf numFmtId="0" fontId="27" fillId="0" borderId="176" xfId="7" applyFont="1" applyBorder="1" applyAlignment="1" applyProtection="1">
      <alignment horizontal="left" vertical="center" shrinkToFit="1"/>
      <protection hidden="1"/>
    </xf>
    <xf numFmtId="0" fontId="27" fillId="0" borderId="146" xfId="7" applyFont="1" applyBorder="1" applyAlignment="1" applyProtection="1">
      <alignment horizontal="left" vertical="center" shrinkToFit="1"/>
      <protection hidden="1"/>
    </xf>
    <xf numFmtId="49" fontId="61" fillId="0" borderId="175" xfId="7" applyNumberFormat="1" applyFont="1" applyFill="1" applyBorder="1" applyAlignment="1" applyProtection="1">
      <alignment horizontal="center" vertical="center"/>
      <protection hidden="1"/>
    </xf>
    <xf numFmtId="0" fontId="27" fillId="0" borderId="150" xfId="7" applyFont="1" applyBorder="1" applyAlignment="1" applyProtection="1">
      <alignment horizontal="right" vertical="center" shrinkToFit="1"/>
      <protection hidden="1"/>
    </xf>
    <xf numFmtId="0" fontId="27" fillId="0" borderId="179" xfId="7" applyFont="1" applyBorder="1" applyAlignment="1" applyProtection="1">
      <alignment horizontal="right" vertical="center" shrinkToFit="1"/>
      <protection hidden="1"/>
    </xf>
    <xf numFmtId="0" fontId="27" fillId="0" borderId="150" xfId="7" applyFont="1" applyBorder="1" applyAlignment="1" applyProtection="1">
      <alignment horizontal="left" vertical="center" shrinkToFit="1"/>
      <protection hidden="1"/>
    </xf>
    <xf numFmtId="0" fontId="27" fillId="0" borderId="179" xfId="7" applyFont="1" applyBorder="1" applyAlignment="1" applyProtection="1">
      <alignment horizontal="left" vertical="center" shrinkToFit="1"/>
      <protection hidden="1"/>
    </xf>
    <xf numFmtId="0" fontId="65" fillId="0" borderId="0" xfId="7" applyFont="1" applyAlignment="1" applyProtection="1">
      <alignment horizontal="center" vertical="center"/>
      <protection hidden="1"/>
    </xf>
  </cellXfs>
  <cellStyles count="15">
    <cellStyle name="ハイパーリンク" xfId="1" builtinId="8"/>
    <cellStyle name="標準" xfId="0" builtinId="0"/>
    <cellStyle name="標準 2" xfId="2"/>
    <cellStyle name="標準_AB男" xfId="3"/>
    <cellStyle name="標準_furikomiyousi" xfId="4"/>
    <cellStyle name="標準_H14高校名簿" xfId="5"/>
    <cellStyle name="標準_H14高校名簿_入力表" xfId="6"/>
    <cellStyle name="標準_yousiki3.4.5" xfId="7"/>
    <cellStyle name="標準_競技者" xfId="8"/>
    <cellStyle name="標準_競技者_2006高校申込" xfId="9"/>
    <cellStyle name="標準_競技者_2007高校申込" xfId="10"/>
    <cellStyle name="標準_競技者_2007中学申込" xfId="11"/>
    <cellStyle name="標準_競技者_hs" xfId="12"/>
    <cellStyle name="標準_競技者_中学" xfId="13"/>
    <cellStyle name="標準_団体" xfId="14"/>
  </cellStyles>
  <dxfs count="644">
    <dxf>
      <fill>
        <patternFill>
          <bgColor indexed="10"/>
        </patternFill>
      </fill>
    </dxf>
    <dxf>
      <fill>
        <patternFill>
          <bgColor indexed="10"/>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bgColor indexed="10"/>
        </patternFill>
      </fill>
    </dxf>
    <dxf>
      <fill>
        <patternFill>
          <bgColor indexed="45"/>
        </patternFill>
      </fill>
    </dxf>
    <dxf>
      <fill>
        <patternFill>
          <bgColor indexed="45"/>
        </patternFill>
      </fill>
    </dxf>
    <dxf>
      <fill>
        <patternFill>
          <bgColor indexed="45"/>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bgColor indexed="45"/>
        </patternFill>
      </fill>
    </dxf>
    <dxf>
      <fill>
        <patternFill patternType="mediumGray">
          <fgColor indexed="9"/>
          <bgColor indexed="22"/>
        </patternFill>
      </fill>
    </dxf>
    <dxf>
      <fill>
        <patternFill>
          <bgColor indexed="10"/>
        </patternFill>
      </fill>
    </dxf>
    <dxf>
      <fill>
        <patternFill patternType="mediumGray">
          <fgColor indexed="9"/>
          <bgColor indexed="22"/>
        </patternFill>
      </fill>
    </dxf>
    <dxf>
      <fill>
        <patternFill>
          <bgColor indexed="10"/>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bgColor indexed="45"/>
        </patternFill>
      </fill>
    </dxf>
    <dxf>
      <fill>
        <patternFill>
          <bgColor indexed="45"/>
        </patternFill>
      </fill>
    </dxf>
    <dxf>
      <fill>
        <patternFill>
          <bgColor indexed="10"/>
        </patternFill>
      </fill>
    </dxf>
    <dxf>
      <fill>
        <patternFill>
          <bgColor indexed="10"/>
        </patternFill>
      </fill>
    </dxf>
    <dxf>
      <fill>
        <patternFill patternType="mediumGray">
          <fgColor indexed="9"/>
          <bgColor indexed="22"/>
        </patternFill>
      </fill>
    </dxf>
    <dxf>
      <fill>
        <patternFill>
          <bgColor indexed="10"/>
        </patternFill>
      </fill>
    </dxf>
    <dxf>
      <fill>
        <patternFill patternType="mediumGray">
          <fgColor indexed="9"/>
          <bgColor indexed="22"/>
        </patternFill>
      </fill>
    </dxf>
    <dxf>
      <fill>
        <patternFill>
          <bgColor indexed="10"/>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bgColor indexed="45"/>
        </patternFill>
      </fill>
    </dxf>
    <dxf>
      <fill>
        <patternFill patternType="mediumGray">
          <fgColor indexed="9"/>
          <bgColor indexed="22"/>
        </patternFill>
      </fill>
    </dxf>
    <dxf>
      <fill>
        <patternFill patternType="mediumGray">
          <fgColor indexed="9"/>
          <bgColor indexed="2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patternType="mediumGray">
          <fgColor indexed="9"/>
          <bgColor indexed="22"/>
        </patternFill>
      </fill>
    </dxf>
    <dxf>
      <fill>
        <patternFill>
          <bgColor indexed="10"/>
        </patternFill>
      </fill>
    </dxf>
    <dxf>
      <fill>
        <patternFill patternType="mediumGray">
          <fgColor indexed="9"/>
          <bgColor indexed="22"/>
        </patternFill>
      </fill>
    </dxf>
    <dxf>
      <fill>
        <patternFill>
          <bgColor indexed="10"/>
        </patternFill>
      </fill>
    </dxf>
    <dxf>
      <fill>
        <patternFill>
          <bgColor indexed="45"/>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bgColor indexed="45"/>
        </patternFill>
      </fill>
    </dxf>
    <dxf>
      <fill>
        <patternFill>
          <bgColor indexed="45"/>
        </patternFill>
      </fill>
    </dxf>
    <dxf>
      <fill>
        <patternFill>
          <bgColor indexed="10"/>
        </patternFill>
      </fill>
    </dxf>
    <dxf>
      <fill>
        <patternFill>
          <bgColor indexed="45"/>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patternType="mediumGray">
          <fgColor indexed="9"/>
          <bgColor indexed="22"/>
        </patternFill>
      </fill>
    </dxf>
    <dxf>
      <fill>
        <patternFill>
          <bgColor indexed="10"/>
        </patternFill>
      </fill>
    </dxf>
    <dxf>
      <fill>
        <patternFill>
          <bgColor indexed="10"/>
        </patternFill>
      </fill>
    </dxf>
    <dxf>
      <fill>
        <patternFill patternType="mediumGray">
          <fgColor indexed="9"/>
          <bgColor indexed="22"/>
        </patternFill>
      </fill>
    </dxf>
    <dxf>
      <fill>
        <patternFill>
          <bgColor indexed="10"/>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bgColor indexed="13"/>
        </patternFill>
      </fill>
    </dxf>
    <dxf>
      <fill>
        <patternFill>
          <bgColor indexed="15"/>
        </patternFill>
      </fill>
    </dxf>
    <dxf>
      <fill>
        <patternFill>
          <bgColor indexed="10"/>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ill>
        <patternFill patternType="mediumGray">
          <fgColor indexed="9"/>
          <bgColor indexed="22"/>
        </patternFill>
      </fill>
    </dxf>
    <dxf>
      <fill>
        <patternFill>
          <bgColor indexed="10"/>
        </patternFill>
      </fill>
    </dxf>
    <dxf>
      <fill>
        <patternFill patternType="mediumGray">
          <fgColor indexed="9"/>
          <bgColor indexed="22"/>
        </patternFill>
      </fill>
    </dxf>
    <dxf>
      <fill>
        <patternFill>
          <bgColor indexed="10"/>
        </patternFill>
      </fill>
    </dxf>
    <dxf>
      <fill>
        <patternFill>
          <bgColor indexed="45"/>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patternType="mediumGray">
          <fgColor indexed="9"/>
          <bgColor indexed="22"/>
        </patternFill>
      </fill>
    </dxf>
    <dxf>
      <fill>
        <patternFill>
          <bgColor indexed="45"/>
        </patternFill>
      </fill>
    </dxf>
    <dxf>
      <fill>
        <patternFill>
          <bgColor indexed="45"/>
        </patternFill>
      </fill>
    </dxf>
    <dxf>
      <fill>
        <patternFill>
          <bgColor indexed="10"/>
        </patternFill>
      </fill>
    </dxf>
    <dxf>
      <fill>
        <patternFill>
          <bgColor indexed="45"/>
        </patternFill>
      </fill>
    </dxf>
    <dxf>
      <fill>
        <patternFill>
          <bgColor indexed="14"/>
        </patternFill>
      </fill>
    </dxf>
    <dxf>
      <fill>
        <patternFill>
          <bgColor indexed="14"/>
        </patternFill>
      </fill>
    </dxf>
    <dxf>
      <font>
        <b val="0"/>
        <i val="0"/>
        <condense val="0"/>
        <extend val="0"/>
        <color indexed="8"/>
      </font>
      <fill>
        <patternFill>
          <bgColor indexed="45"/>
        </patternFill>
      </fill>
    </dxf>
    <dxf>
      <fill>
        <patternFill>
          <bgColor rgb="FFFF00FF"/>
        </patternFill>
      </fill>
    </dxf>
    <dxf>
      <font>
        <b val="0"/>
        <i val="0"/>
        <condense val="0"/>
        <extend val="0"/>
        <color indexed="8"/>
      </font>
      <fill>
        <patternFill>
          <bgColor indexed="45"/>
        </patternFill>
      </fill>
    </dxf>
  </dxfs>
  <tableStyles count="0" defaultTableStyle="TableStyleMedium9" defaultPivotStyle="PivotStyleLight16"/>
  <colors>
    <mruColors>
      <color rgb="FFFFFF99"/>
      <color rgb="FFFF99CC"/>
      <color rgb="FFCCFFFF"/>
      <color rgb="FFFCD5B4"/>
      <color rgb="FFFF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hyperlink" Target="http://mierk.jp/information/mail.php"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8</xdr:row>
      <xdr:rowOff>295275</xdr:rowOff>
    </xdr:from>
    <xdr:to>
      <xdr:col>11</xdr:col>
      <xdr:colOff>257175</xdr:colOff>
      <xdr:row>34</xdr:row>
      <xdr:rowOff>38100</xdr:rowOff>
    </xdr:to>
    <xdr:pic>
      <xdr:nvPicPr>
        <xdr:cNvPr id="375809" name="Picture 7"/>
        <xdr:cNvPicPr>
          <a:picLocks noChangeAspect="1" noChangeArrowheads="1"/>
        </xdr:cNvPicPr>
      </xdr:nvPicPr>
      <xdr:blipFill>
        <a:blip xmlns:r="http://schemas.openxmlformats.org/officeDocument/2006/relationships" r:embed="rId1" cstate="print"/>
        <a:srcRect r="24121" b="34505"/>
        <a:stretch>
          <a:fillRect/>
        </a:stretch>
      </xdr:blipFill>
      <xdr:spPr bwMode="auto">
        <a:xfrm>
          <a:off x="400050" y="3495675"/>
          <a:ext cx="7400925" cy="4791075"/>
        </a:xfrm>
        <a:prstGeom prst="rect">
          <a:avLst/>
        </a:prstGeom>
        <a:noFill/>
        <a:ln w="9525">
          <a:noFill/>
          <a:miter lim="800000"/>
          <a:headEnd/>
          <a:tailEnd/>
        </a:ln>
      </xdr:spPr>
    </xdr:pic>
    <xdr:clientData/>
  </xdr:twoCellAnchor>
  <xdr:twoCellAnchor editAs="oneCell">
    <xdr:from>
      <xdr:col>0</xdr:col>
      <xdr:colOff>428625</xdr:colOff>
      <xdr:row>36</xdr:row>
      <xdr:rowOff>38100</xdr:rowOff>
    </xdr:from>
    <xdr:to>
      <xdr:col>6</xdr:col>
      <xdr:colOff>295275</xdr:colOff>
      <xdr:row>54</xdr:row>
      <xdr:rowOff>19050</xdr:rowOff>
    </xdr:to>
    <xdr:pic>
      <xdr:nvPicPr>
        <xdr:cNvPr id="375810" name="Picture 8"/>
        <xdr:cNvPicPr>
          <a:picLocks noChangeAspect="1" noChangeArrowheads="1"/>
        </xdr:cNvPicPr>
      </xdr:nvPicPr>
      <xdr:blipFill>
        <a:blip xmlns:r="http://schemas.openxmlformats.org/officeDocument/2006/relationships" r:embed="rId2" cstate="print"/>
        <a:srcRect l="30762" t="25000" r="28418" b="30730"/>
        <a:stretch>
          <a:fillRect/>
        </a:stretch>
      </xdr:blipFill>
      <xdr:spPr bwMode="auto">
        <a:xfrm>
          <a:off x="428625" y="8772525"/>
          <a:ext cx="3981450" cy="3238500"/>
        </a:xfrm>
        <a:prstGeom prst="rect">
          <a:avLst/>
        </a:prstGeom>
        <a:noFill/>
        <a:ln w="9525">
          <a:noFill/>
          <a:miter lim="800000"/>
          <a:headEnd/>
          <a:tailEnd/>
        </a:ln>
      </xdr:spPr>
    </xdr:pic>
    <xdr:clientData/>
  </xdr:twoCellAnchor>
  <xdr:twoCellAnchor editAs="oneCell">
    <xdr:from>
      <xdr:col>0</xdr:col>
      <xdr:colOff>361950</xdr:colOff>
      <xdr:row>57</xdr:row>
      <xdr:rowOff>28575</xdr:rowOff>
    </xdr:from>
    <xdr:to>
      <xdr:col>6</xdr:col>
      <xdr:colOff>342900</xdr:colOff>
      <xdr:row>66</xdr:row>
      <xdr:rowOff>47625</xdr:rowOff>
    </xdr:to>
    <xdr:pic>
      <xdr:nvPicPr>
        <xdr:cNvPr id="375811" name="Picture 9"/>
        <xdr:cNvPicPr>
          <a:picLocks noChangeAspect="1" noChangeArrowheads="1"/>
        </xdr:cNvPicPr>
      </xdr:nvPicPr>
      <xdr:blipFill>
        <a:blip xmlns:r="http://schemas.openxmlformats.org/officeDocument/2006/relationships" r:embed="rId3" cstate="print"/>
        <a:srcRect l="29980" t="36067" r="28027" b="41406"/>
        <a:stretch>
          <a:fillRect/>
        </a:stretch>
      </xdr:blipFill>
      <xdr:spPr bwMode="auto">
        <a:xfrm>
          <a:off x="361950" y="12811125"/>
          <a:ext cx="4095750" cy="16478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47625</xdr:colOff>
      <xdr:row>156</xdr:row>
      <xdr:rowOff>19050</xdr:rowOff>
    </xdr:from>
    <xdr:to>
      <xdr:col>19</xdr:col>
      <xdr:colOff>504825</xdr:colOff>
      <xdr:row>162</xdr:row>
      <xdr:rowOff>228600</xdr:rowOff>
    </xdr:to>
    <xdr:sp macro="" textlink="">
      <xdr:nvSpPr>
        <xdr:cNvPr id="41985" name="AutoShape 1"/>
        <xdr:cNvSpPr>
          <a:spLocks noChangeArrowheads="1"/>
        </xdr:cNvSpPr>
      </xdr:nvSpPr>
      <xdr:spPr bwMode="auto">
        <a:xfrm>
          <a:off x="5286375" y="31851600"/>
          <a:ext cx="1666875" cy="1019175"/>
        </a:xfrm>
        <a:prstGeom prst="cloudCallout">
          <a:avLst>
            <a:gd name="adj1" fmla="val -44287"/>
            <a:gd name="adj2" fmla="val 64019"/>
          </a:avLst>
        </a:prstGeom>
        <a:solidFill>
          <a:srgbClr val="FFFF00"/>
        </a:solidFill>
        <a:ln w="9525">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選手のＮＯと記録を</a:t>
          </a:r>
        </a:p>
        <a:p>
          <a:pPr algn="l" rtl="0">
            <a:defRPr sz="1000"/>
          </a:pPr>
          <a:r>
            <a:rPr lang="ja-JP" altLang="en-US" sz="1100" b="0" i="0" strike="noStrike">
              <a:solidFill>
                <a:srgbClr val="000000"/>
              </a:solidFill>
              <a:latin typeface="ＭＳ Ｐゴシック"/>
              <a:ea typeface="ＭＳ Ｐゴシック"/>
            </a:rPr>
            <a:t>入力して下さい</a:t>
          </a: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15</xdr:col>
      <xdr:colOff>9525</xdr:colOff>
      <xdr:row>10</xdr:row>
      <xdr:rowOff>0</xdr:rowOff>
    </xdr:from>
    <xdr:to>
      <xdr:col>18</xdr:col>
      <xdr:colOff>142875</xdr:colOff>
      <xdr:row>11</xdr:row>
      <xdr:rowOff>114300</xdr:rowOff>
    </xdr:to>
    <xdr:sp macro="[0]!メニューへ戻る" textlink="">
      <xdr:nvSpPr>
        <xdr:cNvPr id="41986" name="Rectangle 2"/>
        <xdr:cNvSpPr>
          <a:spLocks noChangeArrowheads="1"/>
        </xdr:cNvSpPr>
      </xdr:nvSpPr>
      <xdr:spPr bwMode="auto">
        <a:xfrm>
          <a:off x="5391150" y="1819275"/>
          <a:ext cx="1057275" cy="285750"/>
        </a:xfrm>
        <a:prstGeom prst="rect">
          <a:avLst/>
        </a:prstGeom>
        <a:solidFill>
          <a:srgbClr val="FF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メニューへ戻る</a:t>
          </a:r>
        </a:p>
      </xdr:txBody>
    </xdr:sp>
    <xdr:clientData fLocksWithSheet="0" fPrintsWithSheet="0"/>
  </xdr:twoCellAnchor>
  <xdr:twoCellAnchor>
    <xdr:from>
      <xdr:col>15</xdr:col>
      <xdr:colOff>0</xdr:colOff>
      <xdr:row>13</xdr:row>
      <xdr:rowOff>0</xdr:rowOff>
    </xdr:from>
    <xdr:to>
      <xdr:col>19</xdr:col>
      <xdr:colOff>38100</xdr:colOff>
      <xdr:row>14</xdr:row>
      <xdr:rowOff>114300</xdr:rowOff>
    </xdr:to>
    <xdr:sp macro="[0]!男子一覧へ移動" textlink="">
      <xdr:nvSpPr>
        <xdr:cNvPr id="41987" name="Rectangle 3"/>
        <xdr:cNvSpPr>
          <a:spLocks noChangeArrowheads="1"/>
        </xdr:cNvSpPr>
      </xdr:nvSpPr>
      <xdr:spPr bwMode="auto">
        <a:xfrm>
          <a:off x="5381625" y="2438400"/>
          <a:ext cx="1104900" cy="285750"/>
        </a:xfrm>
        <a:prstGeom prst="rect">
          <a:avLst/>
        </a:prstGeom>
        <a:solidFill>
          <a:srgbClr val="00FFFF"/>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男子一覧表へ</a:t>
          </a:r>
        </a:p>
      </xdr:txBody>
    </xdr:sp>
    <xdr:clientData fLocksWithSheet="0" fPrintsWithSheet="0"/>
  </xdr:twoCellAnchor>
  <xdr:twoCellAnchor>
    <xdr:from>
      <xdr:col>15</xdr:col>
      <xdr:colOff>9525</xdr:colOff>
      <xdr:row>16</xdr:row>
      <xdr:rowOff>9525</xdr:rowOff>
    </xdr:from>
    <xdr:to>
      <xdr:col>19</xdr:col>
      <xdr:colOff>47625</xdr:colOff>
      <xdr:row>17</xdr:row>
      <xdr:rowOff>123825</xdr:rowOff>
    </xdr:to>
    <xdr:sp macro="[0]!女子一覧へ移動" textlink="">
      <xdr:nvSpPr>
        <xdr:cNvPr id="41988" name="Rectangle 4"/>
        <xdr:cNvSpPr>
          <a:spLocks noChangeArrowheads="1"/>
        </xdr:cNvSpPr>
      </xdr:nvSpPr>
      <xdr:spPr bwMode="auto">
        <a:xfrm>
          <a:off x="5391150" y="3067050"/>
          <a:ext cx="1104900" cy="285750"/>
        </a:xfrm>
        <a:prstGeom prst="rect">
          <a:avLst/>
        </a:prstGeom>
        <a:solidFill>
          <a:srgbClr val="FF99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女子一覧表へ</a:t>
          </a:r>
        </a:p>
      </xdr:txBody>
    </xdr:sp>
    <xdr:clientData fLocksWithSheet="0" fPrintsWithSheet="0"/>
  </xdr:twoCellAnchor>
  <xdr:twoCellAnchor>
    <xdr:from>
      <xdr:col>15</xdr:col>
      <xdr:colOff>9525</xdr:colOff>
      <xdr:row>18</xdr:row>
      <xdr:rowOff>295275</xdr:rowOff>
    </xdr:from>
    <xdr:to>
      <xdr:col>19</xdr:col>
      <xdr:colOff>47625</xdr:colOff>
      <xdr:row>20</xdr:row>
      <xdr:rowOff>95250</xdr:rowOff>
    </xdr:to>
    <xdr:sp macro="[0]!女子個票へ移動" textlink="">
      <xdr:nvSpPr>
        <xdr:cNvPr id="41989" name="Rectangle 5"/>
        <xdr:cNvSpPr>
          <a:spLocks noChangeArrowheads="1"/>
        </xdr:cNvSpPr>
      </xdr:nvSpPr>
      <xdr:spPr bwMode="auto">
        <a:xfrm>
          <a:off x="5391150" y="3657600"/>
          <a:ext cx="1104900" cy="285750"/>
        </a:xfrm>
        <a:prstGeom prst="rect">
          <a:avLst/>
        </a:prstGeom>
        <a:solidFill>
          <a:srgbClr val="FF99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女子　個票へ</a:t>
          </a:r>
        </a:p>
      </xdr:txBody>
    </xdr:sp>
    <xdr:clientData fLocksWithSheet="0" fPrintsWithSheet="0"/>
  </xdr:twoCellAnchor>
  <xdr:twoCellAnchor>
    <xdr:from>
      <xdr:col>15</xdr:col>
      <xdr:colOff>0</xdr:colOff>
      <xdr:row>22</xdr:row>
      <xdr:rowOff>19050</xdr:rowOff>
    </xdr:from>
    <xdr:to>
      <xdr:col>18</xdr:col>
      <xdr:colOff>133350</xdr:colOff>
      <xdr:row>24</xdr:row>
      <xdr:rowOff>0</xdr:rowOff>
    </xdr:to>
    <xdr:sp macro="[0]!印刷1" textlink="">
      <xdr:nvSpPr>
        <xdr:cNvPr id="41990" name="Rectangle 6"/>
        <xdr:cNvSpPr>
          <a:spLocks noChangeArrowheads="1"/>
        </xdr:cNvSpPr>
      </xdr:nvSpPr>
      <xdr:spPr bwMode="auto">
        <a:xfrm>
          <a:off x="5381625" y="4314825"/>
          <a:ext cx="1066800" cy="285750"/>
        </a:xfrm>
        <a:prstGeom prst="rect">
          <a:avLst/>
        </a:prstGeom>
        <a:solidFill>
          <a:srgbClr val="00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印　刷</a:t>
          </a:r>
        </a:p>
      </xdr:txBody>
    </xdr:sp>
    <xdr:clientData fLocksWithSheet="0" fPrintsWithSheet="0"/>
  </xdr:twoCellAnchor>
</xdr:wsDr>
</file>

<file path=xl/drawings/drawing11.xml><?xml version="1.0" encoding="utf-8"?>
<xdr:wsDr xmlns:xdr="http://schemas.openxmlformats.org/drawingml/2006/spreadsheetDrawing" xmlns:a="http://schemas.openxmlformats.org/drawingml/2006/main">
  <xdr:twoCellAnchor>
    <xdr:from>
      <xdr:col>17</xdr:col>
      <xdr:colOff>95250</xdr:colOff>
      <xdr:row>2</xdr:row>
      <xdr:rowOff>47625</xdr:rowOff>
    </xdr:from>
    <xdr:to>
      <xdr:col>22</xdr:col>
      <xdr:colOff>89958</xdr:colOff>
      <xdr:row>2</xdr:row>
      <xdr:rowOff>295275</xdr:rowOff>
    </xdr:to>
    <xdr:sp macro="[0]!メニューへ戻る" textlink="">
      <xdr:nvSpPr>
        <xdr:cNvPr id="43009" name="Rectangle 1"/>
        <xdr:cNvSpPr>
          <a:spLocks noChangeArrowheads="1"/>
        </xdr:cNvSpPr>
      </xdr:nvSpPr>
      <xdr:spPr bwMode="auto">
        <a:xfrm>
          <a:off x="7663392" y="513292"/>
          <a:ext cx="1232958" cy="247650"/>
        </a:xfrm>
        <a:prstGeom prst="rect">
          <a:avLst/>
        </a:prstGeom>
        <a:solidFill>
          <a:srgbClr val="FF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メニューへ戻る</a:t>
          </a:r>
        </a:p>
      </xdr:txBody>
    </xdr:sp>
    <xdr:clientData fLocksWithSheet="0" fPrintsWithSheet="0"/>
  </xdr:twoCellAnchor>
  <xdr:twoCellAnchor>
    <xdr:from>
      <xdr:col>17</xdr:col>
      <xdr:colOff>104775</xdr:colOff>
      <xdr:row>8</xdr:row>
      <xdr:rowOff>19050</xdr:rowOff>
    </xdr:from>
    <xdr:to>
      <xdr:col>22</xdr:col>
      <xdr:colOff>99483</xdr:colOff>
      <xdr:row>9</xdr:row>
      <xdr:rowOff>57150</xdr:rowOff>
    </xdr:to>
    <xdr:sp macro="[0]!男子一覧へ移動" textlink="">
      <xdr:nvSpPr>
        <xdr:cNvPr id="43010" name="Rectangle 2"/>
        <xdr:cNvSpPr>
          <a:spLocks noChangeArrowheads="1"/>
        </xdr:cNvSpPr>
      </xdr:nvSpPr>
      <xdr:spPr bwMode="auto">
        <a:xfrm>
          <a:off x="7691967" y="1754717"/>
          <a:ext cx="1232958" cy="249766"/>
        </a:xfrm>
        <a:prstGeom prst="rect">
          <a:avLst/>
        </a:prstGeom>
        <a:solidFill>
          <a:srgbClr val="00FFFF"/>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男子一覧表へ</a:t>
          </a:r>
        </a:p>
      </xdr:txBody>
    </xdr:sp>
    <xdr:clientData fLocksWithSheet="0" fPrintsWithSheet="0"/>
  </xdr:twoCellAnchor>
  <xdr:twoCellAnchor>
    <xdr:from>
      <xdr:col>17</xdr:col>
      <xdr:colOff>95250</xdr:colOff>
      <xdr:row>5</xdr:row>
      <xdr:rowOff>9525</xdr:rowOff>
    </xdr:from>
    <xdr:to>
      <xdr:col>22</xdr:col>
      <xdr:colOff>89958</xdr:colOff>
      <xdr:row>6</xdr:row>
      <xdr:rowOff>114300</xdr:rowOff>
    </xdr:to>
    <xdr:sp macro="[0]!女子個票へ移動" textlink="">
      <xdr:nvSpPr>
        <xdr:cNvPr id="43011" name="Rectangle 3"/>
        <xdr:cNvSpPr>
          <a:spLocks noChangeArrowheads="1"/>
        </xdr:cNvSpPr>
      </xdr:nvSpPr>
      <xdr:spPr bwMode="auto">
        <a:xfrm>
          <a:off x="7682442" y="1163108"/>
          <a:ext cx="1232958" cy="252942"/>
        </a:xfrm>
        <a:prstGeom prst="rect">
          <a:avLst/>
        </a:prstGeom>
        <a:solidFill>
          <a:srgbClr val="FF99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女子　個票へ</a:t>
          </a:r>
        </a:p>
      </xdr:txBody>
    </xdr:sp>
    <xdr:clientData fLocksWithSheet="0" fPrintsWithSheet="0"/>
  </xdr:twoCellAnchor>
  <xdr:twoCellAnchor>
    <xdr:from>
      <xdr:col>17</xdr:col>
      <xdr:colOff>104775</xdr:colOff>
      <xdr:row>10</xdr:row>
      <xdr:rowOff>47625</xdr:rowOff>
    </xdr:from>
    <xdr:to>
      <xdr:col>22</xdr:col>
      <xdr:colOff>99483</xdr:colOff>
      <xdr:row>11</xdr:row>
      <xdr:rowOff>152400</xdr:rowOff>
    </xdr:to>
    <xdr:sp macro="[0]!男子個票へ移動" textlink="">
      <xdr:nvSpPr>
        <xdr:cNvPr id="43012" name="Rectangle 4"/>
        <xdr:cNvSpPr>
          <a:spLocks noChangeArrowheads="1"/>
        </xdr:cNvSpPr>
      </xdr:nvSpPr>
      <xdr:spPr bwMode="auto">
        <a:xfrm>
          <a:off x="7691967" y="2143125"/>
          <a:ext cx="1232958" cy="252942"/>
        </a:xfrm>
        <a:prstGeom prst="rect">
          <a:avLst/>
        </a:prstGeom>
        <a:solidFill>
          <a:srgbClr val="00FFFF"/>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男子　個票へ</a:t>
          </a:r>
        </a:p>
      </xdr:txBody>
    </xdr:sp>
    <xdr:clientData fLocksWithSheet="0" fPrintsWithSheet="0"/>
  </xdr:twoCellAnchor>
  <xdr:twoCellAnchor>
    <xdr:from>
      <xdr:col>17</xdr:col>
      <xdr:colOff>104775</xdr:colOff>
      <xdr:row>13</xdr:row>
      <xdr:rowOff>9525</xdr:rowOff>
    </xdr:from>
    <xdr:to>
      <xdr:col>22</xdr:col>
      <xdr:colOff>99483</xdr:colOff>
      <xdr:row>13</xdr:row>
      <xdr:rowOff>257175</xdr:rowOff>
    </xdr:to>
    <xdr:sp macro="[0]!印刷1" textlink="">
      <xdr:nvSpPr>
        <xdr:cNvPr id="43013" name="Rectangle 5"/>
        <xdr:cNvSpPr>
          <a:spLocks noChangeArrowheads="1"/>
        </xdr:cNvSpPr>
      </xdr:nvSpPr>
      <xdr:spPr bwMode="auto">
        <a:xfrm>
          <a:off x="7701492" y="2792942"/>
          <a:ext cx="1232958" cy="247650"/>
        </a:xfrm>
        <a:prstGeom prst="rect">
          <a:avLst/>
        </a:prstGeom>
        <a:solidFill>
          <a:srgbClr val="00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印　刷</a:t>
          </a:r>
        </a:p>
      </xdr:txBody>
    </xdr:sp>
    <xdr:clientData fLocksWithSheet="0" fPrintsWithSheet="0"/>
  </xdr:twoCellAnchor>
  <xdr:twoCellAnchor>
    <xdr:from>
      <xdr:col>17</xdr:col>
      <xdr:colOff>133350</xdr:colOff>
      <xdr:row>14</xdr:row>
      <xdr:rowOff>342900</xdr:rowOff>
    </xdr:from>
    <xdr:to>
      <xdr:col>22</xdr:col>
      <xdr:colOff>89958</xdr:colOff>
      <xdr:row>16</xdr:row>
      <xdr:rowOff>0</xdr:rowOff>
    </xdr:to>
    <xdr:sp macro="[0]!汎用書式" textlink="">
      <xdr:nvSpPr>
        <xdr:cNvPr id="43014" name="Rectangle 6"/>
        <xdr:cNvSpPr>
          <a:spLocks noChangeArrowheads="1"/>
        </xdr:cNvSpPr>
      </xdr:nvSpPr>
      <xdr:spPr bwMode="auto">
        <a:xfrm>
          <a:off x="7711017" y="3507317"/>
          <a:ext cx="1194858" cy="419100"/>
        </a:xfrm>
        <a:prstGeom prst="rect">
          <a:avLst/>
        </a:prstGeom>
        <a:solidFill>
          <a:srgbClr val="FF00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FFFFFF"/>
              </a:solidFill>
              <a:latin typeface="ＭＳ Ｐゴシック"/>
              <a:ea typeface="ＭＳ Ｐゴシック"/>
            </a:rPr>
            <a:t>添付ファイル作成</a:t>
          </a:r>
        </a:p>
      </xdr:txBody>
    </xdr:sp>
    <xdr:clientData fLocksWithSheet="0" fPrintsWithSheet="0"/>
  </xdr:twoCellAnchor>
  <xdr:twoCellAnchor>
    <xdr:from>
      <xdr:col>17</xdr:col>
      <xdr:colOff>85725</xdr:colOff>
      <xdr:row>0</xdr:row>
      <xdr:rowOff>160867</xdr:rowOff>
    </xdr:from>
    <xdr:to>
      <xdr:col>21</xdr:col>
      <xdr:colOff>156718</xdr:colOff>
      <xdr:row>1</xdr:row>
      <xdr:rowOff>175684</xdr:rowOff>
    </xdr:to>
    <xdr:sp macro="[0]!名簿へ移動" textlink="">
      <xdr:nvSpPr>
        <xdr:cNvPr id="43017" name="Rectangle 9"/>
        <xdr:cNvSpPr>
          <a:spLocks noChangeArrowheads="1"/>
        </xdr:cNvSpPr>
      </xdr:nvSpPr>
      <xdr:spPr bwMode="auto">
        <a:xfrm>
          <a:off x="9848850" y="514350"/>
          <a:ext cx="962025" cy="247650"/>
        </a:xfrm>
        <a:prstGeom prst="rect">
          <a:avLst/>
        </a:prstGeom>
        <a:solidFill>
          <a:srgbClr val="CCFF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名簿の確認</a:t>
          </a:r>
        </a:p>
      </xdr:txBody>
    </xdr:sp>
    <xdr:clientData fLocksWithSheet="0" fPrintsWithSheet="0"/>
  </xdr:twoCellAnchor>
</xdr:wsDr>
</file>

<file path=xl/drawings/drawing12.xml><?xml version="1.0" encoding="utf-8"?>
<xdr:wsDr xmlns:xdr="http://schemas.openxmlformats.org/drawingml/2006/spreadsheetDrawing" xmlns:a="http://schemas.openxmlformats.org/drawingml/2006/main">
  <xdr:twoCellAnchor>
    <xdr:from>
      <xdr:col>15</xdr:col>
      <xdr:colOff>190500</xdr:colOff>
      <xdr:row>156</xdr:row>
      <xdr:rowOff>57150</xdr:rowOff>
    </xdr:from>
    <xdr:to>
      <xdr:col>19</xdr:col>
      <xdr:colOff>285750</xdr:colOff>
      <xdr:row>164</xdr:row>
      <xdr:rowOff>57150</xdr:rowOff>
    </xdr:to>
    <xdr:sp macro="" textlink="">
      <xdr:nvSpPr>
        <xdr:cNvPr id="44033" name="AutoShape 1"/>
        <xdr:cNvSpPr>
          <a:spLocks noChangeArrowheads="1"/>
        </xdr:cNvSpPr>
      </xdr:nvSpPr>
      <xdr:spPr bwMode="auto">
        <a:xfrm>
          <a:off x="5572125" y="31889700"/>
          <a:ext cx="1152525" cy="1209675"/>
        </a:xfrm>
        <a:prstGeom prst="cloudCallout">
          <a:avLst>
            <a:gd name="adj1" fmla="val -76444"/>
            <a:gd name="adj2" fmla="val 63384"/>
          </a:avLst>
        </a:prstGeom>
        <a:solidFill>
          <a:srgbClr val="FFFF00"/>
        </a:solidFill>
        <a:ln w="9525">
          <a:solidFill>
            <a:srgbClr val="000000"/>
          </a:solidFill>
          <a:round/>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選手のＮＯと記録を</a:t>
          </a:r>
        </a:p>
        <a:p>
          <a:pPr algn="l" rtl="0">
            <a:lnSpc>
              <a:spcPts val="1300"/>
            </a:lnSpc>
            <a:defRPr sz="1000"/>
          </a:pPr>
          <a:r>
            <a:rPr lang="ja-JP" altLang="en-US" sz="1100" b="0" i="0" strike="noStrike">
              <a:solidFill>
                <a:srgbClr val="000000"/>
              </a:solidFill>
              <a:latin typeface="ＭＳ Ｐゴシック"/>
              <a:ea typeface="ＭＳ Ｐゴシック"/>
            </a:rPr>
            <a:t>入力して下さい</a:t>
          </a: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15</xdr:col>
      <xdr:colOff>9525</xdr:colOff>
      <xdr:row>10</xdr:row>
      <xdr:rowOff>0</xdr:rowOff>
    </xdr:from>
    <xdr:to>
      <xdr:col>18</xdr:col>
      <xdr:colOff>142875</xdr:colOff>
      <xdr:row>11</xdr:row>
      <xdr:rowOff>114300</xdr:rowOff>
    </xdr:to>
    <xdr:sp macro="[0]!メニューへ戻る" textlink="">
      <xdr:nvSpPr>
        <xdr:cNvPr id="44034" name="Rectangle 2"/>
        <xdr:cNvSpPr>
          <a:spLocks noChangeArrowheads="1"/>
        </xdr:cNvSpPr>
      </xdr:nvSpPr>
      <xdr:spPr bwMode="auto">
        <a:xfrm>
          <a:off x="5391150" y="1819275"/>
          <a:ext cx="1047750" cy="285750"/>
        </a:xfrm>
        <a:prstGeom prst="rect">
          <a:avLst/>
        </a:prstGeom>
        <a:solidFill>
          <a:srgbClr val="FF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メニューへ戻る</a:t>
          </a:r>
        </a:p>
      </xdr:txBody>
    </xdr:sp>
    <xdr:clientData fLocksWithSheet="0" fPrintsWithSheet="0"/>
  </xdr:twoCellAnchor>
  <xdr:twoCellAnchor>
    <xdr:from>
      <xdr:col>15</xdr:col>
      <xdr:colOff>0</xdr:colOff>
      <xdr:row>13</xdr:row>
      <xdr:rowOff>0</xdr:rowOff>
    </xdr:from>
    <xdr:to>
      <xdr:col>19</xdr:col>
      <xdr:colOff>38100</xdr:colOff>
      <xdr:row>14</xdr:row>
      <xdr:rowOff>114300</xdr:rowOff>
    </xdr:to>
    <xdr:sp macro="[0]!女子一覧へ移動" textlink="">
      <xdr:nvSpPr>
        <xdr:cNvPr id="44035" name="Rectangle 3"/>
        <xdr:cNvSpPr>
          <a:spLocks noChangeArrowheads="1"/>
        </xdr:cNvSpPr>
      </xdr:nvSpPr>
      <xdr:spPr bwMode="auto">
        <a:xfrm>
          <a:off x="5381625" y="2438400"/>
          <a:ext cx="1095375" cy="285750"/>
        </a:xfrm>
        <a:prstGeom prst="rect">
          <a:avLst/>
        </a:prstGeom>
        <a:solidFill>
          <a:srgbClr val="FF99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女子一覧表へ</a:t>
          </a:r>
        </a:p>
      </xdr:txBody>
    </xdr:sp>
    <xdr:clientData fLocksWithSheet="0" fPrintsWithSheet="0"/>
  </xdr:twoCellAnchor>
  <xdr:twoCellAnchor>
    <xdr:from>
      <xdr:col>15</xdr:col>
      <xdr:colOff>9525</xdr:colOff>
      <xdr:row>16</xdr:row>
      <xdr:rowOff>9525</xdr:rowOff>
    </xdr:from>
    <xdr:to>
      <xdr:col>19</xdr:col>
      <xdr:colOff>47625</xdr:colOff>
      <xdr:row>17</xdr:row>
      <xdr:rowOff>123825</xdr:rowOff>
    </xdr:to>
    <xdr:sp macro="[0]!男子一覧へ移動" textlink="">
      <xdr:nvSpPr>
        <xdr:cNvPr id="44036" name="Rectangle 4"/>
        <xdr:cNvSpPr>
          <a:spLocks noChangeArrowheads="1"/>
        </xdr:cNvSpPr>
      </xdr:nvSpPr>
      <xdr:spPr bwMode="auto">
        <a:xfrm>
          <a:off x="5391150" y="3067050"/>
          <a:ext cx="1095375" cy="285750"/>
        </a:xfrm>
        <a:prstGeom prst="rect">
          <a:avLst/>
        </a:prstGeom>
        <a:solidFill>
          <a:srgbClr val="00FFFF"/>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男子一覧表へ</a:t>
          </a:r>
        </a:p>
      </xdr:txBody>
    </xdr:sp>
    <xdr:clientData fLocksWithSheet="0" fPrintsWithSheet="0"/>
  </xdr:twoCellAnchor>
  <xdr:twoCellAnchor>
    <xdr:from>
      <xdr:col>15</xdr:col>
      <xdr:colOff>9525</xdr:colOff>
      <xdr:row>18</xdr:row>
      <xdr:rowOff>295275</xdr:rowOff>
    </xdr:from>
    <xdr:to>
      <xdr:col>19</xdr:col>
      <xdr:colOff>47625</xdr:colOff>
      <xdr:row>20</xdr:row>
      <xdr:rowOff>95250</xdr:rowOff>
    </xdr:to>
    <xdr:sp macro="[0]!男子個票へ移動" textlink="">
      <xdr:nvSpPr>
        <xdr:cNvPr id="44037" name="Rectangle 5"/>
        <xdr:cNvSpPr>
          <a:spLocks noChangeArrowheads="1"/>
        </xdr:cNvSpPr>
      </xdr:nvSpPr>
      <xdr:spPr bwMode="auto">
        <a:xfrm>
          <a:off x="5391150" y="3657600"/>
          <a:ext cx="1095375" cy="285750"/>
        </a:xfrm>
        <a:prstGeom prst="rect">
          <a:avLst/>
        </a:prstGeom>
        <a:solidFill>
          <a:srgbClr val="00FFFF"/>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男子　個票へ</a:t>
          </a:r>
        </a:p>
      </xdr:txBody>
    </xdr:sp>
    <xdr:clientData fLocksWithSheet="0" fPrintsWithSheet="0"/>
  </xdr:twoCellAnchor>
  <xdr:twoCellAnchor>
    <xdr:from>
      <xdr:col>15</xdr:col>
      <xdr:colOff>0</xdr:colOff>
      <xdr:row>22</xdr:row>
      <xdr:rowOff>19050</xdr:rowOff>
    </xdr:from>
    <xdr:to>
      <xdr:col>18</xdr:col>
      <xdr:colOff>133350</xdr:colOff>
      <xdr:row>24</xdr:row>
      <xdr:rowOff>0</xdr:rowOff>
    </xdr:to>
    <xdr:sp macro="[0]!印刷1" textlink="">
      <xdr:nvSpPr>
        <xdr:cNvPr id="44038" name="Rectangle 6"/>
        <xdr:cNvSpPr>
          <a:spLocks noChangeArrowheads="1"/>
        </xdr:cNvSpPr>
      </xdr:nvSpPr>
      <xdr:spPr bwMode="auto">
        <a:xfrm>
          <a:off x="5381625" y="4314825"/>
          <a:ext cx="1057275" cy="285750"/>
        </a:xfrm>
        <a:prstGeom prst="rect">
          <a:avLst/>
        </a:prstGeom>
        <a:solidFill>
          <a:srgbClr val="00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印　刷</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36</xdr:row>
      <xdr:rowOff>57150</xdr:rowOff>
    </xdr:from>
    <xdr:to>
      <xdr:col>4</xdr:col>
      <xdr:colOff>514350</xdr:colOff>
      <xdr:row>46</xdr:row>
      <xdr:rowOff>95250</xdr:rowOff>
    </xdr:to>
    <xdr:pic>
      <xdr:nvPicPr>
        <xdr:cNvPr id="18361" name="Picture 2"/>
        <xdr:cNvPicPr>
          <a:picLocks noChangeAspect="1" noChangeArrowheads="1"/>
        </xdr:cNvPicPr>
      </xdr:nvPicPr>
      <xdr:blipFill>
        <a:blip xmlns:r="http://schemas.openxmlformats.org/officeDocument/2006/relationships" r:embed="rId1" cstate="print"/>
        <a:srcRect t="17422" r="74440" b="48302"/>
        <a:stretch>
          <a:fillRect/>
        </a:stretch>
      </xdr:blipFill>
      <xdr:spPr bwMode="auto">
        <a:xfrm>
          <a:off x="1381125" y="6353175"/>
          <a:ext cx="2171700" cy="1752600"/>
        </a:xfrm>
        <a:prstGeom prst="rect">
          <a:avLst/>
        </a:prstGeom>
        <a:noFill/>
        <a:ln w="9525">
          <a:noFill/>
          <a:miter lim="800000"/>
          <a:headEnd/>
          <a:tailEnd/>
        </a:ln>
      </xdr:spPr>
    </xdr:pic>
    <xdr:clientData/>
  </xdr:twoCellAnchor>
  <xdr:twoCellAnchor editAs="oneCell">
    <xdr:from>
      <xdr:col>1</xdr:col>
      <xdr:colOff>638175</xdr:colOff>
      <xdr:row>53</xdr:row>
      <xdr:rowOff>19050</xdr:rowOff>
    </xdr:from>
    <xdr:to>
      <xdr:col>5</xdr:col>
      <xdr:colOff>571500</xdr:colOff>
      <xdr:row>77</xdr:row>
      <xdr:rowOff>152400</xdr:rowOff>
    </xdr:to>
    <xdr:pic>
      <xdr:nvPicPr>
        <xdr:cNvPr id="18362" name="Picture 3"/>
        <xdr:cNvPicPr>
          <a:picLocks noChangeAspect="1" noChangeArrowheads="1"/>
        </xdr:cNvPicPr>
      </xdr:nvPicPr>
      <xdr:blipFill>
        <a:blip xmlns:r="http://schemas.openxmlformats.org/officeDocument/2006/relationships" r:embed="rId2" cstate="print"/>
        <a:srcRect r="57227" b="18465"/>
        <a:stretch>
          <a:fillRect/>
        </a:stretch>
      </xdr:blipFill>
      <xdr:spPr bwMode="auto">
        <a:xfrm>
          <a:off x="1323975" y="9324975"/>
          <a:ext cx="2971800" cy="4248150"/>
        </a:xfrm>
        <a:prstGeom prst="rect">
          <a:avLst/>
        </a:prstGeom>
        <a:noFill/>
        <a:ln w="9525">
          <a:noFill/>
          <a:miter lim="800000"/>
          <a:headEnd/>
          <a:tailEnd/>
        </a:ln>
      </xdr:spPr>
    </xdr:pic>
    <xdr:clientData/>
  </xdr:twoCellAnchor>
  <xdr:twoCellAnchor>
    <xdr:from>
      <xdr:col>3</xdr:col>
      <xdr:colOff>933450</xdr:colOff>
      <xdr:row>58</xdr:row>
      <xdr:rowOff>85725</xdr:rowOff>
    </xdr:from>
    <xdr:to>
      <xdr:col>5</xdr:col>
      <xdr:colOff>676275</xdr:colOff>
      <xdr:row>61</xdr:row>
      <xdr:rowOff>19050</xdr:rowOff>
    </xdr:to>
    <xdr:sp macro="" textlink="">
      <xdr:nvSpPr>
        <xdr:cNvPr id="18363" name="Line 4"/>
        <xdr:cNvSpPr>
          <a:spLocks noChangeShapeType="1"/>
        </xdr:cNvSpPr>
      </xdr:nvSpPr>
      <xdr:spPr bwMode="auto">
        <a:xfrm flipH="1">
          <a:off x="2990850" y="10248900"/>
          <a:ext cx="1409700" cy="447675"/>
        </a:xfrm>
        <a:prstGeom prst="line">
          <a:avLst/>
        </a:prstGeom>
        <a:noFill/>
        <a:ln w="19050">
          <a:solidFill>
            <a:srgbClr val="FF0000"/>
          </a:solidFill>
          <a:round/>
          <a:headEnd/>
          <a:tailEnd type="triangle" w="med" len="med"/>
        </a:ln>
      </xdr:spPr>
    </xdr:sp>
    <xdr:clientData/>
  </xdr:twoCellAnchor>
  <xdr:twoCellAnchor>
    <xdr:from>
      <xdr:col>3</xdr:col>
      <xdr:colOff>695325</xdr:colOff>
      <xdr:row>39</xdr:row>
      <xdr:rowOff>133350</xdr:rowOff>
    </xdr:from>
    <xdr:to>
      <xdr:col>4</xdr:col>
      <xdr:colOff>609600</xdr:colOff>
      <xdr:row>39</xdr:row>
      <xdr:rowOff>133350</xdr:rowOff>
    </xdr:to>
    <xdr:sp macro="" textlink="">
      <xdr:nvSpPr>
        <xdr:cNvPr id="18364" name="Line 5"/>
        <xdr:cNvSpPr>
          <a:spLocks noChangeShapeType="1"/>
        </xdr:cNvSpPr>
      </xdr:nvSpPr>
      <xdr:spPr bwMode="auto">
        <a:xfrm flipH="1">
          <a:off x="2752725" y="6943725"/>
          <a:ext cx="895350" cy="0"/>
        </a:xfrm>
        <a:prstGeom prst="line">
          <a:avLst/>
        </a:prstGeom>
        <a:noFill/>
        <a:ln w="19050">
          <a:solidFill>
            <a:srgbClr val="FF0000"/>
          </a:solidFill>
          <a:round/>
          <a:headEnd/>
          <a:tailEnd type="triangle" w="med" len="med"/>
        </a:ln>
      </xdr:spPr>
    </xdr:sp>
    <xdr:clientData/>
  </xdr:twoCellAnchor>
  <xdr:twoCellAnchor>
    <xdr:from>
      <xdr:col>4</xdr:col>
      <xdr:colOff>638175</xdr:colOff>
      <xdr:row>64</xdr:row>
      <xdr:rowOff>95250</xdr:rowOff>
    </xdr:from>
    <xdr:to>
      <xdr:col>5</xdr:col>
      <xdr:colOff>666750</xdr:colOff>
      <xdr:row>64</xdr:row>
      <xdr:rowOff>104775</xdr:rowOff>
    </xdr:to>
    <xdr:sp macro="" textlink="">
      <xdr:nvSpPr>
        <xdr:cNvPr id="18365" name="Line 6"/>
        <xdr:cNvSpPr>
          <a:spLocks noChangeShapeType="1"/>
        </xdr:cNvSpPr>
      </xdr:nvSpPr>
      <xdr:spPr bwMode="auto">
        <a:xfrm flipH="1">
          <a:off x="3676650" y="11287125"/>
          <a:ext cx="714375" cy="9525"/>
        </a:xfrm>
        <a:prstGeom prst="line">
          <a:avLst/>
        </a:prstGeom>
        <a:noFill/>
        <a:ln w="19050">
          <a:solidFill>
            <a:srgbClr val="FF0000"/>
          </a:solidFill>
          <a:round/>
          <a:headEnd/>
          <a:tailEnd type="triangle" w="med" len="med"/>
        </a:ln>
      </xdr:spPr>
    </xdr:sp>
    <xdr:clientData/>
  </xdr:twoCellAnchor>
  <xdr:twoCellAnchor>
    <xdr:from>
      <xdr:col>4</xdr:col>
      <xdr:colOff>666750</xdr:colOff>
      <xdr:row>71</xdr:row>
      <xdr:rowOff>104775</xdr:rowOff>
    </xdr:from>
    <xdr:to>
      <xdr:col>5</xdr:col>
      <xdr:colOff>676275</xdr:colOff>
      <xdr:row>71</xdr:row>
      <xdr:rowOff>104775</xdr:rowOff>
    </xdr:to>
    <xdr:sp macro="" textlink="">
      <xdr:nvSpPr>
        <xdr:cNvPr id="18366" name="Line 10"/>
        <xdr:cNvSpPr>
          <a:spLocks noChangeShapeType="1"/>
        </xdr:cNvSpPr>
      </xdr:nvSpPr>
      <xdr:spPr bwMode="auto">
        <a:xfrm flipH="1" flipV="1">
          <a:off x="3705225" y="12496800"/>
          <a:ext cx="695325" cy="0"/>
        </a:xfrm>
        <a:prstGeom prst="line">
          <a:avLst/>
        </a:prstGeom>
        <a:noFill/>
        <a:ln w="19050">
          <a:solidFill>
            <a:srgbClr val="FF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10</xdr:row>
      <xdr:rowOff>38100</xdr:rowOff>
    </xdr:from>
    <xdr:to>
      <xdr:col>3</xdr:col>
      <xdr:colOff>276225</xdr:colOff>
      <xdr:row>14</xdr:row>
      <xdr:rowOff>114300</xdr:rowOff>
    </xdr:to>
    <xdr:sp macro="" textlink="">
      <xdr:nvSpPr>
        <xdr:cNvPr id="33793" name="AutoShape 1"/>
        <xdr:cNvSpPr>
          <a:spLocks noChangeArrowheads="1"/>
        </xdr:cNvSpPr>
      </xdr:nvSpPr>
      <xdr:spPr bwMode="auto">
        <a:xfrm>
          <a:off x="571500" y="1752600"/>
          <a:ext cx="1762125" cy="762000"/>
        </a:xfrm>
        <a:prstGeom prst="irregularSeal1">
          <a:avLst/>
        </a:prstGeom>
        <a:solidFill>
          <a:srgbClr val="FF0000"/>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FFFFFF"/>
              </a:solidFill>
              <a:latin typeface="ＭＳ Ｐゴシック"/>
              <a:ea typeface="ＭＳ Ｐゴシック"/>
            </a:rPr>
            <a:t>まずは注意事項へ</a:t>
          </a:r>
        </a:p>
      </xdr:txBody>
    </xdr:sp>
    <xdr:clientData/>
  </xdr:twoCellAnchor>
  <xdr:twoCellAnchor>
    <xdr:from>
      <xdr:col>3</xdr:col>
      <xdr:colOff>180975</xdr:colOff>
      <xdr:row>6</xdr:row>
      <xdr:rowOff>66675</xdr:rowOff>
    </xdr:from>
    <xdr:to>
      <xdr:col>3</xdr:col>
      <xdr:colOff>419100</xdr:colOff>
      <xdr:row>6</xdr:row>
      <xdr:rowOff>66675</xdr:rowOff>
    </xdr:to>
    <xdr:sp macro="" textlink="">
      <xdr:nvSpPr>
        <xdr:cNvPr id="301278" name="Line 4"/>
        <xdr:cNvSpPr>
          <a:spLocks noChangeShapeType="1"/>
        </xdr:cNvSpPr>
      </xdr:nvSpPr>
      <xdr:spPr bwMode="auto">
        <a:xfrm>
          <a:off x="2238375" y="1095375"/>
          <a:ext cx="238125" cy="0"/>
        </a:xfrm>
        <a:prstGeom prst="line">
          <a:avLst/>
        </a:prstGeom>
        <a:noFill/>
        <a:ln w="9525">
          <a:solidFill>
            <a:srgbClr val="FFFFFF"/>
          </a:solidFill>
          <a:round/>
          <a:headEnd/>
          <a:tailEnd type="triangle" w="med" len="med"/>
        </a:ln>
      </xdr:spPr>
    </xdr:sp>
    <xdr:clientData/>
  </xdr:twoCellAnchor>
  <xdr:twoCellAnchor>
    <xdr:from>
      <xdr:col>5</xdr:col>
      <xdr:colOff>123825</xdr:colOff>
      <xdr:row>9</xdr:row>
      <xdr:rowOff>95250</xdr:rowOff>
    </xdr:from>
    <xdr:to>
      <xdr:col>5</xdr:col>
      <xdr:colOff>123825</xdr:colOff>
      <xdr:row>10</xdr:row>
      <xdr:rowOff>123825</xdr:rowOff>
    </xdr:to>
    <xdr:sp macro="" textlink="">
      <xdr:nvSpPr>
        <xdr:cNvPr id="301279" name="Line 5"/>
        <xdr:cNvSpPr>
          <a:spLocks noChangeShapeType="1"/>
        </xdr:cNvSpPr>
      </xdr:nvSpPr>
      <xdr:spPr bwMode="auto">
        <a:xfrm>
          <a:off x="3552825" y="1638300"/>
          <a:ext cx="0" cy="200025"/>
        </a:xfrm>
        <a:prstGeom prst="line">
          <a:avLst/>
        </a:prstGeom>
        <a:noFill/>
        <a:ln w="9525">
          <a:solidFill>
            <a:srgbClr val="FFFFFF"/>
          </a:solidFill>
          <a:round/>
          <a:headEnd/>
          <a:tailEnd type="triangle" w="med" len="med"/>
        </a:ln>
      </xdr:spPr>
    </xdr:sp>
    <xdr:clientData/>
  </xdr:twoCellAnchor>
  <xdr:twoCellAnchor>
    <xdr:from>
      <xdr:col>6</xdr:col>
      <xdr:colOff>619125</xdr:colOff>
      <xdr:row>19</xdr:row>
      <xdr:rowOff>114300</xdr:rowOff>
    </xdr:from>
    <xdr:to>
      <xdr:col>7</xdr:col>
      <xdr:colOff>152400</xdr:colOff>
      <xdr:row>19</xdr:row>
      <xdr:rowOff>114300</xdr:rowOff>
    </xdr:to>
    <xdr:sp macro="" textlink="">
      <xdr:nvSpPr>
        <xdr:cNvPr id="301280" name="Line 7"/>
        <xdr:cNvSpPr>
          <a:spLocks noChangeShapeType="1"/>
        </xdr:cNvSpPr>
      </xdr:nvSpPr>
      <xdr:spPr bwMode="auto">
        <a:xfrm>
          <a:off x="4733925" y="3371850"/>
          <a:ext cx="219075" cy="0"/>
        </a:xfrm>
        <a:prstGeom prst="line">
          <a:avLst/>
        </a:prstGeom>
        <a:noFill/>
        <a:ln w="9525">
          <a:solidFill>
            <a:srgbClr val="FFFFFF"/>
          </a:solidFill>
          <a:round/>
          <a:headEnd/>
          <a:tailEnd type="triangle" w="med" len="med"/>
        </a:ln>
      </xdr:spPr>
    </xdr:sp>
    <xdr:clientData/>
  </xdr:twoCellAnchor>
  <xdr:twoCellAnchor>
    <xdr:from>
      <xdr:col>5</xdr:col>
      <xdr:colOff>123825</xdr:colOff>
      <xdr:row>15</xdr:row>
      <xdr:rowOff>47625</xdr:rowOff>
    </xdr:from>
    <xdr:to>
      <xdr:col>5</xdr:col>
      <xdr:colOff>123825</xdr:colOff>
      <xdr:row>16</xdr:row>
      <xdr:rowOff>76200</xdr:rowOff>
    </xdr:to>
    <xdr:sp macro="" textlink="">
      <xdr:nvSpPr>
        <xdr:cNvPr id="301281" name="Line 8"/>
        <xdr:cNvSpPr>
          <a:spLocks noChangeShapeType="1"/>
        </xdr:cNvSpPr>
      </xdr:nvSpPr>
      <xdr:spPr bwMode="auto">
        <a:xfrm>
          <a:off x="3552825" y="2619375"/>
          <a:ext cx="0" cy="200025"/>
        </a:xfrm>
        <a:prstGeom prst="line">
          <a:avLst/>
        </a:prstGeom>
        <a:noFill/>
        <a:ln w="9525">
          <a:solidFill>
            <a:srgbClr val="FFFFFF"/>
          </a:solidFill>
          <a:round/>
          <a:headEnd/>
          <a:tailEnd type="triangle" w="med" len="med"/>
        </a:ln>
      </xdr:spPr>
    </xdr:sp>
    <xdr:clientData/>
  </xdr:twoCellAnchor>
  <xdr:twoCellAnchor>
    <xdr:from>
      <xdr:col>7</xdr:col>
      <xdr:colOff>495299</xdr:colOff>
      <xdr:row>17</xdr:row>
      <xdr:rowOff>85725</xdr:rowOff>
    </xdr:from>
    <xdr:to>
      <xdr:col>9</xdr:col>
      <xdr:colOff>504824</xdr:colOff>
      <xdr:row>21</xdr:row>
      <xdr:rowOff>161925</xdr:rowOff>
    </xdr:to>
    <xdr:sp macro="[0]!上書き保存" textlink="">
      <xdr:nvSpPr>
        <xdr:cNvPr id="33802" name="laptop"/>
        <xdr:cNvSpPr>
          <a:spLocks noEditPoints="1" noChangeArrowheads="1"/>
        </xdr:cNvSpPr>
      </xdr:nvSpPr>
      <xdr:spPr bwMode="auto">
        <a:xfrm>
          <a:off x="5295899" y="3000375"/>
          <a:ext cx="1381125" cy="762000"/>
        </a:xfrm>
        <a:custGeom>
          <a:avLst/>
          <a:gdLst>
            <a:gd name="T0" fmla="*/ 3362 w 21600"/>
            <a:gd name="T1" fmla="*/ 0 h 21600"/>
            <a:gd name="T2" fmla="*/ 3362 w 21600"/>
            <a:gd name="T3" fmla="*/ 7173 h 21600"/>
            <a:gd name="T4" fmla="*/ 18327 w 21600"/>
            <a:gd name="T5" fmla="*/ 0 h 21600"/>
            <a:gd name="T6" fmla="*/ 18327 w 21600"/>
            <a:gd name="T7" fmla="*/ 7173 h 21600"/>
            <a:gd name="T8" fmla="*/ 10800 w 21600"/>
            <a:gd name="T9" fmla="*/ 0 h 21600"/>
            <a:gd name="T10" fmla="*/ 10800 w 21600"/>
            <a:gd name="T11" fmla="*/ 21600 h 21600"/>
            <a:gd name="T12" fmla="*/ 0 w 21600"/>
            <a:gd name="T13" fmla="*/ 21600 h 21600"/>
            <a:gd name="T14" fmla="*/ 21600 w 21600"/>
            <a:gd name="T15" fmla="*/ 21600 h 21600"/>
            <a:gd name="T16" fmla="*/ 4445 w 21600"/>
            <a:gd name="T17" fmla="*/ 1858 h 21600"/>
            <a:gd name="T18" fmla="*/ 17311 w 21600"/>
            <a:gd name="T19" fmla="*/ 12323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extrusionOk="0">
              <a:moveTo>
                <a:pt x="3362" y="0"/>
              </a:moveTo>
              <a:lnTo>
                <a:pt x="18327" y="0"/>
              </a:lnTo>
              <a:lnTo>
                <a:pt x="18327" y="14347"/>
              </a:lnTo>
              <a:lnTo>
                <a:pt x="3362" y="14347"/>
              </a:lnTo>
              <a:lnTo>
                <a:pt x="3362" y="0"/>
              </a:lnTo>
              <a:close/>
            </a:path>
            <a:path w="21600" h="21600" extrusionOk="0">
              <a:moveTo>
                <a:pt x="3340" y="15068"/>
              </a:moveTo>
              <a:lnTo>
                <a:pt x="0" y="19877"/>
              </a:lnTo>
              <a:lnTo>
                <a:pt x="21600" y="19877"/>
              </a:lnTo>
              <a:lnTo>
                <a:pt x="18327" y="15068"/>
              </a:lnTo>
              <a:lnTo>
                <a:pt x="3340" y="15068"/>
              </a:lnTo>
              <a:close/>
            </a:path>
            <a:path w="21600" h="21600" extrusionOk="0">
              <a:moveTo>
                <a:pt x="0" y="19877"/>
              </a:moveTo>
              <a:lnTo>
                <a:pt x="0" y="21600"/>
              </a:lnTo>
              <a:lnTo>
                <a:pt x="21600" y="21600"/>
              </a:lnTo>
              <a:lnTo>
                <a:pt x="21600" y="19877"/>
              </a:lnTo>
              <a:lnTo>
                <a:pt x="0" y="19877"/>
              </a:lnTo>
              <a:close/>
            </a:path>
            <a:path w="21600" h="21600" extrusionOk="0">
              <a:moveTo>
                <a:pt x="4186" y="1523"/>
              </a:moveTo>
              <a:lnTo>
                <a:pt x="17547" y="1523"/>
              </a:lnTo>
              <a:lnTo>
                <a:pt x="17547" y="12744"/>
              </a:lnTo>
              <a:lnTo>
                <a:pt x="4186" y="12744"/>
              </a:lnTo>
              <a:lnTo>
                <a:pt x="4186" y="1523"/>
              </a:lnTo>
              <a:close/>
            </a:path>
            <a:path w="21600" h="21600" extrusionOk="0">
              <a:moveTo>
                <a:pt x="3318" y="15549"/>
              </a:moveTo>
              <a:lnTo>
                <a:pt x="2917" y="16110"/>
              </a:lnTo>
              <a:lnTo>
                <a:pt x="18727" y="16110"/>
              </a:lnTo>
              <a:lnTo>
                <a:pt x="18327" y="15549"/>
              </a:lnTo>
              <a:lnTo>
                <a:pt x="3318" y="15549"/>
              </a:lnTo>
              <a:close/>
            </a:path>
            <a:path w="21600" h="21600" extrusionOk="0">
              <a:moveTo>
                <a:pt x="6213" y="18314"/>
              </a:moveTo>
              <a:lnTo>
                <a:pt x="5946" y="18875"/>
              </a:lnTo>
              <a:lnTo>
                <a:pt x="15766" y="18875"/>
              </a:lnTo>
              <a:lnTo>
                <a:pt x="15499" y="18314"/>
              </a:lnTo>
              <a:lnTo>
                <a:pt x="6213" y="18314"/>
              </a:lnTo>
              <a:close/>
            </a:path>
            <a:path w="21600" h="21600" extrusionOk="0">
              <a:moveTo>
                <a:pt x="2828" y="16471"/>
              </a:moveTo>
              <a:lnTo>
                <a:pt x="2405" y="17072"/>
              </a:lnTo>
              <a:lnTo>
                <a:pt x="19284" y="17072"/>
              </a:lnTo>
              <a:lnTo>
                <a:pt x="18839" y="16471"/>
              </a:lnTo>
              <a:lnTo>
                <a:pt x="2828" y="16471"/>
              </a:lnTo>
              <a:close/>
            </a:path>
            <a:path w="21600" h="21600" extrusionOk="0">
              <a:moveTo>
                <a:pt x="2316" y="17352"/>
              </a:moveTo>
              <a:lnTo>
                <a:pt x="1871" y="17953"/>
              </a:lnTo>
              <a:lnTo>
                <a:pt x="19863" y="17953"/>
              </a:lnTo>
              <a:lnTo>
                <a:pt x="19395" y="17352"/>
              </a:lnTo>
              <a:lnTo>
                <a:pt x="2316" y="17352"/>
              </a:lnTo>
              <a:close/>
            </a:path>
          </a:pathLst>
        </a:cu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000" b="1" i="0" strike="noStrike">
              <a:solidFill>
                <a:srgbClr val="000000"/>
              </a:solidFill>
              <a:latin typeface="ＭＳ Ｐゴシック"/>
              <a:ea typeface="ＭＳ Ｐゴシック"/>
            </a:rPr>
            <a:t>上書き保存</a:t>
          </a:r>
        </a:p>
      </xdr:txBody>
    </xdr:sp>
    <xdr:clientData/>
  </xdr:twoCellAnchor>
  <xdr:twoCellAnchor>
    <xdr:from>
      <xdr:col>1</xdr:col>
      <xdr:colOff>600075</xdr:colOff>
      <xdr:row>0</xdr:row>
      <xdr:rowOff>95250</xdr:rowOff>
    </xdr:from>
    <xdr:to>
      <xdr:col>7</xdr:col>
      <xdr:colOff>676275</xdr:colOff>
      <xdr:row>2</xdr:row>
      <xdr:rowOff>95250</xdr:rowOff>
    </xdr:to>
    <xdr:sp macro="" textlink="">
      <xdr:nvSpPr>
        <xdr:cNvPr id="33806" name="UpRibbonSharp"/>
        <xdr:cNvSpPr>
          <a:spLocks noEditPoints="1" noChangeArrowheads="1"/>
        </xdr:cNvSpPr>
      </xdr:nvSpPr>
      <xdr:spPr bwMode="auto">
        <a:xfrm>
          <a:off x="1285875" y="95250"/>
          <a:ext cx="4191000" cy="342900"/>
        </a:xfrm>
        <a:custGeom>
          <a:avLst/>
          <a:gdLst>
            <a:gd name="G0" fmla="+- 0 0 0"/>
            <a:gd name="G1" fmla="+- 5400 0 0"/>
            <a:gd name="G2" fmla="+- 5400 2700 0"/>
            <a:gd name="G3" fmla="+- 21600 0 G2"/>
            <a:gd name="G4" fmla="+- 21600 0 G1"/>
            <a:gd name="G5" fmla="+- 21600 0 18900"/>
            <a:gd name="G6" fmla="*/ 18900 1 2"/>
            <a:gd name="G7" fmla="+- 21600 0 G6"/>
            <a:gd name="G8" fmla="+- 18900 0 0"/>
            <a:gd name="T0" fmla="*/ 10800 w 21600"/>
            <a:gd name="T1" fmla="*/ 0 h 21600"/>
            <a:gd name="T2" fmla="*/ 2700 w 21600"/>
            <a:gd name="T3" fmla="*/ 12150 h 21600"/>
            <a:gd name="T4" fmla="*/ 10800 w 21600"/>
            <a:gd name="T5" fmla="*/ 18900 h 21600"/>
            <a:gd name="T6" fmla="*/ 18900 w 21600"/>
            <a:gd name="T7" fmla="*/ 12150 h 21600"/>
            <a:gd name="T8" fmla="*/ 17694720 60000 65536"/>
            <a:gd name="T9" fmla="*/ 11796480 60000 65536"/>
            <a:gd name="T10" fmla="*/ 5898240 60000 65536"/>
            <a:gd name="T11" fmla="*/ 0 60000 65536"/>
            <a:gd name="T12" fmla="*/ G1 w 21600"/>
            <a:gd name="T13" fmla="*/ 0 h 21600"/>
            <a:gd name="T14" fmla="*/ G4 w 21600"/>
            <a:gd name="T15" fmla="*/ G8 h 21600"/>
          </a:gdLst>
          <a:ahLst/>
          <a:cxnLst>
            <a:cxn ang="T8">
              <a:pos x="T0" y="T1"/>
            </a:cxn>
            <a:cxn ang="T9">
              <a:pos x="T2" y="T3"/>
            </a:cxn>
            <a:cxn ang="T10">
              <a:pos x="T4" y="T5"/>
            </a:cxn>
            <a:cxn ang="T11">
              <a:pos x="T6" y="T7"/>
            </a:cxn>
          </a:cxnLst>
          <a:rect l="T12" t="T13" r="T14" b="T15"/>
          <a:pathLst>
            <a:path w="21600" h="21600" extrusionOk="0">
              <a:moveTo>
                <a:pt x="0" y="21600"/>
              </a:moveTo>
              <a:lnTo>
                <a:pt x="8100" y="21600"/>
              </a:lnTo>
              <a:lnTo>
                <a:pt x="8100" y="18900"/>
              </a:lnTo>
              <a:lnTo>
                <a:pt x="13500" y="18900"/>
              </a:lnTo>
              <a:lnTo>
                <a:pt x="13500" y="21600"/>
              </a:lnTo>
              <a:lnTo>
                <a:pt x="21600" y="21600"/>
              </a:lnTo>
              <a:lnTo>
                <a:pt x="18900" y="12150"/>
              </a:lnTo>
              <a:lnTo>
                <a:pt x="21600" y="2700"/>
              </a:lnTo>
              <a:lnTo>
                <a:pt x="16200" y="2700"/>
              </a:lnTo>
              <a:lnTo>
                <a:pt x="16200" y="0"/>
              </a:lnTo>
              <a:lnTo>
                <a:pt x="5400" y="0"/>
              </a:lnTo>
              <a:lnTo>
                <a:pt x="5400" y="2700"/>
              </a:lnTo>
              <a:lnTo>
                <a:pt x="0" y="2700"/>
              </a:lnTo>
              <a:lnTo>
                <a:pt x="2700" y="12150"/>
              </a:lnTo>
              <a:close/>
            </a:path>
            <a:path w="21600" h="21600" fill="none" extrusionOk="0">
              <a:moveTo>
                <a:pt x="8100" y="18900"/>
              </a:moveTo>
              <a:lnTo>
                <a:pt x="5400" y="18900"/>
              </a:lnTo>
              <a:lnTo>
                <a:pt x="5400" y="2700"/>
              </a:lnTo>
            </a:path>
            <a:path w="21600" h="21600" fill="none" extrusionOk="0">
              <a:moveTo>
                <a:pt x="5400" y="18900"/>
              </a:moveTo>
              <a:lnTo>
                <a:pt x="8100" y="21600"/>
              </a:lnTo>
            </a:path>
            <a:path w="21600" h="21600" fill="none" extrusionOk="0">
              <a:moveTo>
                <a:pt x="13500" y="18900"/>
              </a:moveTo>
              <a:lnTo>
                <a:pt x="16200" y="18900"/>
              </a:lnTo>
              <a:lnTo>
                <a:pt x="16200" y="2700"/>
              </a:lnTo>
            </a:path>
            <a:path w="21600" h="21600" fill="none" extrusionOk="0">
              <a:moveTo>
                <a:pt x="16200" y="18900"/>
              </a:moveTo>
              <a:lnTo>
                <a:pt x="13500" y="21600"/>
              </a:lnTo>
            </a:path>
          </a:pathLst>
        </a:custGeom>
        <a:solidFill>
          <a:srgbClr val="FFFF99"/>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ctr" upright="1"/>
        <a:lstStyle/>
        <a:p>
          <a:pPr algn="ctr" rtl="0">
            <a:defRPr sz="1000"/>
          </a:pPr>
          <a:r>
            <a:rPr lang="en-US" altLang="ja-JP" sz="1200" b="1" i="0" strike="noStrike">
              <a:solidFill>
                <a:srgbClr val="000000"/>
              </a:solidFill>
              <a:latin typeface="ＭＳ Ｐゴシック"/>
              <a:ea typeface="ＭＳ Ｐゴシック"/>
            </a:rPr>
            <a:t>2018</a:t>
          </a:r>
          <a:r>
            <a:rPr lang="ja-JP" altLang="en-US" sz="1200" b="1" i="0" strike="noStrike">
              <a:solidFill>
                <a:srgbClr val="000000"/>
              </a:solidFill>
              <a:latin typeface="ＭＳ Ｐゴシック"/>
              <a:ea typeface="ＭＳ Ｐゴシック"/>
            </a:rPr>
            <a:t>　中学生大会申込</a:t>
          </a:r>
        </a:p>
      </xdr:txBody>
    </xdr:sp>
    <xdr:clientData/>
  </xdr:twoCellAnchor>
  <xdr:twoCellAnchor>
    <xdr:from>
      <xdr:col>4</xdr:col>
      <xdr:colOff>76200</xdr:colOff>
      <xdr:row>18</xdr:row>
      <xdr:rowOff>0</xdr:rowOff>
    </xdr:from>
    <xdr:to>
      <xdr:col>6</xdr:col>
      <xdr:colOff>190500</xdr:colOff>
      <xdr:row>21</xdr:row>
      <xdr:rowOff>66675</xdr:rowOff>
    </xdr:to>
    <xdr:sp macro="[0]!振込用紙へ移動" textlink="">
      <xdr:nvSpPr>
        <xdr:cNvPr id="14" name="AutoShape 9"/>
        <xdr:cNvSpPr>
          <a:spLocks noChangeArrowheads="1"/>
        </xdr:cNvSpPr>
      </xdr:nvSpPr>
      <xdr:spPr bwMode="auto">
        <a:xfrm>
          <a:off x="2819400" y="3086100"/>
          <a:ext cx="1485900" cy="581025"/>
        </a:xfrm>
        <a:prstGeom prst="star8">
          <a:avLst>
            <a:gd name="adj" fmla="val 38250"/>
          </a:avLst>
        </a:prstGeom>
        <a:solidFill>
          <a:srgbClr val="FFFF99"/>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振込用紙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161925</xdr:colOff>
      <xdr:row>12</xdr:row>
      <xdr:rowOff>114300</xdr:rowOff>
    </xdr:from>
    <xdr:to>
      <xdr:col>8</xdr:col>
      <xdr:colOff>276225</xdr:colOff>
      <xdr:row>16</xdr:row>
      <xdr:rowOff>9525</xdr:rowOff>
    </xdr:to>
    <xdr:sp macro="" textlink="">
      <xdr:nvSpPr>
        <xdr:cNvPr id="3" name="AutoShape 29">
          <a:hlinkClick xmlns:r="http://schemas.openxmlformats.org/officeDocument/2006/relationships" r:id="rId1"/>
        </xdr:cNvPr>
        <xdr:cNvSpPr>
          <a:spLocks noChangeArrowheads="1"/>
        </xdr:cNvSpPr>
      </xdr:nvSpPr>
      <xdr:spPr bwMode="auto">
        <a:xfrm>
          <a:off x="4276725" y="2171700"/>
          <a:ext cx="1485900" cy="581025"/>
        </a:xfrm>
        <a:prstGeom prst="star8">
          <a:avLst>
            <a:gd name="adj" fmla="val 3825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インターネット　申込</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180975</xdr:colOff>
      <xdr:row>13</xdr:row>
      <xdr:rowOff>95250</xdr:rowOff>
    </xdr:from>
    <xdr:to>
      <xdr:col>30</xdr:col>
      <xdr:colOff>685800</xdr:colOff>
      <xdr:row>16</xdr:row>
      <xdr:rowOff>66675</xdr:rowOff>
    </xdr:to>
    <xdr:sp macro="" textlink="">
      <xdr:nvSpPr>
        <xdr:cNvPr id="2" name="AutoShape 90"/>
        <xdr:cNvSpPr>
          <a:spLocks/>
        </xdr:cNvSpPr>
      </xdr:nvSpPr>
      <xdr:spPr bwMode="auto">
        <a:xfrm>
          <a:off x="7886700" y="3352800"/>
          <a:ext cx="0" cy="542925"/>
        </a:xfrm>
        <a:prstGeom prst="borderCallout1">
          <a:avLst>
            <a:gd name="adj1" fmla="val 21051"/>
            <a:gd name="adj2" fmla="val -4000"/>
            <a:gd name="adj3" fmla="val 85963"/>
            <a:gd name="adj4" fmla="val -82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登録データの登録番号から学年までをコピーし張付けて下さい。、白枠内のみに値のみで張り付ける事</a:t>
          </a:r>
        </a:p>
      </xdr:txBody>
    </xdr:sp>
    <xdr:clientData fPrintsWithSheet="0"/>
  </xdr:twoCellAnchor>
  <xdr:twoCellAnchor editAs="oneCell">
    <xdr:from>
      <xdr:col>110</xdr:col>
      <xdr:colOff>0</xdr:colOff>
      <xdr:row>180</xdr:row>
      <xdr:rowOff>0</xdr:rowOff>
    </xdr:from>
    <xdr:to>
      <xdr:col>114</xdr:col>
      <xdr:colOff>76200</xdr:colOff>
      <xdr:row>181</xdr:row>
      <xdr:rowOff>19050</xdr:rowOff>
    </xdr:to>
    <xdr:sp macro="" textlink="">
      <xdr:nvSpPr>
        <xdr:cNvPr id="3" name="Text Box 1171"/>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110</xdr:col>
      <xdr:colOff>0</xdr:colOff>
      <xdr:row>180</xdr:row>
      <xdr:rowOff>0</xdr:rowOff>
    </xdr:from>
    <xdr:to>
      <xdr:col>114</xdr:col>
      <xdr:colOff>76200</xdr:colOff>
      <xdr:row>181</xdr:row>
      <xdr:rowOff>19050</xdr:rowOff>
    </xdr:to>
    <xdr:sp macro="" textlink="">
      <xdr:nvSpPr>
        <xdr:cNvPr id="4" name="Text Box 1172"/>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110</xdr:col>
      <xdr:colOff>0</xdr:colOff>
      <xdr:row>180</xdr:row>
      <xdr:rowOff>0</xdr:rowOff>
    </xdr:from>
    <xdr:to>
      <xdr:col>114</xdr:col>
      <xdr:colOff>76200</xdr:colOff>
      <xdr:row>181</xdr:row>
      <xdr:rowOff>19050</xdr:rowOff>
    </xdr:to>
    <xdr:sp macro="" textlink="">
      <xdr:nvSpPr>
        <xdr:cNvPr id="5" name="Text Box 1173"/>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110</xdr:col>
      <xdr:colOff>0</xdr:colOff>
      <xdr:row>180</xdr:row>
      <xdr:rowOff>0</xdr:rowOff>
    </xdr:from>
    <xdr:to>
      <xdr:col>114</xdr:col>
      <xdr:colOff>76200</xdr:colOff>
      <xdr:row>181</xdr:row>
      <xdr:rowOff>19050</xdr:rowOff>
    </xdr:to>
    <xdr:sp macro="" textlink="">
      <xdr:nvSpPr>
        <xdr:cNvPr id="6" name="Text Box 1174"/>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 name="Text Box 11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 name="Text Box 11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 name="Text Box 11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 name="Text Box 11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 name="Text Box 11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 name="Text Box 11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 name="Text Box 11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 name="Text Box 11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 name="Text Box 11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 name="Text Box 11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 name="Text Box 11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 name="Text Box 11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 name="Text Box 11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 name="Text Box 11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 name="Text Box 11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 name="Text Box 11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 name="Text Box 11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 name="Text Box 11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 name="Text Box 11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 name="Text Box 11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 name="Text Box 11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 name="Text Box 11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 name="Text Box 11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 name="Text Box 11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 name="Text Box 11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 name="Text Box 12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 name="Text Box 12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 name="Text Box 12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 name="Text Box 12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 name="Text Box 12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 name="Text Box 12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 name="Text Box 12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 name="Text Box 12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 name="Text Box 12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 name="Text Box 12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 name="Text Box 12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 name="Text Box 12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 name="Text Box 12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 name="Text Box 12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 name="Text Box 12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 name="Text Box 12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 name="Text Box 12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 name="Text Box 12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 name="Text Box 12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 name="Text Box 12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 name="Text Box 12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 name="Text Box 12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 name="Text Box 12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 name="Text Box 12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 name="Text Box 12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 name="Text Box 12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 name="Text Box 12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 name="Text Box 12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 name="Text Box 12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 name="Text Box 12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 name="Text Box 12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 name="Text Box 12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 name="Text Box 12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 name="Text Box 12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 name="Text Box 12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 name="Text Box 12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 name="Text Box 12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 name="Text Box 12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 name="Text Box 12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 name="Text Box 12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 name="Text Box 12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 name="Text Box 12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 name="Text Box 12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 name="Text Box 12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 name="Text Box 12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 name="Text Box 12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 name="Text Box 12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 name="Text Box 12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 name="Text Box 12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 name="Text Box 12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 name="Text Box 12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 name="Text Box 12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 name="Text Box 12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 name="Text Box 12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 name="Text Box 12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 name="Text Box 12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 name="Text Box 12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 name="Text Box 12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 name="Text Box 12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 name="Text Box 12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 name="Text Box 12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 name="Text Box 12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 name="Text Box 12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 name="Text Box 12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 name="Text Box 12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 name="Text Box 12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 name="Text Box 12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 name="Text Box 12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 name="Text Box 12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 name="Text Box 12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 name="Text Box 12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 name="Text Box 12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 name="Text Box 12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 name="Text Box 12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 name="Text Box 12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 name="Text Box 12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 name="Text Box 12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 name="Text Box 12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 name="Text Box 12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 name="Text Box 12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 name="Text Box 12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 name="Text Box 12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 name="Text Box 12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 name="Text Box 12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 name="Text Box 12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 name="Text Box 12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 name="Text Box 12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 name="Text Box 12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 name="Text Box 12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 name="Text Box 12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 name="Text Box 12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 name="Text Box 12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 name="Text Box 12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 name="Text Box 12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 name="Text Box 12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 name="Text Box 12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 name="Text Box 12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 name="Text Box 12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 name="Text Box 12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 name="Text Box 12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 name="Text Box 13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 name="Text Box 13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 name="Text Box 13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 name="Text Box 13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 name="Text Box 13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 name="Text Box 13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 name="Text Box 13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 name="Text Box 13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 name="Text Box 13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 name="Text Box 13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 name="Text Box 13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 name="Text Box 13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 name="Text Box 13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 name="Text Box 13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 name="Text Box 13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 name="Text Box 13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 name="Text Box 13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 name="Text Box 13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 name="Text Box 13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 name="Text Box 13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 name="Text Box 13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 name="Text Box 13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 name="Text Box 13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 name="Text Box 13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 name="Text Box 13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 name="Text Box 13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 name="Text Box 13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 name="Text Box 13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 name="Text Box 13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 name="Text Box 13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 name="Text Box 13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 name="Text Box 13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 name="Text Box 13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 name="Text Box 13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 name="Text Box 13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 name="Text Box 13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 name="Text Box 13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 name="Text Box 13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 name="Text Box 13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 name="Text Box 13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 name="Text Box 13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 name="Text Box 13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 name="Text Box 13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 name="Text Box 13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 name="Text Box 13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 name="Text Box 13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 name="Text Box 13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 name="Text Box 13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 name="Text Box 13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 name="Text Box 13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 name="Text Box 13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3" name="Text Box 13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4" name="Text Box 13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5" name="Text Box 13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6" name="Text Box 13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7" name="Text Box 13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8" name="Text Box 13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9" name="Text Box 13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0" name="Text Box 13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1" name="Text Box 13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2" name="Text Box 13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3" name="Text Box 13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4" name="Text Box 13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5" name="Text Box 13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6" name="Text Box 13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7" name="Text Box 13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8" name="Text Box 13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99" name="Text Box 13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0" name="Text Box 13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1" name="Text Box 13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2" name="Text Box 13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3" name="Text Box 13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4" name="Text Box 13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5" name="Text Box 13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6" name="Text Box 13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7" name="Text Box 13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8" name="Text Box 13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09" name="Text Box 13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0" name="Text Box 13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1" name="Text Box 13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2" name="Text Box 13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3" name="Text Box 13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4" name="Text Box 13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5" name="Text Box 13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6" name="Text Box 13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7" name="Text Box 13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8" name="Text Box 13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19" name="Text Box 13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0" name="Text Box 13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1" name="Text Box 13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2" name="Text Box 13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3" name="Text Box 13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4" name="Text Box 13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5" name="Text Box 13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6" name="Text Box 13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7" name="Text Box 13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8" name="Text Box 13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29" name="Text Box 13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0" name="Text Box 13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1" name="Text Box 13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2" name="Text Box 14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3" name="Text Box 14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4" name="Text Box 14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5" name="Text Box 14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6" name="Text Box 14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7" name="Text Box 14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8" name="Text Box 14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39" name="Text Box 14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0" name="Text Box 14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1" name="Text Box 14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2" name="Text Box 14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3" name="Text Box 14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4" name="Text Box 14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5" name="Text Box 14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6" name="Text Box 14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7" name="Text Box 14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8" name="Text Box 14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49" name="Text Box 14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0" name="Text Box 14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1" name="Text Box 14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2" name="Text Box 14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3" name="Text Box 14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4" name="Text Box 14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5" name="Text Box 14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6" name="Text Box 14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7" name="Text Box 14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8" name="Text Box 14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59" name="Text Box 14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0" name="Text Box 14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1" name="Text Box 14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2" name="Text Box 14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3" name="Text Box 14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4" name="Text Box 14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5" name="Text Box 14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6" name="Text Box 14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7" name="Text Box 14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8" name="Text Box 14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69" name="Text Box 14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0" name="Text Box 14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1" name="Text Box 14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2" name="Text Box 14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3" name="Text Box 14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4" name="Text Box 14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5" name="Text Box 14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6" name="Text Box 14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7" name="Text Box 14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8" name="Text Box 14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79" name="Text Box 14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0" name="Text Box 14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1" name="Text Box 14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2" name="Text Box 14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3" name="Text Box 14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4" name="Text Box 14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5" name="Text Box 14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6" name="Text Box 14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7" name="Text Box 14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8" name="Text Box 14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89" name="Text Box 14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0" name="Text Box 14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1" name="Text Box 14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2" name="Text Box 14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3" name="Text Box 14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4" name="Text Box 14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5" name="Text Box 14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6" name="Text Box 14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7" name="Text Box 14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8" name="Text Box 14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299" name="Text Box 14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0" name="Text Box 14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1" name="Text Box 14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2" name="Text Box 14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3" name="Text Box 14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4" name="Text Box 14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5" name="Text Box 14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6" name="Text Box 14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7" name="Text Box 14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8" name="Text Box 14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09" name="Text Box 14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0" name="Text Box 14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1" name="Text Box 14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2" name="Text Box 14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3" name="Text Box 14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4" name="Text Box 14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5" name="Text Box 14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6" name="Text Box 14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7" name="Text Box 14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8" name="Text Box 14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19" name="Text Box 14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0" name="Text Box 14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1" name="Text Box 14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2" name="Text Box 14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3" name="Text Box 14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4" name="Text Box 14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5" name="Text Box 14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6" name="Text Box 14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7" name="Text Box 14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8" name="Text Box 14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29" name="Text Box 14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0" name="Text Box 14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1" name="Text Box 14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2" name="Text Box 15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3" name="Text Box 15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4" name="Text Box 15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5" name="Text Box 15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6" name="Text Box 15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7" name="Text Box 15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8" name="Text Box 15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39" name="Text Box 15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0" name="Text Box 15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1" name="Text Box 15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2" name="Text Box 15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3" name="Text Box 15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4" name="Text Box 15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5" name="Text Box 15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6" name="Text Box 15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7" name="Text Box 15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8" name="Text Box 15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49" name="Text Box 15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0" name="Text Box 15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1" name="Text Box 15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2" name="Text Box 15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3" name="Text Box 15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4" name="Text Box 15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5" name="Text Box 15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6" name="Text Box 15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7" name="Text Box 15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8" name="Text Box 15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59" name="Text Box 15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0" name="Text Box 15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1" name="Text Box 15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2" name="Text Box 15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3" name="Text Box 15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4" name="Text Box 15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5" name="Text Box 15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6" name="Text Box 15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7" name="Text Box 15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8" name="Text Box 15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69" name="Text Box 15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0" name="Text Box 15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1" name="Text Box 15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2" name="Text Box 15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3" name="Text Box 15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4" name="Text Box 15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5" name="Text Box 15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6" name="Text Box 15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7" name="Text Box 15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8" name="Text Box 15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79" name="Text Box 15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0" name="Text Box 15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1" name="Text Box 15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2" name="Text Box 15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3" name="Text Box 15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4" name="Text Box 15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5" name="Text Box 15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6" name="Text Box 15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7" name="Text Box 15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8" name="Text Box 15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89" name="Text Box 15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0" name="Text Box 15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1" name="Text Box 15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2" name="Text Box 15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3" name="Text Box 15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4" name="Text Box 15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5" name="Text Box 15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6" name="Text Box 15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7" name="Text Box 15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8" name="Text Box 15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399" name="Text Box 15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0" name="Text Box 15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1" name="Text Box 15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2" name="Text Box 15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3" name="Text Box 15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4" name="Text Box 15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5" name="Text Box 15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6" name="Text Box 15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7" name="Text Box 15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8" name="Text Box 15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09" name="Text Box 15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0" name="Text Box 15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1" name="Text Box 15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2" name="Text Box 15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3" name="Text Box 15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4" name="Text Box 15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5" name="Text Box 15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6" name="Text Box 15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7" name="Text Box 15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8" name="Text Box 15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19" name="Text Box 15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0" name="Text Box 15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1" name="Text Box 15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2" name="Text Box 15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3" name="Text Box 15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4" name="Text Box 15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5" name="Text Box 15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6" name="Text Box 15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7" name="Text Box 15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8" name="Text Box 15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29" name="Text Box 15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0" name="Text Box 15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1" name="Text Box 15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2" name="Text Box 16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3" name="Text Box 16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4" name="Text Box 16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5" name="Text Box 16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6" name="Text Box 16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7" name="Text Box 16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8" name="Text Box 16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39" name="Text Box 16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0" name="Text Box 16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1" name="Text Box 16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2" name="Text Box 16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3" name="Text Box 16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4" name="Text Box 16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5" name="Text Box 16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6" name="Text Box 16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7" name="Text Box 16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8" name="Text Box 16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49" name="Text Box 16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0" name="Text Box 16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1" name="Text Box 16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2" name="Text Box 16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3" name="Text Box 16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4" name="Text Box 16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5" name="Text Box 16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6" name="Text Box 16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7" name="Text Box 16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8" name="Text Box 16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59" name="Text Box 16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0" name="Text Box 16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1" name="Text Box 16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2" name="Text Box 16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3" name="Text Box 16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4" name="Text Box 16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5" name="Text Box 16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6" name="Text Box 16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7" name="Text Box 16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8" name="Text Box 16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69" name="Text Box 16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0" name="Text Box 16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1" name="Text Box 16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2" name="Text Box 16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3" name="Text Box 16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4" name="Text Box 16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5" name="Text Box 16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6" name="Text Box 16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7" name="Text Box 16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8" name="Text Box 16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79" name="Text Box 16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0" name="Text Box 16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1" name="Text Box 16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2" name="Text Box 16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3" name="Text Box 16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4" name="Text Box 16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5" name="Text Box 16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6" name="Text Box 16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7" name="Text Box 16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8" name="Text Box 16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89" name="Text Box 16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0" name="Text Box 16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1" name="Text Box 16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2" name="Text Box 16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3" name="Text Box 16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4" name="Text Box 16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5" name="Text Box 16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6" name="Text Box 16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7" name="Text Box 16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8" name="Text Box 16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499" name="Text Box 16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0" name="Text Box 16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1" name="Text Box 16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2" name="Text Box 16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3" name="Text Box 16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4" name="Text Box 16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5" name="Text Box 16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6" name="Text Box 16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7" name="Text Box 16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8" name="Text Box 16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09" name="Text Box 16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0" name="Text Box 16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1" name="Text Box 16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2" name="Text Box 16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3" name="Text Box 16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4" name="Text Box 16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5" name="Text Box 16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6" name="Text Box 16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7" name="Text Box 16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8" name="Text Box 16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19" name="Text Box 16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0" name="Text Box 16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1" name="Text Box 16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2" name="Text Box 16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3" name="Text Box 16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4" name="Text Box 16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5" name="Text Box 16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6" name="Text Box 16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7" name="Text Box 16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8" name="Text Box 16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29" name="Text Box 16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0" name="Text Box 16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1" name="Text Box 16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2" name="Text Box 17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3" name="Text Box 17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4" name="Text Box 17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5" name="Text Box 17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6" name="Text Box 17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7" name="Text Box 17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8" name="Text Box 17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39" name="Text Box 17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0" name="Text Box 17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1" name="Text Box 17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2" name="Text Box 17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3" name="Text Box 17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4" name="Text Box 17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5" name="Text Box 17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6" name="Text Box 17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7" name="Text Box 17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8" name="Text Box 17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49" name="Text Box 17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0" name="Text Box 17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1" name="Text Box 17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2" name="Text Box 17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3" name="Text Box 17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4" name="Text Box 17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5" name="Text Box 17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6" name="Text Box 17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7" name="Text Box 17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8" name="Text Box 17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59" name="Text Box 17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0" name="Text Box 17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1" name="Text Box 17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2" name="Text Box 17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3" name="Text Box 17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4" name="Text Box 17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5" name="Text Box 17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6" name="Text Box 17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7" name="Text Box 17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8" name="Text Box 17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69" name="Text Box 17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0" name="Text Box 17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1" name="Text Box 17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2" name="Text Box 17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3" name="Text Box 17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4" name="Text Box 17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5" name="Text Box 17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6" name="Text Box 17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7" name="Text Box 17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8" name="Text Box 17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79" name="Text Box 17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0" name="Text Box 17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1" name="Text Box 17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2" name="Text Box 17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3" name="Text Box 17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4" name="Text Box 17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5" name="Text Box 17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6" name="Text Box 17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7" name="Text Box 17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8" name="Text Box 17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89" name="Text Box 17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0" name="Text Box 17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1" name="Text Box 17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2" name="Text Box 17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3" name="Text Box 17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4" name="Text Box 17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5" name="Text Box 17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6" name="Text Box 17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7" name="Text Box 17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8" name="Text Box 17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599" name="Text Box 17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0" name="Text Box 17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1" name="Text Box 17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2" name="Text Box 17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3" name="Text Box 17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4" name="Text Box 17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5" name="Text Box 17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6" name="Text Box 17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7" name="Text Box 17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8" name="Text Box 17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09" name="Text Box 17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0" name="Text Box 17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1" name="Text Box 17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2" name="Text Box 17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3" name="Text Box 17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4" name="Text Box 17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5" name="Text Box 17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6" name="Text Box 17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7" name="Text Box 17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8" name="Text Box 17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19" name="Text Box 17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0" name="Text Box 17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1" name="Text Box 17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2" name="Text Box 17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3" name="Text Box 17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4" name="Text Box 17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5" name="Text Box 17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6" name="Text Box 17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7" name="Text Box 17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8" name="Text Box 17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29" name="Text Box 17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0" name="Text Box 17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1" name="Text Box 17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2" name="Text Box 18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3" name="Text Box 18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4" name="Text Box 18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5" name="Text Box 18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6" name="Text Box 18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7" name="Text Box 18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8" name="Text Box 18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39" name="Text Box 18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0" name="Text Box 18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1" name="Text Box 18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2" name="Text Box 18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3" name="Text Box 18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4" name="Text Box 18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5" name="Text Box 18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6" name="Text Box 18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7" name="Text Box 18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8" name="Text Box 18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49" name="Text Box 18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0" name="Text Box 18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1" name="Text Box 18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2" name="Text Box 18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3" name="Text Box 18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4" name="Text Box 18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5" name="Text Box 18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6" name="Text Box 18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7" name="Text Box 18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8" name="Text Box 18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59" name="Text Box 18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0" name="Text Box 18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1" name="Text Box 18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2" name="Text Box 18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3" name="Text Box 18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4" name="Text Box 18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5" name="Text Box 18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6" name="Text Box 18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7" name="Text Box 18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8" name="Text Box 18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69" name="Text Box 18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0" name="Text Box 18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1" name="Text Box 18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2" name="Text Box 18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3" name="Text Box 18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4" name="Text Box 18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5" name="Text Box 18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6" name="Text Box 18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7" name="Text Box 18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8" name="Text Box 18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79" name="Text Box 18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0" name="Text Box 18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1" name="Text Box 18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2" name="Text Box 18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3" name="Text Box 18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4" name="Text Box 18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5" name="Text Box 18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6" name="Text Box 18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7" name="Text Box 18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8" name="Text Box 18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89" name="Text Box 18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0" name="Text Box 18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1" name="Text Box 18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2" name="Text Box 18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3" name="Text Box 18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4" name="Text Box 18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5" name="Text Box 18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6" name="Text Box 18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7" name="Text Box 18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8" name="Text Box 18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699" name="Text Box 18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0" name="Text Box 18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1" name="Text Box 18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2" name="Text Box 18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3" name="Text Box 18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4" name="Text Box 18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5" name="Text Box 18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6" name="Text Box 18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7" name="Text Box 18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8" name="Text Box 18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09" name="Text Box 18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0" name="Text Box 18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1" name="Text Box 18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2" name="Text Box 18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3" name="Text Box 18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4" name="Text Box 18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5" name="Text Box 18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6" name="Text Box 18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7" name="Text Box 18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8" name="Text Box 18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19" name="Text Box 18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0" name="Text Box 18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1" name="Text Box 18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2" name="Text Box 18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3" name="Text Box 18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4" name="Text Box 18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5" name="Text Box 18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6" name="Text Box 18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7" name="Text Box 18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8" name="Text Box 18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29" name="Text Box 18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0" name="Text Box 18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1" name="Text Box 18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2" name="Text Box 19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3" name="Text Box 19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4" name="Text Box 19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5" name="Text Box 19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6" name="Text Box 19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7" name="Text Box 19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8" name="Text Box 19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39" name="Text Box 19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0" name="Text Box 19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1" name="Text Box 19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2" name="Text Box 19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3" name="Text Box 19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4" name="Text Box 19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5" name="Text Box 19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6" name="Text Box 19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7" name="Text Box 19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8" name="Text Box 19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49" name="Text Box 19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0" name="Text Box 19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1" name="Text Box 19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2" name="Text Box 19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3" name="Text Box 19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4" name="Text Box 19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5" name="Text Box 19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6" name="Text Box 19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7" name="Text Box 19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8" name="Text Box 19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59" name="Text Box 19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0" name="Text Box 19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1" name="Text Box 19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2" name="Text Box 19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3" name="Text Box 19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4" name="Text Box 19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5" name="Text Box 19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6" name="Text Box 19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7" name="Text Box 19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8" name="Text Box 19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69" name="Text Box 19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0" name="Text Box 19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1" name="Text Box 19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2" name="Text Box 19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3" name="Text Box 19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4" name="Text Box 19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5" name="Text Box 19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6" name="Text Box 19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7" name="Text Box 19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8" name="Text Box 19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79" name="Text Box 19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0" name="Text Box 19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1" name="Text Box 19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2" name="Text Box 19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3" name="Text Box 19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4" name="Text Box 19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5" name="Text Box 19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6" name="Text Box 19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7" name="Text Box 19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8" name="Text Box 19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89" name="Text Box 19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0" name="Text Box 19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1" name="Text Box 19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2" name="Text Box 19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3" name="Text Box 19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4" name="Text Box 19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5" name="Text Box 19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6" name="Text Box 19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7" name="Text Box 19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8" name="Text Box 19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799" name="Text Box 19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0" name="Text Box 19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1" name="Text Box 19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2" name="Text Box 19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3" name="Text Box 19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4" name="Text Box 19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5" name="Text Box 19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6" name="Text Box 19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7" name="Text Box 19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8" name="Text Box 19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09" name="Text Box 19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0" name="Text Box 19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1" name="Text Box 19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2" name="Text Box 19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3" name="Text Box 19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4" name="Text Box 19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5" name="Text Box 19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6" name="Text Box 19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7" name="Text Box 19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8" name="Text Box 19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19" name="Text Box 19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0" name="Text Box 19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1" name="Text Box 19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2" name="Text Box 19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3" name="Text Box 19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4" name="Text Box 19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5" name="Text Box 19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6" name="Text Box 19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7" name="Text Box 19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8" name="Text Box 19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29" name="Text Box 19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0" name="Text Box 19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1" name="Text Box 19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2" name="Text Box 20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3" name="Text Box 20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4" name="Text Box 20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5" name="Text Box 20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6" name="Text Box 20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7" name="Text Box 20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8" name="Text Box 20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39" name="Text Box 20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0" name="Text Box 20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1" name="Text Box 20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2" name="Text Box 20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3" name="Text Box 20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4" name="Text Box 20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5" name="Text Box 20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6" name="Text Box 20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7" name="Text Box 20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8" name="Text Box 20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49" name="Text Box 20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0" name="Text Box 20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1" name="Text Box 20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2" name="Text Box 20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3" name="Text Box 20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4" name="Text Box 20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5" name="Text Box 20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6" name="Text Box 20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7" name="Text Box 20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8" name="Text Box 20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59" name="Text Box 20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0" name="Text Box 20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1" name="Text Box 20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2" name="Text Box 20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3" name="Text Box 20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4" name="Text Box 20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5" name="Text Box 20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6" name="Text Box 20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7" name="Text Box 20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8" name="Text Box 20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69" name="Text Box 20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0" name="Text Box 20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1" name="Text Box 20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2" name="Text Box 20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3" name="Text Box 20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4" name="Text Box 20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5" name="Text Box 20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6" name="Text Box 20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7" name="Text Box 20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8" name="Text Box 20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79" name="Text Box 20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0" name="Text Box 20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1" name="Text Box 20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2" name="Text Box 20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3" name="Text Box 20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4" name="Text Box 20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5" name="Text Box 20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6" name="Text Box 20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7" name="Text Box 20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8" name="Text Box 20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89" name="Text Box 20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0" name="Text Box 20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1" name="Text Box 20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2" name="Text Box 20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3" name="Text Box 20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4" name="Text Box 20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5" name="Text Box 20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6" name="Text Box 20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7" name="Text Box 20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8" name="Text Box 20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899" name="Text Box 20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0" name="Text Box 20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1" name="Text Box 20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2" name="Text Box 20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3" name="Text Box 20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4" name="Text Box 20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5" name="Text Box 20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6" name="Text Box 20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7" name="Text Box 20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8" name="Text Box 20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09" name="Text Box 20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0" name="Text Box 20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1" name="Text Box 20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2" name="Text Box 20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3" name="Text Box 20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4" name="Text Box 20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5" name="Text Box 20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6" name="Text Box 20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7" name="Text Box 20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8" name="Text Box 20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19" name="Text Box 20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0" name="Text Box 20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1" name="Text Box 20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2" name="Text Box 20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3" name="Text Box 20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4" name="Text Box 20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5" name="Text Box 20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6" name="Text Box 20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7" name="Text Box 20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8" name="Text Box 20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29" name="Text Box 20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0" name="Text Box 20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1" name="Text Box 20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2" name="Text Box 21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3" name="Text Box 21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4" name="Text Box 21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5" name="Text Box 21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6" name="Text Box 21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7" name="Text Box 21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8" name="Text Box 21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39" name="Text Box 21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0" name="Text Box 21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1" name="Text Box 21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2" name="Text Box 21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3" name="Text Box 21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4" name="Text Box 21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5" name="Text Box 21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6" name="Text Box 21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7" name="Text Box 21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8" name="Text Box 21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49" name="Text Box 21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0" name="Text Box 21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1" name="Text Box 21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2" name="Text Box 21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3" name="Text Box 21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4" name="Text Box 21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5" name="Text Box 21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6" name="Text Box 21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7" name="Text Box 21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8" name="Text Box 21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59" name="Text Box 21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0" name="Text Box 21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1" name="Text Box 21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2" name="Text Box 21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3" name="Text Box 21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4" name="Text Box 21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5" name="Text Box 21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6" name="Text Box 21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7" name="Text Box 21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8" name="Text Box 21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69" name="Text Box 21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0" name="Text Box 21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1" name="Text Box 21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2" name="Text Box 21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3" name="Text Box 21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4" name="Text Box 21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5" name="Text Box 21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6" name="Text Box 21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7" name="Text Box 21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8" name="Text Box 21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79" name="Text Box 21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0" name="Text Box 21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1" name="Text Box 21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2" name="Text Box 21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3" name="Text Box 21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4" name="Text Box 21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5" name="Text Box 21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6" name="Text Box 21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7" name="Text Box 21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8" name="Text Box 21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89" name="Text Box 21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0" name="Text Box 21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1" name="Text Box 21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2" name="Text Box 21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3" name="Text Box 21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4" name="Text Box 21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5" name="Text Box 21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6" name="Text Box 21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7" name="Text Box 21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8" name="Text Box 21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999" name="Text Box 21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0" name="Text Box 21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1" name="Text Box 21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2" name="Text Box 21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3" name="Text Box 21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4" name="Text Box 21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5" name="Text Box 21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6" name="Text Box 21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7" name="Text Box 21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8" name="Text Box 21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09" name="Text Box 21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0" name="Text Box 21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1" name="Text Box 21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2" name="Text Box 21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3" name="Text Box 21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4" name="Text Box 21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5" name="Text Box 21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6" name="Text Box 21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7" name="Text Box 21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8" name="Text Box 21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19" name="Text Box 21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0" name="Text Box 21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1" name="Text Box 21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2" name="Text Box 21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3" name="Text Box 21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4" name="Text Box 21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5" name="Text Box 21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6" name="Text Box 21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7" name="Text Box 21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8" name="Text Box 21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29" name="Text Box 21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0" name="Text Box 21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1" name="Text Box 21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2" name="Text Box 22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3" name="Text Box 22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4" name="Text Box 22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5" name="Text Box 22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6" name="Text Box 22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7" name="Text Box 22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8" name="Text Box 22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39" name="Text Box 22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0" name="Text Box 22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1" name="Text Box 22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2" name="Text Box 22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3" name="Text Box 22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4" name="Text Box 22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5" name="Text Box 22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6" name="Text Box 22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7" name="Text Box 22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8" name="Text Box 22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49" name="Text Box 22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0" name="Text Box 22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1" name="Text Box 22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2" name="Text Box 22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3" name="Text Box 22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4" name="Text Box 22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5" name="Text Box 22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6" name="Text Box 22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7" name="Text Box 22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8" name="Text Box 22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59" name="Text Box 22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0" name="Text Box 22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1" name="Text Box 22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2" name="Text Box 22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3" name="Text Box 22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4" name="Text Box 22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5" name="Text Box 22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6" name="Text Box 22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7" name="Text Box 22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8" name="Text Box 22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69" name="Text Box 22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0" name="Text Box 22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1" name="Text Box 22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2" name="Text Box 22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3" name="Text Box 22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4" name="Text Box 22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5" name="Text Box 22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6" name="Text Box 22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7" name="Text Box 22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8" name="Text Box 22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79" name="Text Box 22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0" name="Text Box 22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1" name="Text Box 22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2" name="Text Box 22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3" name="Text Box 22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4" name="Text Box 22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5" name="Text Box 22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6" name="Text Box 22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7" name="Text Box 22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8" name="Text Box 22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89" name="Text Box 22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0" name="Text Box 22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1" name="Text Box 22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2" name="Text Box 22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3" name="Text Box 22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4" name="Text Box 22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5" name="Text Box 22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6" name="Text Box 22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7" name="Text Box 22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8" name="Text Box 22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099" name="Text Box 22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0" name="Text Box 22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1" name="Text Box 22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2" name="Text Box 22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3" name="Text Box 22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4" name="Text Box 22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5" name="Text Box 22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6" name="Text Box 22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7" name="Text Box 22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8" name="Text Box 22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09" name="Text Box 22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0" name="Text Box 22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1" name="Text Box 22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2" name="Text Box 22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3" name="Text Box 22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4" name="Text Box 22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5" name="Text Box 22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6" name="Text Box 22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7" name="Text Box 22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8" name="Text Box 22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19" name="Text Box 22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0" name="Text Box 22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1" name="Text Box 22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2" name="Text Box 22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3" name="Text Box 22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4" name="Text Box 22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5" name="Text Box 22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6" name="Text Box 22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7" name="Text Box 22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8" name="Text Box 22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29" name="Text Box 22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0" name="Text Box 22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1" name="Text Box 22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2" name="Text Box 23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3" name="Text Box 23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4" name="Text Box 23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5" name="Text Box 23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6" name="Text Box 23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7" name="Text Box 23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8" name="Text Box 23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39" name="Text Box 23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0" name="Text Box 23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1" name="Text Box 23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2" name="Text Box 23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3" name="Text Box 23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4" name="Text Box 23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5" name="Text Box 23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6" name="Text Box 23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7" name="Text Box 23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8" name="Text Box 23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49" name="Text Box 23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0" name="Text Box 23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1" name="Text Box 23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2" name="Text Box 23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3" name="Text Box 23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4" name="Text Box 23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5" name="Text Box 23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6" name="Text Box 23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7" name="Text Box 23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8" name="Text Box 23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59" name="Text Box 23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0" name="Text Box 23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1" name="Text Box 23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2" name="Text Box 23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3" name="Text Box 23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4" name="Text Box 23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5" name="Text Box 23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6" name="Text Box 23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7" name="Text Box 23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8" name="Text Box 23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69" name="Text Box 23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0" name="Text Box 23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1" name="Text Box 23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2" name="Text Box 23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3" name="Text Box 23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4" name="Text Box 23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5" name="Text Box 23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6" name="Text Box 23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7" name="Text Box 23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8" name="Text Box 23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79" name="Text Box 23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0" name="Text Box 23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1" name="Text Box 23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2" name="Text Box 23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3" name="Text Box 23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4" name="Text Box 23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5" name="Text Box 23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6" name="Text Box 23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7" name="Text Box 23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8" name="Text Box 23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89" name="Text Box 23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0" name="Text Box 23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1" name="Text Box 23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2" name="Text Box 23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3" name="Text Box 23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4" name="Text Box 23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5" name="Text Box 23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6" name="Text Box 23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7" name="Text Box 23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8" name="Text Box 23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199" name="Text Box 23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0" name="Text Box 23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1" name="Text Box 23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2" name="Text Box 23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3" name="Text Box 23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4" name="Text Box 23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5" name="Text Box 23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6" name="Text Box 23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7" name="Text Box 23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8" name="Text Box 23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09" name="Text Box 23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0" name="Text Box 23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1" name="Text Box 23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2" name="Text Box 23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3" name="Text Box 23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4" name="Text Box 23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5" name="Text Box 23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6" name="Text Box 23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7" name="Text Box 23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8" name="Text Box 23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19" name="Text Box 23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0" name="Text Box 23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1" name="Text Box 23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2" name="Text Box 23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3" name="Text Box 23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4" name="Text Box 23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5" name="Text Box 23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6" name="Text Box 23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7" name="Text Box 23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8" name="Text Box 23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29" name="Text Box 23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0" name="Text Box 23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1" name="Text Box 23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2" name="Text Box 24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3" name="Text Box 24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4" name="Text Box 24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5" name="Text Box 24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6" name="Text Box 24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7" name="Text Box 24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8" name="Text Box 24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39" name="Text Box 24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0" name="Text Box 24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1" name="Text Box 24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2" name="Text Box 24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3" name="Text Box 24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4" name="Text Box 24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5" name="Text Box 24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6" name="Text Box 24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7" name="Text Box 24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8" name="Text Box 24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49" name="Text Box 24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0" name="Text Box 24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1" name="Text Box 24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2" name="Text Box 24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3" name="Text Box 24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4" name="Text Box 24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5" name="Text Box 24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6" name="Text Box 24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7" name="Text Box 24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8" name="Text Box 24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59" name="Text Box 24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0" name="Text Box 24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1" name="Text Box 24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2" name="Text Box 24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3" name="Text Box 24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4" name="Text Box 24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5" name="Text Box 24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6" name="Text Box 24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7" name="Text Box 24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8" name="Text Box 24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69" name="Text Box 24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0" name="Text Box 24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1" name="Text Box 24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2" name="Text Box 24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3" name="Text Box 24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4" name="Text Box 24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5" name="Text Box 24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6" name="Text Box 24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7" name="Text Box 24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8" name="Text Box 24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79" name="Text Box 24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0" name="Text Box 24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1" name="Text Box 24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2" name="Text Box 24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3" name="Text Box 24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4" name="Text Box 24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5" name="Text Box 24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6" name="Text Box 24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7" name="Text Box 24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8" name="Text Box 24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89" name="Text Box 24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0" name="Text Box 24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1" name="Text Box 24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2" name="Text Box 24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3" name="Text Box 24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4" name="Text Box 24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5" name="Text Box 24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6" name="Text Box 24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7" name="Text Box 24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8" name="Text Box 24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299" name="Text Box 24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0" name="Text Box 24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1" name="Text Box 24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2" name="Text Box 24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3" name="Text Box 24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4" name="Text Box 24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5" name="Text Box 24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6" name="Text Box 24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7" name="Text Box 24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8" name="Text Box 24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09" name="Text Box 24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0" name="Text Box 24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1" name="Text Box 24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2" name="Text Box 24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3" name="Text Box 24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4" name="Text Box 24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5" name="Text Box 24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6" name="Text Box 24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7" name="Text Box 24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8" name="Text Box 24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19" name="Text Box 24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0" name="Text Box 24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1" name="Text Box 24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2" name="Text Box 24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3" name="Text Box 24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4" name="Text Box 24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5" name="Text Box 24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6" name="Text Box 24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7" name="Text Box 24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8" name="Text Box 24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29" name="Text Box 24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0" name="Text Box 24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1" name="Text Box 24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2" name="Text Box 25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3" name="Text Box 25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4" name="Text Box 25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5" name="Text Box 25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6" name="Text Box 25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7" name="Text Box 25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8" name="Text Box 25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39" name="Text Box 25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0" name="Text Box 25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1" name="Text Box 25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2" name="Text Box 25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3" name="Text Box 25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4" name="Text Box 25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5" name="Text Box 25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6" name="Text Box 25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7" name="Text Box 25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8" name="Text Box 25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49" name="Text Box 25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0" name="Text Box 25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1" name="Text Box 25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2" name="Text Box 25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3" name="Text Box 25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4" name="Text Box 25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5" name="Text Box 25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6" name="Text Box 25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7" name="Text Box 25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8" name="Text Box 25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59" name="Text Box 25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0" name="Text Box 25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1" name="Text Box 25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2" name="Text Box 25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3" name="Text Box 25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4" name="Text Box 25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5" name="Text Box 25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6" name="Text Box 25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7" name="Text Box 25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8" name="Text Box 25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69" name="Text Box 25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0" name="Text Box 25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1" name="Text Box 25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2" name="Text Box 25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3" name="Text Box 25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4" name="Text Box 25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5" name="Text Box 25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6" name="Text Box 25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7" name="Text Box 25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8" name="Text Box 25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79" name="Text Box 25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0" name="Text Box 25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1" name="Text Box 25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2" name="Text Box 25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3" name="Text Box 25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4" name="Text Box 25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5" name="Text Box 25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6" name="Text Box 25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7" name="Text Box 25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8" name="Text Box 25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89" name="Text Box 25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0" name="Text Box 25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1" name="Text Box 25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2" name="Text Box 25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3" name="Text Box 25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4" name="Text Box 25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5" name="Text Box 25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6" name="Text Box 25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7" name="Text Box 25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8" name="Text Box 25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399" name="Text Box 25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0" name="Text Box 25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1" name="Text Box 25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2" name="Text Box 25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3" name="Text Box 25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4" name="Text Box 25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5" name="Text Box 25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6" name="Text Box 25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7" name="Text Box 25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8" name="Text Box 25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09" name="Text Box 25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0" name="Text Box 25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1" name="Text Box 25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2" name="Text Box 25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3" name="Text Box 25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4" name="Text Box 25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5" name="Text Box 25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6" name="Text Box 25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7" name="Text Box 25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8" name="Text Box 25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19" name="Text Box 25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0" name="Text Box 25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1" name="Text Box 25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2" name="Text Box 25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3" name="Text Box 25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4" name="Text Box 25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5" name="Text Box 25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6" name="Text Box 25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7" name="Text Box 25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8" name="Text Box 25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29" name="Text Box 25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0" name="Text Box 25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1" name="Text Box 25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2" name="Text Box 26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3" name="Text Box 26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4" name="Text Box 26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5" name="Text Box 26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6" name="Text Box 26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7" name="Text Box 26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8" name="Text Box 26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39" name="Text Box 26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0" name="Text Box 26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1" name="Text Box 26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2" name="Text Box 26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3" name="Text Box 26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4" name="Text Box 26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5" name="Text Box 26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6" name="Text Box 26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7" name="Text Box 26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8" name="Text Box 26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49" name="Text Box 26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0" name="Text Box 26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1" name="Text Box 26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2" name="Text Box 26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3" name="Text Box 26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4" name="Text Box 26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5" name="Text Box 26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6" name="Text Box 26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7" name="Text Box 26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8" name="Text Box 26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59" name="Text Box 26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0" name="Text Box 26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1" name="Text Box 26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2" name="Text Box 26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3" name="Text Box 26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4" name="Text Box 26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5" name="Text Box 26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6" name="Text Box 26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7" name="Text Box 26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8" name="Text Box 26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69" name="Text Box 26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0" name="Text Box 26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1" name="Text Box 26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2" name="Text Box 26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3" name="Text Box 26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4" name="Text Box 26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5" name="Text Box 26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6" name="Text Box 26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7" name="Text Box 26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8" name="Text Box 26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79" name="Text Box 26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0" name="Text Box 26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1" name="Text Box 26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2" name="Text Box 26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3" name="Text Box 26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4" name="Text Box 26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5" name="Text Box 26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6" name="Text Box 26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7" name="Text Box 26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8" name="Text Box 26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89" name="Text Box 26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0" name="Text Box 26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1" name="Text Box 26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2" name="Text Box 26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3" name="Text Box 26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4" name="Text Box 26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5" name="Text Box 26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6" name="Text Box 26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7" name="Text Box 26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8" name="Text Box 26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499" name="Text Box 26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0" name="Text Box 26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1" name="Text Box 26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2" name="Text Box 26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3" name="Text Box 26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4" name="Text Box 26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5" name="Text Box 26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6" name="Text Box 26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7" name="Text Box 26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8" name="Text Box 26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09" name="Text Box 26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0" name="Text Box 26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1" name="Text Box 26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2" name="Text Box 26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3" name="Text Box 26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4" name="Text Box 26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5" name="Text Box 26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6" name="Text Box 26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7" name="Text Box 26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8" name="Text Box 26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19" name="Text Box 26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0" name="Text Box 26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1" name="Text Box 26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2" name="Text Box 26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3" name="Text Box 26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4" name="Text Box 26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5" name="Text Box 26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6" name="Text Box 26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7" name="Text Box 26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8" name="Text Box 26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29" name="Text Box 26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0" name="Text Box 26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1" name="Text Box 26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2" name="Text Box 27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3" name="Text Box 27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4" name="Text Box 27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5" name="Text Box 27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6" name="Text Box 27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7" name="Text Box 27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8" name="Text Box 27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39" name="Text Box 27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0" name="Text Box 27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1" name="Text Box 27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2" name="Text Box 27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3" name="Text Box 27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4" name="Text Box 27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5" name="Text Box 27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6" name="Text Box 27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7" name="Text Box 27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8" name="Text Box 27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49" name="Text Box 27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0" name="Text Box 27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1" name="Text Box 27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2" name="Text Box 27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3" name="Text Box 27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4" name="Text Box 27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5" name="Text Box 27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6" name="Text Box 27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7" name="Text Box 27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8" name="Text Box 27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59" name="Text Box 27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0" name="Text Box 27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1" name="Text Box 27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2" name="Text Box 27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3" name="Text Box 27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4" name="Text Box 27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5" name="Text Box 27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6" name="Text Box 27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7" name="Text Box 27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8" name="Text Box 27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69" name="Text Box 27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0" name="Text Box 27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1" name="Text Box 27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2" name="Text Box 27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3" name="Text Box 27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4" name="Text Box 27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5" name="Text Box 27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6" name="Text Box 27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7" name="Text Box 27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8" name="Text Box 27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79" name="Text Box 27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0" name="Text Box 27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1" name="Text Box 27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2" name="Text Box 27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3" name="Text Box 27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4" name="Text Box 27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5" name="Text Box 27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6" name="Text Box 27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7" name="Text Box 27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8" name="Text Box 27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89" name="Text Box 27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0" name="Text Box 27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1" name="Text Box 27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2" name="Text Box 27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3" name="Text Box 27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4" name="Text Box 27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5" name="Text Box 27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6" name="Text Box 27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7" name="Text Box 27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8" name="Text Box 27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599" name="Text Box 27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0" name="Text Box 27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1" name="Text Box 27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2" name="Text Box 27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3" name="Text Box 27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4" name="Text Box 27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5" name="Text Box 27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6" name="Text Box 27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7" name="Text Box 27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8" name="Text Box 27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09" name="Text Box 27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0" name="Text Box 27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1" name="Text Box 27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2" name="Text Box 27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3" name="Text Box 27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4" name="Text Box 27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5" name="Text Box 27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6" name="Text Box 27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7" name="Text Box 27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8" name="Text Box 27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19" name="Text Box 27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0" name="Text Box 27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1" name="Text Box 27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2" name="Text Box 27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3" name="Text Box 27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4" name="Text Box 27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5" name="Text Box 27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6" name="Text Box 27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7" name="Text Box 27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8" name="Text Box 27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29" name="Text Box 27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0" name="Text Box 27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1" name="Text Box 27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2" name="Text Box 28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3" name="Text Box 28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4" name="Text Box 28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5" name="Text Box 28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6" name="Text Box 28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7" name="Text Box 28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8" name="Text Box 28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39" name="Text Box 28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0" name="Text Box 28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1" name="Text Box 28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2" name="Text Box 28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3" name="Text Box 28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4" name="Text Box 28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5" name="Text Box 28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6" name="Text Box 28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7" name="Text Box 28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8" name="Text Box 28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49" name="Text Box 28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0" name="Text Box 28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1" name="Text Box 28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2" name="Text Box 28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3" name="Text Box 28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4" name="Text Box 28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5" name="Text Box 28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6" name="Text Box 28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7" name="Text Box 28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8" name="Text Box 28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59" name="Text Box 28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0" name="Text Box 28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1" name="Text Box 28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2" name="Text Box 28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3" name="Text Box 28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4" name="Text Box 28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5" name="Text Box 28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6" name="Text Box 28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7" name="Text Box 28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8" name="Text Box 28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69" name="Text Box 28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0" name="Text Box 28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1" name="Text Box 28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2" name="Text Box 28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3" name="Text Box 28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4" name="Text Box 28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5" name="Text Box 28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6" name="Text Box 28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7" name="Text Box 28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8" name="Text Box 28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79" name="Text Box 28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0" name="Text Box 28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1" name="Text Box 28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2" name="Text Box 28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3" name="Text Box 28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4" name="Text Box 28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5" name="Text Box 28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6" name="Text Box 28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7" name="Text Box 28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8" name="Text Box 28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89" name="Text Box 28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0" name="Text Box 28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1" name="Text Box 28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2" name="Text Box 28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3" name="Text Box 28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4" name="Text Box 28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5" name="Text Box 28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6" name="Text Box 28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7" name="Text Box 28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8" name="Text Box 28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699" name="Text Box 28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0" name="Text Box 28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1" name="Text Box 28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2" name="Text Box 28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3" name="Text Box 28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4" name="Text Box 28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5" name="Text Box 28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6" name="Text Box 28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7" name="Text Box 28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8" name="Text Box 28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09" name="Text Box 28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0" name="Text Box 28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1" name="Text Box 28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2" name="Text Box 28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3" name="Text Box 28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4" name="Text Box 28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5" name="Text Box 28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6" name="Text Box 28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7" name="Text Box 28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8" name="Text Box 28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19" name="Text Box 28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0" name="Text Box 28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1" name="Text Box 28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2" name="Text Box 28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3" name="Text Box 28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4" name="Text Box 28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5" name="Text Box 28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6" name="Text Box 28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7" name="Text Box 28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8" name="Text Box 28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29" name="Text Box 28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0" name="Text Box 28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1" name="Text Box 28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2" name="Text Box 29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3" name="Text Box 29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4" name="Text Box 29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5" name="Text Box 29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6" name="Text Box 29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7" name="Text Box 29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8" name="Text Box 29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39" name="Text Box 29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0" name="Text Box 29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1" name="Text Box 29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2" name="Text Box 29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3" name="Text Box 29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4" name="Text Box 29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5" name="Text Box 29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6" name="Text Box 29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7" name="Text Box 29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8" name="Text Box 29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49" name="Text Box 29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0" name="Text Box 29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1" name="Text Box 29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2" name="Text Box 29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3" name="Text Box 29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4" name="Text Box 29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5" name="Text Box 29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6" name="Text Box 29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7" name="Text Box 29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8" name="Text Box 29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59" name="Text Box 29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0" name="Text Box 29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1" name="Text Box 29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2" name="Text Box 29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3" name="Text Box 29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4" name="Text Box 29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5" name="Text Box 29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6" name="Text Box 29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7" name="Text Box 29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8" name="Text Box 29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69" name="Text Box 29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0" name="Text Box 29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1" name="Text Box 29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2" name="Text Box 29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3" name="Text Box 29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4" name="Text Box 29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5" name="Text Box 29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6" name="Text Box 29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7" name="Text Box 29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8" name="Text Box 29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79" name="Text Box 29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0" name="Text Box 29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1" name="Text Box 29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2" name="Text Box 29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3" name="Text Box 29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4" name="Text Box 29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5" name="Text Box 29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6" name="Text Box 29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7" name="Text Box 29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8" name="Text Box 29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89" name="Text Box 29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0" name="Text Box 29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1" name="Text Box 29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2" name="Text Box 29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3" name="Text Box 29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4" name="Text Box 29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5" name="Text Box 29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6" name="Text Box 29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7" name="Text Box 29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8" name="Text Box 29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799" name="Text Box 29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0" name="Text Box 29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1" name="Text Box 29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2" name="Text Box 29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3" name="Text Box 29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4" name="Text Box 29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5" name="Text Box 29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6" name="Text Box 29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7" name="Text Box 29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8" name="Text Box 29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09" name="Text Box 29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0" name="Text Box 29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1" name="Text Box 29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2" name="Text Box 29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3" name="Text Box 29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4" name="Text Box 29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5" name="Text Box 29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6" name="Text Box 29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7" name="Text Box 29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8" name="Text Box 29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19" name="Text Box 29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0" name="Text Box 29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1" name="Text Box 29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2" name="Text Box 29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3" name="Text Box 29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4" name="Text Box 29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5" name="Text Box 29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6" name="Text Box 29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7" name="Text Box 29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8" name="Text Box 29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29" name="Text Box 29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110</xdr:col>
      <xdr:colOff>0</xdr:colOff>
      <xdr:row>181</xdr:row>
      <xdr:rowOff>0</xdr:rowOff>
    </xdr:from>
    <xdr:to>
      <xdr:col>114</xdr:col>
      <xdr:colOff>76200</xdr:colOff>
      <xdr:row>182</xdr:row>
      <xdr:rowOff>19050</xdr:rowOff>
    </xdr:to>
    <xdr:sp macro="" textlink="">
      <xdr:nvSpPr>
        <xdr:cNvPr id="1830" name="Text Box 29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180975</xdr:colOff>
      <xdr:row>13</xdr:row>
      <xdr:rowOff>95250</xdr:rowOff>
    </xdr:from>
    <xdr:to>
      <xdr:col>15</xdr:col>
      <xdr:colOff>685800</xdr:colOff>
      <xdr:row>16</xdr:row>
      <xdr:rowOff>66675</xdr:rowOff>
    </xdr:to>
    <xdr:sp macro="" textlink="">
      <xdr:nvSpPr>
        <xdr:cNvPr id="7258" name="AutoShape 90"/>
        <xdr:cNvSpPr>
          <a:spLocks/>
        </xdr:cNvSpPr>
      </xdr:nvSpPr>
      <xdr:spPr bwMode="auto">
        <a:xfrm>
          <a:off x="5114925" y="3171825"/>
          <a:ext cx="1905000" cy="542925"/>
        </a:xfrm>
        <a:prstGeom prst="borderCallout1">
          <a:avLst>
            <a:gd name="adj1" fmla="val 21051"/>
            <a:gd name="adj2" fmla="val -4000"/>
            <a:gd name="adj3" fmla="val 85963"/>
            <a:gd name="adj4" fmla="val -82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登録データの登録番号から学年までをコピーし張付けて下さい。、白枠内のみに値のみで張り付ける事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76200</xdr:colOff>
      <xdr:row>2</xdr:row>
      <xdr:rowOff>19050</xdr:rowOff>
    </xdr:to>
    <xdr:sp macro="" textlink="">
      <xdr:nvSpPr>
        <xdr:cNvPr id="376833" name="Text Box 1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34" name="Text Box 1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35" name="Text Box 1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36" name="Text Box 1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37" name="Text Box 15"/>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38" name="Text Box 16"/>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39" name="Text Box 17"/>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0" name="Text Box 18"/>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1" name="Text Box 19"/>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2" name="Text Box 20"/>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3" name="Text Box 21"/>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4" name="Text Box 22"/>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5" name="Text Box 23"/>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6" name="Text Box 24"/>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7" name="Text Box 25"/>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2</xdr:col>
      <xdr:colOff>0</xdr:colOff>
      <xdr:row>1</xdr:row>
      <xdr:rowOff>0</xdr:rowOff>
    </xdr:from>
    <xdr:to>
      <xdr:col>2</xdr:col>
      <xdr:colOff>76200</xdr:colOff>
      <xdr:row>2</xdr:row>
      <xdr:rowOff>19050</xdr:rowOff>
    </xdr:to>
    <xdr:sp macro="" textlink="">
      <xdr:nvSpPr>
        <xdr:cNvPr id="376848" name="Text Box 26"/>
        <xdr:cNvSpPr txBox="1">
          <a:spLocks noChangeArrowheads="1"/>
        </xdr:cNvSpPr>
      </xdr:nvSpPr>
      <xdr:spPr bwMode="auto">
        <a:xfrm>
          <a:off x="18383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49" name="Text Box 2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0" name="Text Box 2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1" name="Text Box 2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2" name="Text Box 3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3" name="Text Box 3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4" name="Text Box 3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5" name="Text Box 3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6" name="Text Box 3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7" name="Text Box 3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8" name="Text Box 3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59" name="Text Box 3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0" name="Text Box 3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1" name="Text Box 3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2" name="Text Box 4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3" name="Text Box 4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4" name="Text Box 4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5" name="Text Box 4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6" name="Text Box 4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7" name="Text Box 4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8" name="Text Box 4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69" name="Text Box 4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0" name="Text Box 4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1" name="Text Box 4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2" name="Text Box 5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3" name="Text Box 5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4" name="Text Box 5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5" name="Text Box 5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6" name="Text Box 5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7" name="Text Box 5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8" name="Text Box 5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79" name="Text Box 5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0" name="Text Box 5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1" name="Text Box 5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2" name="Text Box 6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3" name="Text Box 6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4" name="Text Box 6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5" name="Text Box 6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6" name="Text Box 6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7" name="Text Box 6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8" name="Text Box 6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89" name="Text Box 6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0" name="Text Box 6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1" name="Text Box 6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2" name="Text Box 7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3" name="Text Box 7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4" name="Text Box 7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5" name="Text Box 7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6" name="Text Box 7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7" name="Text Box 7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8" name="Text Box 7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899" name="Text Box 7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0" name="Text Box 7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1" name="Text Box 7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2" name="Text Box 8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3" name="Text Box 8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4" name="Text Box 8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5" name="Text Box 8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6" name="Text Box 8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7" name="Text Box 8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8" name="Text Box 8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09" name="Text Box 8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0" name="Text Box 8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1" name="Text Box 8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2" name="Text Box 9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3" name="Text Box 9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4" name="Text Box 9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5" name="Text Box 9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6" name="Text Box 9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7" name="Text Box 9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8" name="Text Box 9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19" name="Text Box 9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0" name="Text Box 9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1" name="Text Box 9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2" name="Text Box 10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3" name="Text Box 10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4" name="Text Box 10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5" name="Text Box 10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6" name="Text Box 10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7" name="Text Box 10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8" name="Text Box 10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29" name="Text Box 10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0" name="Text Box 10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1" name="Text Box 10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2" name="Text Box 11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3" name="Text Box 11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4" name="Text Box 11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5" name="Text Box 11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6" name="Text Box 11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7" name="Text Box 11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8" name="Text Box 11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39" name="Text Box 11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0" name="Text Box 11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1" name="Text Box 11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2" name="Text Box 12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3" name="Text Box 12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4" name="Text Box 12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5" name="Text Box 12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6" name="Text Box 12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7" name="Text Box 12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8" name="Text Box 12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49" name="Text Box 12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0" name="Text Box 12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1" name="Text Box 12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2" name="Text Box 13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3" name="Text Box 13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4" name="Text Box 13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5" name="Text Box 13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6" name="Text Box 13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7" name="Text Box 13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8" name="Text Box 13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59" name="Text Box 13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0" name="Text Box 13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1" name="Text Box 13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2" name="Text Box 14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3" name="Text Box 14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4" name="Text Box 14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5" name="Text Box 14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6" name="Text Box 14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7" name="Text Box 14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8" name="Text Box 14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69" name="Text Box 14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0" name="Text Box 14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1" name="Text Box 14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2" name="Text Box 15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3" name="Text Box 15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4" name="Text Box 15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5" name="Text Box 15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6" name="Text Box 15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7" name="Text Box 15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8" name="Text Box 15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79" name="Text Box 15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0" name="Text Box 15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1" name="Text Box 15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2" name="Text Box 16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3" name="Text Box 16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4" name="Text Box 16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5" name="Text Box 16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6" name="Text Box 16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7" name="Text Box 16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8" name="Text Box 16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89" name="Text Box 16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0" name="Text Box 16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1" name="Text Box 16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2" name="Text Box 17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3" name="Text Box 17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4" name="Text Box 17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5" name="Text Box 17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6" name="Text Box 17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7" name="Text Box 17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8" name="Text Box 17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6999" name="Text Box 17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0" name="Text Box 17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1" name="Text Box 17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2" name="Text Box 18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3" name="Text Box 18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4" name="Text Box 18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5" name="Text Box 18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6" name="Text Box 18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7" name="Text Box 18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8" name="Text Box 18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09" name="Text Box 18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0" name="Text Box 18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1" name="Text Box 18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2" name="Text Box 19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3" name="Text Box 19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4" name="Text Box 19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5" name="Text Box 19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6" name="Text Box 19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7" name="Text Box 19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8" name="Text Box 19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19" name="Text Box 19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0" name="Text Box 19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1" name="Text Box 19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2" name="Text Box 20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3" name="Text Box 20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4" name="Text Box 20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5" name="Text Box 20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6" name="Text Box 20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7" name="Text Box 20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8" name="Text Box 20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29" name="Text Box 20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0" name="Text Box 20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1" name="Text Box 20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2" name="Text Box 21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3" name="Text Box 21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4" name="Text Box 21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5" name="Text Box 21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6" name="Text Box 21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7" name="Text Box 21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8" name="Text Box 21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39" name="Text Box 21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0" name="Text Box 21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1" name="Text Box 21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2" name="Text Box 22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3" name="Text Box 22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4" name="Text Box 22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5" name="Text Box 22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6" name="Text Box 22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7" name="Text Box 22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8" name="Text Box 22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49" name="Text Box 22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0" name="Text Box 22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1" name="Text Box 22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2" name="Text Box 23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3" name="Text Box 23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4" name="Text Box 23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5" name="Text Box 23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6" name="Text Box 23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7" name="Text Box 23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8" name="Text Box 23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59" name="Text Box 23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0" name="Text Box 23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1" name="Text Box 23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2" name="Text Box 24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3" name="Text Box 24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4" name="Text Box 24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5" name="Text Box 24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6" name="Text Box 24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7" name="Text Box 24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8" name="Text Box 24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69" name="Text Box 24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0" name="Text Box 24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1" name="Text Box 24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2" name="Text Box 25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3" name="Text Box 25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4" name="Text Box 25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5" name="Text Box 25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6" name="Text Box 25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7" name="Text Box 25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8" name="Text Box 25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79" name="Text Box 25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0" name="Text Box 25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1" name="Text Box 25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2" name="Text Box 26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3" name="Text Box 26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4" name="Text Box 26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5" name="Text Box 26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6" name="Text Box 26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7" name="Text Box 26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8" name="Text Box 26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89" name="Text Box 26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0" name="Text Box 26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1" name="Text Box 26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2" name="Text Box 27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3" name="Text Box 27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4" name="Text Box 27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5" name="Text Box 27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6" name="Text Box 27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7" name="Text Box 27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8" name="Text Box 27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099" name="Text Box 27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0" name="Text Box 27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1" name="Text Box 27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2" name="Text Box 28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3" name="Text Box 28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4" name="Text Box 28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5" name="Text Box 28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6" name="Text Box 28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7" name="Text Box 28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8" name="Text Box 28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09" name="Text Box 28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0" name="Text Box 28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1" name="Text Box 28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2" name="Text Box 29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3" name="Text Box 29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4" name="Text Box 29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5" name="Text Box 29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6" name="Text Box 29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7" name="Text Box 29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8" name="Text Box 29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19" name="Text Box 29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0" name="Text Box 29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1" name="Text Box 29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2" name="Text Box 30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3" name="Text Box 30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4" name="Text Box 30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5" name="Text Box 30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6" name="Text Box 30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7" name="Text Box 30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8" name="Text Box 30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29" name="Text Box 30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0" name="Text Box 30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1" name="Text Box 30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2" name="Text Box 31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3" name="Text Box 31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4" name="Text Box 31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5" name="Text Box 31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6" name="Text Box 31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7" name="Text Box 31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8" name="Text Box 31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39" name="Text Box 31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0" name="Text Box 31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1" name="Text Box 31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2" name="Text Box 32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3" name="Text Box 32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4" name="Text Box 32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5" name="Text Box 32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6" name="Text Box 32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7" name="Text Box 32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8" name="Text Box 32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49" name="Text Box 32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0" name="Text Box 32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1" name="Text Box 32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2" name="Text Box 33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3" name="Text Box 33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4" name="Text Box 33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5" name="Text Box 33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6" name="Text Box 33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7" name="Text Box 33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8" name="Text Box 33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59" name="Text Box 33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0" name="Text Box 33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1" name="Text Box 33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2" name="Text Box 34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3" name="Text Box 34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4" name="Text Box 34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5" name="Text Box 34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6" name="Text Box 34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7" name="Text Box 34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8" name="Text Box 34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69" name="Text Box 34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0" name="Text Box 34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1" name="Text Box 34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2" name="Text Box 35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3" name="Text Box 35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4" name="Text Box 35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5" name="Text Box 35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6" name="Text Box 35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7" name="Text Box 35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8" name="Text Box 35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79" name="Text Box 35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0" name="Text Box 35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1" name="Text Box 35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2" name="Text Box 36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3" name="Text Box 36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4" name="Text Box 36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5" name="Text Box 36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6" name="Text Box 36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7" name="Text Box 36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8" name="Text Box 36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89" name="Text Box 36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0" name="Text Box 36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1" name="Text Box 36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2" name="Text Box 37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3" name="Text Box 37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4" name="Text Box 37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5" name="Text Box 37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6" name="Text Box 37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7" name="Text Box 37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8" name="Text Box 37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199" name="Text Box 37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0" name="Text Box 37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1" name="Text Box 37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2" name="Text Box 38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3" name="Text Box 38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4" name="Text Box 38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5" name="Text Box 38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6" name="Text Box 38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7" name="Text Box 38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8" name="Text Box 38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09" name="Text Box 38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0" name="Text Box 38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1" name="Text Box 38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2" name="Text Box 39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3" name="Text Box 39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4" name="Text Box 39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5" name="Text Box 39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6" name="Text Box 39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7" name="Text Box 39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8" name="Text Box 39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19" name="Text Box 39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0" name="Text Box 39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1" name="Text Box 39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2" name="Text Box 40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3" name="Text Box 40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4" name="Text Box 40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5" name="Text Box 40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6" name="Text Box 40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7" name="Text Box 40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8" name="Text Box 40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29" name="Text Box 40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0" name="Text Box 40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1" name="Text Box 40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2" name="Text Box 41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3" name="Text Box 41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4" name="Text Box 41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5" name="Text Box 41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6" name="Text Box 41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7" name="Text Box 41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8" name="Text Box 41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39" name="Text Box 41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0" name="Text Box 41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1" name="Text Box 41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2" name="Text Box 42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3" name="Text Box 42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4" name="Text Box 42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5" name="Text Box 42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6" name="Text Box 42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7" name="Text Box 42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8" name="Text Box 42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49" name="Text Box 42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0" name="Text Box 42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1" name="Text Box 42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2" name="Text Box 43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3" name="Text Box 43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4" name="Text Box 43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5" name="Text Box 43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6" name="Text Box 43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7" name="Text Box 43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8" name="Text Box 43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59" name="Text Box 437"/>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0" name="Text Box 438"/>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1" name="Text Box 439"/>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2" name="Text Box 440"/>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3" name="Text Box 441"/>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4" name="Text Box 442"/>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5" name="Text Box 443"/>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6" name="Text Box 444"/>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7" name="Text Box 445"/>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76200</xdr:colOff>
      <xdr:row>2</xdr:row>
      <xdr:rowOff>19050</xdr:rowOff>
    </xdr:to>
    <xdr:sp macro="" textlink="">
      <xdr:nvSpPr>
        <xdr:cNvPr id="377268" name="Text Box 446"/>
        <xdr:cNvSpPr txBox="1">
          <a:spLocks noChangeArrowheads="1"/>
        </xdr:cNvSpPr>
      </xdr:nvSpPr>
      <xdr:spPr bwMode="auto">
        <a:xfrm>
          <a:off x="1152525" y="190500"/>
          <a:ext cx="76200" cy="2095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76200</xdr:colOff>
      <xdr:row>3</xdr:row>
      <xdr:rowOff>19050</xdr:rowOff>
    </xdr:to>
    <xdr:sp macro="" textlink="">
      <xdr:nvSpPr>
        <xdr:cNvPr id="377269" name="Text Box 447"/>
        <xdr:cNvSpPr txBox="1">
          <a:spLocks noChangeArrowheads="1"/>
        </xdr:cNvSpPr>
      </xdr:nvSpPr>
      <xdr:spPr bwMode="auto">
        <a:xfrm>
          <a:off x="1152525" y="381000"/>
          <a:ext cx="76200" cy="2095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76200</xdr:colOff>
      <xdr:row>3</xdr:row>
      <xdr:rowOff>19050</xdr:rowOff>
    </xdr:to>
    <xdr:sp macro="" textlink="">
      <xdr:nvSpPr>
        <xdr:cNvPr id="377270" name="Text Box 448"/>
        <xdr:cNvSpPr txBox="1">
          <a:spLocks noChangeArrowheads="1"/>
        </xdr:cNvSpPr>
      </xdr:nvSpPr>
      <xdr:spPr bwMode="auto">
        <a:xfrm>
          <a:off x="1152525" y="381000"/>
          <a:ext cx="76200" cy="2095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76200</xdr:colOff>
      <xdr:row>3</xdr:row>
      <xdr:rowOff>19050</xdr:rowOff>
    </xdr:to>
    <xdr:sp macro="" textlink="">
      <xdr:nvSpPr>
        <xdr:cNvPr id="377271" name="Text Box 449"/>
        <xdr:cNvSpPr txBox="1">
          <a:spLocks noChangeArrowheads="1"/>
        </xdr:cNvSpPr>
      </xdr:nvSpPr>
      <xdr:spPr bwMode="auto">
        <a:xfrm>
          <a:off x="1152525" y="381000"/>
          <a:ext cx="76200" cy="2095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76200</xdr:colOff>
      <xdr:row>3</xdr:row>
      <xdr:rowOff>19050</xdr:rowOff>
    </xdr:to>
    <xdr:sp macro="" textlink="">
      <xdr:nvSpPr>
        <xdr:cNvPr id="377272" name="Text Box 450"/>
        <xdr:cNvSpPr txBox="1">
          <a:spLocks noChangeArrowheads="1"/>
        </xdr:cNvSpPr>
      </xdr:nvSpPr>
      <xdr:spPr bwMode="auto">
        <a:xfrm>
          <a:off x="1152525" y="381000"/>
          <a:ext cx="76200" cy="20955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76200</xdr:colOff>
      <xdr:row>4</xdr:row>
      <xdr:rowOff>19050</xdr:rowOff>
    </xdr:to>
    <xdr:sp macro="" textlink="">
      <xdr:nvSpPr>
        <xdr:cNvPr id="377273" name="Text Box 451"/>
        <xdr:cNvSpPr txBox="1">
          <a:spLocks noChangeArrowheads="1"/>
        </xdr:cNvSpPr>
      </xdr:nvSpPr>
      <xdr:spPr bwMode="auto">
        <a:xfrm>
          <a:off x="1152525" y="571500"/>
          <a:ext cx="76200" cy="20955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76200</xdr:colOff>
      <xdr:row>4</xdr:row>
      <xdr:rowOff>19050</xdr:rowOff>
    </xdr:to>
    <xdr:sp macro="" textlink="">
      <xdr:nvSpPr>
        <xdr:cNvPr id="377274" name="Text Box 452"/>
        <xdr:cNvSpPr txBox="1">
          <a:spLocks noChangeArrowheads="1"/>
        </xdr:cNvSpPr>
      </xdr:nvSpPr>
      <xdr:spPr bwMode="auto">
        <a:xfrm>
          <a:off x="1152525" y="571500"/>
          <a:ext cx="76200" cy="20955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76200</xdr:colOff>
      <xdr:row>4</xdr:row>
      <xdr:rowOff>19050</xdr:rowOff>
    </xdr:to>
    <xdr:sp macro="" textlink="">
      <xdr:nvSpPr>
        <xdr:cNvPr id="377275" name="Text Box 453"/>
        <xdr:cNvSpPr txBox="1">
          <a:spLocks noChangeArrowheads="1"/>
        </xdr:cNvSpPr>
      </xdr:nvSpPr>
      <xdr:spPr bwMode="auto">
        <a:xfrm>
          <a:off x="1152525" y="571500"/>
          <a:ext cx="76200" cy="20955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76200</xdr:colOff>
      <xdr:row>4</xdr:row>
      <xdr:rowOff>19050</xdr:rowOff>
    </xdr:to>
    <xdr:sp macro="" textlink="">
      <xdr:nvSpPr>
        <xdr:cNvPr id="377276" name="Text Box 454"/>
        <xdr:cNvSpPr txBox="1">
          <a:spLocks noChangeArrowheads="1"/>
        </xdr:cNvSpPr>
      </xdr:nvSpPr>
      <xdr:spPr bwMode="auto">
        <a:xfrm>
          <a:off x="1152525" y="571500"/>
          <a:ext cx="76200" cy="20955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76200</xdr:colOff>
      <xdr:row>5</xdr:row>
      <xdr:rowOff>19050</xdr:rowOff>
    </xdr:to>
    <xdr:sp macro="" textlink="">
      <xdr:nvSpPr>
        <xdr:cNvPr id="377277" name="Text Box 455"/>
        <xdr:cNvSpPr txBox="1">
          <a:spLocks noChangeArrowheads="1"/>
        </xdr:cNvSpPr>
      </xdr:nvSpPr>
      <xdr:spPr bwMode="auto">
        <a:xfrm>
          <a:off x="1152525" y="762000"/>
          <a:ext cx="76200" cy="20955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76200</xdr:colOff>
      <xdr:row>5</xdr:row>
      <xdr:rowOff>19050</xdr:rowOff>
    </xdr:to>
    <xdr:sp macro="" textlink="">
      <xdr:nvSpPr>
        <xdr:cNvPr id="377278" name="Text Box 456"/>
        <xdr:cNvSpPr txBox="1">
          <a:spLocks noChangeArrowheads="1"/>
        </xdr:cNvSpPr>
      </xdr:nvSpPr>
      <xdr:spPr bwMode="auto">
        <a:xfrm>
          <a:off x="1152525" y="762000"/>
          <a:ext cx="76200" cy="20955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76200</xdr:colOff>
      <xdr:row>5</xdr:row>
      <xdr:rowOff>19050</xdr:rowOff>
    </xdr:to>
    <xdr:sp macro="" textlink="">
      <xdr:nvSpPr>
        <xdr:cNvPr id="377279" name="Text Box 457"/>
        <xdr:cNvSpPr txBox="1">
          <a:spLocks noChangeArrowheads="1"/>
        </xdr:cNvSpPr>
      </xdr:nvSpPr>
      <xdr:spPr bwMode="auto">
        <a:xfrm>
          <a:off x="1152525" y="762000"/>
          <a:ext cx="76200" cy="20955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76200</xdr:colOff>
      <xdr:row>5</xdr:row>
      <xdr:rowOff>19050</xdr:rowOff>
    </xdr:to>
    <xdr:sp macro="" textlink="">
      <xdr:nvSpPr>
        <xdr:cNvPr id="377280" name="Text Box 458"/>
        <xdr:cNvSpPr txBox="1">
          <a:spLocks noChangeArrowheads="1"/>
        </xdr:cNvSpPr>
      </xdr:nvSpPr>
      <xdr:spPr bwMode="auto">
        <a:xfrm>
          <a:off x="1152525" y="762000"/>
          <a:ext cx="76200" cy="209550"/>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6</xdr:row>
      <xdr:rowOff>19050</xdr:rowOff>
    </xdr:to>
    <xdr:sp macro="" textlink="">
      <xdr:nvSpPr>
        <xdr:cNvPr id="377281" name="Text Box 459"/>
        <xdr:cNvSpPr txBox="1">
          <a:spLocks noChangeArrowheads="1"/>
        </xdr:cNvSpPr>
      </xdr:nvSpPr>
      <xdr:spPr bwMode="auto">
        <a:xfrm>
          <a:off x="1152525" y="952500"/>
          <a:ext cx="76200" cy="209550"/>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6</xdr:row>
      <xdr:rowOff>19050</xdr:rowOff>
    </xdr:to>
    <xdr:sp macro="" textlink="">
      <xdr:nvSpPr>
        <xdr:cNvPr id="377282" name="Text Box 460"/>
        <xdr:cNvSpPr txBox="1">
          <a:spLocks noChangeArrowheads="1"/>
        </xdr:cNvSpPr>
      </xdr:nvSpPr>
      <xdr:spPr bwMode="auto">
        <a:xfrm>
          <a:off x="1152525" y="952500"/>
          <a:ext cx="76200" cy="209550"/>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6</xdr:row>
      <xdr:rowOff>19050</xdr:rowOff>
    </xdr:to>
    <xdr:sp macro="" textlink="">
      <xdr:nvSpPr>
        <xdr:cNvPr id="377283" name="Text Box 461"/>
        <xdr:cNvSpPr txBox="1">
          <a:spLocks noChangeArrowheads="1"/>
        </xdr:cNvSpPr>
      </xdr:nvSpPr>
      <xdr:spPr bwMode="auto">
        <a:xfrm>
          <a:off x="1152525" y="952500"/>
          <a:ext cx="76200" cy="209550"/>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6</xdr:row>
      <xdr:rowOff>19050</xdr:rowOff>
    </xdr:to>
    <xdr:sp macro="" textlink="">
      <xdr:nvSpPr>
        <xdr:cNvPr id="377284" name="Text Box 462"/>
        <xdr:cNvSpPr txBox="1">
          <a:spLocks noChangeArrowheads="1"/>
        </xdr:cNvSpPr>
      </xdr:nvSpPr>
      <xdr:spPr bwMode="auto">
        <a:xfrm>
          <a:off x="1152525" y="952500"/>
          <a:ext cx="76200" cy="209550"/>
        </a:xfrm>
        <a:prstGeom prst="rect">
          <a:avLst/>
        </a:prstGeom>
        <a:noFill/>
        <a:ln w="9525">
          <a:noFill/>
          <a:miter lim="800000"/>
          <a:headEnd/>
          <a:tailEnd/>
        </a:ln>
      </xdr:spPr>
    </xdr:sp>
    <xdr:clientData/>
  </xdr:twoCellAnchor>
  <xdr:twoCellAnchor editAs="oneCell">
    <xdr:from>
      <xdr:col>1</xdr:col>
      <xdr:colOff>0</xdr:colOff>
      <xdr:row>6</xdr:row>
      <xdr:rowOff>0</xdr:rowOff>
    </xdr:from>
    <xdr:to>
      <xdr:col>1</xdr:col>
      <xdr:colOff>76200</xdr:colOff>
      <xdr:row>7</xdr:row>
      <xdr:rowOff>19050</xdr:rowOff>
    </xdr:to>
    <xdr:sp macro="" textlink="">
      <xdr:nvSpPr>
        <xdr:cNvPr id="377285" name="Text Box 463"/>
        <xdr:cNvSpPr txBox="1">
          <a:spLocks noChangeArrowheads="1"/>
        </xdr:cNvSpPr>
      </xdr:nvSpPr>
      <xdr:spPr bwMode="auto">
        <a:xfrm>
          <a:off x="1152525" y="1143000"/>
          <a:ext cx="76200" cy="209550"/>
        </a:xfrm>
        <a:prstGeom prst="rect">
          <a:avLst/>
        </a:prstGeom>
        <a:noFill/>
        <a:ln w="9525">
          <a:noFill/>
          <a:miter lim="800000"/>
          <a:headEnd/>
          <a:tailEnd/>
        </a:ln>
      </xdr:spPr>
    </xdr:sp>
    <xdr:clientData/>
  </xdr:twoCellAnchor>
  <xdr:twoCellAnchor editAs="oneCell">
    <xdr:from>
      <xdr:col>1</xdr:col>
      <xdr:colOff>0</xdr:colOff>
      <xdr:row>6</xdr:row>
      <xdr:rowOff>0</xdr:rowOff>
    </xdr:from>
    <xdr:to>
      <xdr:col>1</xdr:col>
      <xdr:colOff>76200</xdr:colOff>
      <xdr:row>7</xdr:row>
      <xdr:rowOff>19050</xdr:rowOff>
    </xdr:to>
    <xdr:sp macro="" textlink="">
      <xdr:nvSpPr>
        <xdr:cNvPr id="377286" name="Text Box 464"/>
        <xdr:cNvSpPr txBox="1">
          <a:spLocks noChangeArrowheads="1"/>
        </xdr:cNvSpPr>
      </xdr:nvSpPr>
      <xdr:spPr bwMode="auto">
        <a:xfrm>
          <a:off x="1152525" y="1143000"/>
          <a:ext cx="76200" cy="209550"/>
        </a:xfrm>
        <a:prstGeom prst="rect">
          <a:avLst/>
        </a:prstGeom>
        <a:noFill/>
        <a:ln w="9525">
          <a:noFill/>
          <a:miter lim="800000"/>
          <a:headEnd/>
          <a:tailEnd/>
        </a:ln>
      </xdr:spPr>
    </xdr:sp>
    <xdr:clientData/>
  </xdr:twoCellAnchor>
  <xdr:twoCellAnchor editAs="oneCell">
    <xdr:from>
      <xdr:col>1</xdr:col>
      <xdr:colOff>0</xdr:colOff>
      <xdr:row>6</xdr:row>
      <xdr:rowOff>0</xdr:rowOff>
    </xdr:from>
    <xdr:to>
      <xdr:col>1</xdr:col>
      <xdr:colOff>76200</xdr:colOff>
      <xdr:row>7</xdr:row>
      <xdr:rowOff>19050</xdr:rowOff>
    </xdr:to>
    <xdr:sp macro="" textlink="">
      <xdr:nvSpPr>
        <xdr:cNvPr id="377287" name="Text Box 465"/>
        <xdr:cNvSpPr txBox="1">
          <a:spLocks noChangeArrowheads="1"/>
        </xdr:cNvSpPr>
      </xdr:nvSpPr>
      <xdr:spPr bwMode="auto">
        <a:xfrm>
          <a:off x="1152525" y="1143000"/>
          <a:ext cx="76200" cy="209550"/>
        </a:xfrm>
        <a:prstGeom prst="rect">
          <a:avLst/>
        </a:prstGeom>
        <a:noFill/>
        <a:ln w="9525">
          <a:noFill/>
          <a:miter lim="800000"/>
          <a:headEnd/>
          <a:tailEnd/>
        </a:ln>
      </xdr:spPr>
    </xdr:sp>
    <xdr:clientData/>
  </xdr:twoCellAnchor>
  <xdr:twoCellAnchor editAs="oneCell">
    <xdr:from>
      <xdr:col>1</xdr:col>
      <xdr:colOff>0</xdr:colOff>
      <xdr:row>6</xdr:row>
      <xdr:rowOff>0</xdr:rowOff>
    </xdr:from>
    <xdr:to>
      <xdr:col>1</xdr:col>
      <xdr:colOff>76200</xdr:colOff>
      <xdr:row>7</xdr:row>
      <xdr:rowOff>19050</xdr:rowOff>
    </xdr:to>
    <xdr:sp macro="" textlink="">
      <xdr:nvSpPr>
        <xdr:cNvPr id="377288" name="Text Box 466"/>
        <xdr:cNvSpPr txBox="1">
          <a:spLocks noChangeArrowheads="1"/>
        </xdr:cNvSpPr>
      </xdr:nvSpPr>
      <xdr:spPr bwMode="auto">
        <a:xfrm>
          <a:off x="1152525" y="1143000"/>
          <a:ext cx="76200" cy="209550"/>
        </a:xfrm>
        <a:prstGeom prst="rect">
          <a:avLst/>
        </a:prstGeom>
        <a:noFill/>
        <a:ln w="9525">
          <a:noFill/>
          <a:miter lim="800000"/>
          <a:headEnd/>
          <a:tailEnd/>
        </a:ln>
      </xdr:spPr>
    </xdr:sp>
    <xdr:clientData/>
  </xdr:twoCellAnchor>
  <xdr:twoCellAnchor editAs="oneCell">
    <xdr:from>
      <xdr:col>1</xdr:col>
      <xdr:colOff>0</xdr:colOff>
      <xdr:row>7</xdr:row>
      <xdr:rowOff>0</xdr:rowOff>
    </xdr:from>
    <xdr:to>
      <xdr:col>1</xdr:col>
      <xdr:colOff>76200</xdr:colOff>
      <xdr:row>8</xdr:row>
      <xdr:rowOff>19050</xdr:rowOff>
    </xdr:to>
    <xdr:sp macro="" textlink="">
      <xdr:nvSpPr>
        <xdr:cNvPr id="377289" name="Text Box 467"/>
        <xdr:cNvSpPr txBox="1">
          <a:spLocks noChangeArrowheads="1"/>
        </xdr:cNvSpPr>
      </xdr:nvSpPr>
      <xdr:spPr bwMode="auto">
        <a:xfrm>
          <a:off x="1152525" y="1333500"/>
          <a:ext cx="76200" cy="209550"/>
        </a:xfrm>
        <a:prstGeom prst="rect">
          <a:avLst/>
        </a:prstGeom>
        <a:noFill/>
        <a:ln w="9525">
          <a:noFill/>
          <a:miter lim="800000"/>
          <a:headEnd/>
          <a:tailEnd/>
        </a:ln>
      </xdr:spPr>
    </xdr:sp>
    <xdr:clientData/>
  </xdr:twoCellAnchor>
  <xdr:twoCellAnchor editAs="oneCell">
    <xdr:from>
      <xdr:col>1</xdr:col>
      <xdr:colOff>0</xdr:colOff>
      <xdr:row>7</xdr:row>
      <xdr:rowOff>0</xdr:rowOff>
    </xdr:from>
    <xdr:to>
      <xdr:col>1</xdr:col>
      <xdr:colOff>76200</xdr:colOff>
      <xdr:row>8</xdr:row>
      <xdr:rowOff>19050</xdr:rowOff>
    </xdr:to>
    <xdr:sp macro="" textlink="">
      <xdr:nvSpPr>
        <xdr:cNvPr id="377290" name="Text Box 468"/>
        <xdr:cNvSpPr txBox="1">
          <a:spLocks noChangeArrowheads="1"/>
        </xdr:cNvSpPr>
      </xdr:nvSpPr>
      <xdr:spPr bwMode="auto">
        <a:xfrm>
          <a:off x="1152525" y="1333500"/>
          <a:ext cx="76200" cy="209550"/>
        </a:xfrm>
        <a:prstGeom prst="rect">
          <a:avLst/>
        </a:prstGeom>
        <a:noFill/>
        <a:ln w="9525">
          <a:noFill/>
          <a:miter lim="800000"/>
          <a:headEnd/>
          <a:tailEnd/>
        </a:ln>
      </xdr:spPr>
    </xdr:sp>
    <xdr:clientData/>
  </xdr:twoCellAnchor>
  <xdr:twoCellAnchor editAs="oneCell">
    <xdr:from>
      <xdr:col>1</xdr:col>
      <xdr:colOff>0</xdr:colOff>
      <xdr:row>7</xdr:row>
      <xdr:rowOff>0</xdr:rowOff>
    </xdr:from>
    <xdr:to>
      <xdr:col>1</xdr:col>
      <xdr:colOff>76200</xdr:colOff>
      <xdr:row>8</xdr:row>
      <xdr:rowOff>19050</xdr:rowOff>
    </xdr:to>
    <xdr:sp macro="" textlink="">
      <xdr:nvSpPr>
        <xdr:cNvPr id="377291" name="Text Box 469"/>
        <xdr:cNvSpPr txBox="1">
          <a:spLocks noChangeArrowheads="1"/>
        </xdr:cNvSpPr>
      </xdr:nvSpPr>
      <xdr:spPr bwMode="auto">
        <a:xfrm>
          <a:off x="1152525" y="1333500"/>
          <a:ext cx="76200" cy="209550"/>
        </a:xfrm>
        <a:prstGeom prst="rect">
          <a:avLst/>
        </a:prstGeom>
        <a:noFill/>
        <a:ln w="9525">
          <a:noFill/>
          <a:miter lim="800000"/>
          <a:headEnd/>
          <a:tailEnd/>
        </a:ln>
      </xdr:spPr>
    </xdr:sp>
    <xdr:clientData/>
  </xdr:twoCellAnchor>
  <xdr:twoCellAnchor editAs="oneCell">
    <xdr:from>
      <xdr:col>1</xdr:col>
      <xdr:colOff>0</xdr:colOff>
      <xdr:row>7</xdr:row>
      <xdr:rowOff>0</xdr:rowOff>
    </xdr:from>
    <xdr:to>
      <xdr:col>1</xdr:col>
      <xdr:colOff>76200</xdr:colOff>
      <xdr:row>8</xdr:row>
      <xdr:rowOff>19050</xdr:rowOff>
    </xdr:to>
    <xdr:sp macro="" textlink="">
      <xdr:nvSpPr>
        <xdr:cNvPr id="377292" name="Text Box 470"/>
        <xdr:cNvSpPr txBox="1">
          <a:spLocks noChangeArrowheads="1"/>
        </xdr:cNvSpPr>
      </xdr:nvSpPr>
      <xdr:spPr bwMode="auto">
        <a:xfrm>
          <a:off x="1152525" y="1333500"/>
          <a:ext cx="76200" cy="209550"/>
        </a:xfrm>
        <a:prstGeom prst="rect">
          <a:avLst/>
        </a:prstGeom>
        <a:noFill/>
        <a:ln w="9525">
          <a:noFill/>
          <a:miter lim="800000"/>
          <a:headEnd/>
          <a:tailEnd/>
        </a:ln>
      </xdr:spPr>
    </xdr:sp>
    <xdr:clientData/>
  </xdr:twoCellAnchor>
  <xdr:twoCellAnchor editAs="oneCell">
    <xdr:from>
      <xdr:col>1</xdr:col>
      <xdr:colOff>0</xdr:colOff>
      <xdr:row>8</xdr:row>
      <xdr:rowOff>0</xdr:rowOff>
    </xdr:from>
    <xdr:to>
      <xdr:col>1</xdr:col>
      <xdr:colOff>76200</xdr:colOff>
      <xdr:row>9</xdr:row>
      <xdr:rowOff>19050</xdr:rowOff>
    </xdr:to>
    <xdr:sp macro="" textlink="">
      <xdr:nvSpPr>
        <xdr:cNvPr id="377293" name="Text Box 471"/>
        <xdr:cNvSpPr txBox="1">
          <a:spLocks noChangeArrowheads="1"/>
        </xdr:cNvSpPr>
      </xdr:nvSpPr>
      <xdr:spPr bwMode="auto">
        <a:xfrm>
          <a:off x="1152525" y="1524000"/>
          <a:ext cx="76200" cy="209550"/>
        </a:xfrm>
        <a:prstGeom prst="rect">
          <a:avLst/>
        </a:prstGeom>
        <a:noFill/>
        <a:ln w="9525">
          <a:noFill/>
          <a:miter lim="800000"/>
          <a:headEnd/>
          <a:tailEnd/>
        </a:ln>
      </xdr:spPr>
    </xdr:sp>
    <xdr:clientData/>
  </xdr:twoCellAnchor>
  <xdr:twoCellAnchor editAs="oneCell">
    <xdr:from>
      <xdr:col>1</xdr:col>
      <xdr:colOff>0</xdr:colOff>
      <xdr:row>8</xdr:row>
      <xdr:rowOff>0</xdr:rowOff>
    </xdr:from>
    <xdr:to>
      <xdr:col>1</xdr:col>
      <xdr:colOff>76200</xdr:colOff>
      <xdr:row>9</xdr:row>
      <xdr:rowOff>19050</xdr:rowOff>
    </xdr:to>
    <xdr:sp macro="" textlink="">
      <xdr:nvSpPr>
        <xdr:cNvPr id="377294" name="Text Box 472"/>
        <xdr:cNvSpPr txBox="1">
          <a:spLocks noChangeArrowheads="1"/>
        </xdr:cNvSpPr>
      </xdr:nvSpPr>
      <xdr:spPr bwMode="auto">
        <a:xfrm>
          <a:off x="1152525" y="1524000"/>
          <a:ext cx="76200" cy="209550"/>
        </a:xfrm>
        <a:prstGeom prst="rect">
          <a:avLst/>
        </a:prstGeom>
        <a:noFill/>
        <a:ln w="9525">
          <a:noFill/>
          <a:miter lim="800000"/>
          <a:headEnd/>
          <a:tailEnd/>
        </a:ln>
      </xdr:spPr>
    </xdr:sp>
    <xdr:clientData/>
  </xdr:twoCellAnchor>
  <xdr:twoCellAnchor editAs="oneCell">
    <xdr:from>
      <xdr:col>1</xdr:col>
      <xdr:colOff>0</xdr:colOff>
      <xdr:row>8</xdr:row>
      <xdr:rowOff>0</xdr:rowOff>
    </xdr:from>
    <xdr:to>
      <xdr:col>1</xdr:col>
      <xdr:colOff>76200</xdr:colOff>
      <xdr:row>9</xdr:row>
      <xdr:rowOff>19050</xdr:rowOff>
    </xdr:to>
    <xdr:sp macro="" textlink="">
      <xdr:nvSpPr>
        <xdr:cNvPr id="377295" name="Text Box 473"/>
        <xdr:cNvSpPr txBox="1">
          <a:spLocks noChangeArrowheads="1"/>
        </xdr:cNvSpPr>
      </xdr:nvSpPr>
      <xdr:spPr bwMode="auto">
        <a:xfrm>
          <a:off x="1152525" y="1524000"/>
          <a:ext cx="76200" cy="209550"/>
        </a:xfrm>
        <a:prstGeom prst="rect">
          <a:avLst/>
        </a:prstGeom>
        <a:noFill/>
        <a:ln w="9525">
          <a:noFill/>
          <a:miter lim="800000"/>
          <a:headEnd/>
          <a:tailEnd/>
        </a:ln>
      </xdr:spPr>
    </xdr:sp>
    <xdr:clientData/>
  </xdr:twoCellAnchor>
  <xdr:twoCellAnchor editAs="oneCell">
    <xdr:from>
      <xdr:col>1</xdr:col>
      <xdr:colOff>0</xdr:colOff>
      <xdr:row>8</xdr:row>
      <xdr:rowOff>0</xdr:rowOff>
    </xdr:from>
    <xdr:to>
      <xdr:col>1</xdr:col>
      <xdr:colOff>76200</xdr:colOff>
      <xdr:row>9</xdr:row>
      <xdr:rowOff>19050</xdr:rowOff>
    </xdr:to>
    <xdr:sp macro="" textlink="">
      <xdr:nvSpPr>
        <xdr:cNvPr id="377296" name="Text Box 474"/>
        <xdr:cNvSpPr txBox="1">
          <a:spLocks noChangeArrowheads="1"/>
        </xdr:cNvSpPr>
      </xdr:nvSpPr>
      <xdr:spPr bwMode="auto">
        <a:xfrm>
          <a:off x="1152525" y="1524000"/>
          <a:ext cx="76200" cy="20955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76200</xdr:colOff>
      <xdr:row>10</xdr:row>
      <xdr:rowOff>19050</xdr:rowOff>
    </xdr:to>
    <xdr:sp macro="" textlink="">
      <xdr:nvSpPr>
        <xdr:cNvPr id="377297" name="Text Box 475"/>
        <xdr:cNvSpPr txBox="1">
          <a:spLocks noChangeArrowheads="1"/>
        </xdr:cNvSpPr>
      </xdr:nvSpPr>
      <xdr:spPr bwMode="auto">
        <a:xfrm>
          <a:off x="1152525" y="1714500"/>
          <a:ext cx="76200" cy="20955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76200</xdr:colOff>
      <xdr:row>10</xdr:row>
      <xdr:rowOff>19050</xdr:rowOff>
    </xdr:to>
    <xdr:sp macro="" textlink="">
      <xdr:nvSpPr>
        <xdr:cNvPr id="377298" name="Text Box 476"/>
        <xdr:cNvSpPr txBox="1">
          <a:spLocks noChangeArrowheads="1"/>
        </xdr:cNvSpPr>
      </xdr:nvSpPr>
      <xdr:spPr bwMode="auto">
        <a:xfrm>
          <a:off x="1152525" y="1714500"/>
          <a:ext cx="76200" cy="20955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76200</xdr:colOff>
      <xdr:row>10</xdr:row>
      <xdr:rowOff>19050</xdr:rowOff>
    </xdr:to>
    <xdr:sp macro="" textlink="">
      <xdr:nvSpPr>
        <xdr:cNvPr id="377299" name="Text Box 477"/>
        <xdr:cNvSpPr txBox="1">
          <a:spLocks noChangeArrowheads="1"/>
        </xdr:cNvSpPr>
      </xdr:nvSpPr>
      <xdr:spPr bwMode="auto">
        <a:xfrm>
          <a:off x="1152525" y="1714500"/>
          <a:ext cx="76200" cy="20955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76200</xdr:colOff>
      <xdr:row>10</xdr:row>
      <xdr:rowOff>19050</xdr:rowOff>
    </xdr:to>
    <xdr:sp macro="" textlink="">
      <xdr:nvSpPr>
        <xdr:cNvPr id="377300" name="Text Box 478"/>
        <xdr:cNvSpPr txBox="1">
          <a:spLocks noChangeArrowheads="1"/>
        </xdr:cNvSpPr>
      </xdr:nvSpPr>
      <xdr:spPr bwMode="auto">
        <a:xfrm>
          <a:off x="1152525" y="1714500"/>
          <a:ext cx="76200" cy="20955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76200</xdr:colOff>
      <xdr:row>11</xdr:row>
      <xdr:rowOff>19050</xdr:rowOff>
    </xdr:to>
    <xdr:sp macro="" textlink="">
      <xdr:nvSpPr>
        <xdr:cNvPr id="377301" name="Text Box 479"/>
        <xdr:cNvSpPr txBox="1">
          <a:spLocks noChangeArrowheads="1"/>
        </xdr:cNvSpPr>
      </xdr:nvSpPr>
      <xdr:spPr bwMode="auto">
        <a:xfrm>
          <a:off x="1152525" y="1905000"/>
          <a:ext cx="76200" cy="20955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76200</xdr:colOff>
      <xdr:row>11</xdr:row>
      <xdr:rowOff>19050</xdr:rowOff>
    </xdr:to>
    <xdr:sp macro="" textlink="">
      <xdr:nvSpPr>
        <xdr:cNvPr id="377302" name="Text Box 480"/>
        <xdr:cNvSpPr txBox="1">
          <a:spLocks noChangeArrowheads="1"/>
        </xdr:cNvSpPr>
      </xdr:nvSpPr>
      <xdr:spPr bwMode="auto">
        <a:xfrm>
          <a:off x="1152525" y="1905000"/>
          <a:ext cx="76200" cy="20955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76200</xdr:colOff>
      <xdr:row>11</xdr:row>
      <xdr:rowOff>19050</xdr:rowOff>
    </xdr:to>
    <xdr:sp macro="" textlink="">
      <xdr:nvSpPr>
        <xdr:cNvPr id="377303" name="Text Box 481"/>
        <xdr:cNvSpPr txBox="1">
          <a:spLocks noChangeArrowheads="1"/>
        </xdr:cNvSpPr>
      </xdr:nvSpPr>
      <xdr:spPr bwMode="auto">
        <a:xfrm>
          <a:off x="1152525" y="1905000"/>
          <a:ext cx="76200" cy="20955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76200</xdr:colOff>
      <xdr:row>11</xdr:row>
      <xdr:rowOff>19050</xdr:rowOff>
    </xdr:to>
    <xdr:sp macro="" textlink="">
      <xdr:nvSpPr>
        <xdr:cNvPr id="377304" name="Text Box 482"/>
        <xdr:cNvSpPr txBox="1">
          <a:spLocks noChangeArrowheads="1"/>
        </xdr:cNvSpPr>
      </xdr:nvSpPr>
      <xdr:spPr bwMode="auto">
        <a:xfrm>
          <a:off x="1152525" y="1905000"/>
          <a:ext cx="76200" cy="2095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76200</xdr:colOff>
      <xdr:row>12</xdr:row>
      <xdr:rowOff>19050</xdr:rowOff>
    </xdr:to>
    <xdr:sp macro="" textlink="">
      <xdr:nvSpPr>
        <xdr:cNvPr id="377305" name="Text Box 483"/>
        <xdr:cNvSpPr txBox="1">
          <a:spLocks noChangeArrowheads="1"/>
        </xdr:cNvSpPr>
      </xdr:nvSpPr>
      <xdr:spPr bwMode="auto">
        <a:xfrm>
          <a:off x="1152525" y="2095500"/>
          <a:ext cx="76200" cy="2095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76200</xdr:colOff>
      <xdr:row>12</xdr:row>
      <xdr:rowOff>19050</xdr:rowOff>
    </xdr:to>
    <xdr:sp macro="" textlink="">
      <xdr:nvSpPr>
        <xdr:cNvPr id="377306" name="Text Box 484"/>
        <xdr:cNvSpPr txBox="1">
          <a:spLocks noChangeArrowheads="1"/>
        </xdr:cNvSpPr>
      </xdr:nvSpPr>
      <xdr:spPr bwMode="auto">
        <a:xfrm>
          <a:off x="1152525" y="2095500"/>
          <a:ext cx="76200" cy="2095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76200</xdr:colOff>
      <xdr:row>12</xdr:row>
      <xdr:rowOff>19050</xdr:rowOff>
    </xdr:to>
    <xdr:sp macro="" textlink="">
      <xdr:nvSpPr>
        <xdr:cNvPr id="377307" name="Text Box 485"/>
        <xdr:cNvSpPr txBox="1">
          <a:spLocks noChangeArrowheads="1"/>
        </xdr:cNvSpPr>
      </xdr:nvSpPr>
      <xdr:spPr bwMode="auto">
        <a:xfrm>
          <a:off x="1152525" y="2095500"/>
          <a:ext cx="76200" cy="2095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76200</xdr:colOff>
      <xdr:row>12</xdr:row>
      <xdr:rowOff>19050</xdr:rowOff>
    </xdr:to>
    <xdr:sp macro="" textlink="">
      <xdr:nvSpPr>
        <xdr:cNvPr id="377308" name="Text Box 486"/>
        <xdr:cNvSpPr txBox="1">
          <a:spLocks noChangeArrowheads="1"/>
        </xdr:cNvSpPr>
      </xdr:nvSpPr>
      <xdr:spPr bwMode="auto">
        <a:xfrm>
          <a:off x="1152525" y="2095500"/>
          <a:ext cx="76200" cy="209550"/>
        </a:xfrm>
        <a:prstGeom prst="rect">
          <a:avLst/>
        </a:prstGeom>
        <a:noFill/>
        <a:ln w="9525">
          <a:noFill/>
          <a:miter lim="800000"/>
          <a:headEnd/>
          <a:tailEnd/>
        </a:ln>
      </xdr:spPr>
    </xdr:sp>
    <xdr:clientData/>
  </xdr:twoCellAnchor>
  <xdr:twoCellAnchor editAs="oneCell">
    <xdr:from>
      <xdr:col>1</xdr:col>
      <xdr:colOff>0</xdr:colOff>
      <xdr:row>12</xdr:row>
      <xdr:rowOff>0</xdr:rowOff>
    </xdr:from>
    <xdr:to>
      <xdr:col>1</xdr:col>
      <xdr:colOff>76200</xdr:colOff>
      <xdr:row>13</xdr:row>
      <xdr:rowOff>19050</xdr:rowOff>
    </xdr:to>
    <xdr:sp macro="" textlink="">
      <xdr:nvSpPr>
        <xdr:cNvPr id="377309" name="Text Box 487"/>
        <xdr:cNvSpPr txBox="1">
          <a:spLocks noChangeArrowheads="1"/>
        </xdr:cNvSpPr>
      </xdr:nvSpPr>
      <xdr:spPr bwMode="auto">
        <a:xfrm>
          <a:off x="1152525" y="2286000"/>
          <a:ext cx="76200" cy="209550"/>
        </a:xfrm>
        <a:prstGeom prst="rect">
          <a:avLst/>
        </a:prstGeom>
        <a:noFill/>
        <a:ln w="9525">
          <a:noFill/>
          <a:miter lim="800000"/>
          <a:headEnd/>
          <a:tailEnd/>
        </a:ln>
      </xdr:spPr>
    </xdr:sp>
    <xdr:clientData/>
  </xdr:twoCellAnchor>
  <xdr:twoCellAnchor editAs="oneCell">
    <xdr:from>
      <xdr:col>1</xdr:col>
      <xdr:colOff>0</xdr:colOff>
      <xdr:row>12</xdr:row>
      <xdr:rowOff>0</xdr:rowOff>
    </xdr:from>
    <xdr:to>
      <xdr:col>1</xdr:col>
      <xdr:colOff>76200</xdr:colOff>
      <xdr:row>13</xdr:row>
      <xdr:rowOff>19050</xdr:rowOff>
    </xdr:to>
    <xdr:sp macro="" textlink="">
      <xdr:nvSpPr>
        <xdr:cNvPr id="377310" name="Text Box 488"/>
        <xdr:cNvSpPr txBox="1">
          <a:spLocks noChangeArrowheads="1"/>
        </xdr:cNvSpPr>
      </xdr:nvSpPr>
      <xdr:spPr bwMode="auto">
        <a:xfrm>
          <a:off x="1152525" y="2286000"/>
          <a:ext cx="76200" cy="209550"/>
        </a:xfrm>
        <a:prstGeom prst="rect">
          <a:avLst/>
        </a:prstGeom>
        <a:noFill/>
        <a:ln w="9525">
          <a:noFill/>
          <a:miter lim="800000"/>
          <a:headEnd/>
          <a:tailEnd/>
        </a:ln>
      </xdr:spPr>
    </xdr:sp>
    <xdr:clientData/>
  </xdr:twoCellAnchor>
  <xdr:twoCellAnchor editAs="oneCell">
    <xdr:from>
      <xdr:col>1</xdr:col>
      <xdr:colOff>0</xdr:colOff>
      <xdr:row>12</xdr:row>
      <xdr:rowOff>0</xdr:rowOff>
    </xdr:from>
    <xdr:to>
      <xdr:col>1</xdr:col>
      <xdr:colOff>76200</xdr:colOff>
      <xdr:row>13</xdr:row>
      <xdr:rowOff>19050</xdr:rowOff>
    </xdr:to>
    <xdr:sp macro="" textlink="">
      <xdr:nvSpPr>
        <xdr:cNvPr id="377311" name="Text Box 489"/>
        <xdr:cNvSpPr txBox="1">
          <a:spLocks noChangeArrowheads="1"/>
        </xdr:cNvSpPr>
      </xdr:nvSpPr>
      <xdr:spPr bwMode="auto">
        <a:xfrm>
          <a:off x="1152525" y="2286000"/>
          <a:ext cx="76200" cy="209550"/>
        </a:xfrm>
        <a:prstGeom prst="rect">
          <a:avLst/>
        </a:prstGeom>
        <a:noFill/>
        <a:ln w="9525">
          <a:noFill/>
          <a:miter lim="800000"/>
          <a:headEnd/>
          <a:tailEnd/>
        </a:ln>
      </xdr:spPr>
    </xdr:sp>
    <xdr:clientData/>
  </xdr:twoCellAnchor>
  <xdr:twoCellAnchor editAs="oneCell">
    <xdr:from>
      <xdr:col>1</xdr:col>
      <xdr:colOff>0</xdr:colOff>
      <xdr:row>12</xdr:row>
      <xdr:rowOff>0</xdr:rowOff>
    </xdr:from>
    <xdr:to>
      <xdr:col>1</xdr:col>
      <xdr:colOff>76200</xdr:colOff>
      <xdr:row>13</xdr:row>
      <xdr:rowOff>19050</xdr:rowOff>
    </xdr:to>
    <xdr:sp macro="" textlink="">
      <xdr:nvSpPr>
        <xdr:cNvPr id="377312" name="Text Box 490"/>
        <xdr:cNvSpPr txBox="1">
          <a:spLocks noChangeArrowheads="1"/>
        </xdr:cNvSpPr>
      </xdr:nvSpPr>
      <xdr:spPr bwMode="auto">
        <a:xfrm>
          <a:off x="1152525" y="2286000"/>
          <a:ext cx="76200" cy="209550"/>
        </a:xfrm>
        <a:prstGeom prst="rect">
          <a:avLst/>
        </a:prstGeom>
        <a:noFill/>
        <a:ln w="9525">
          <a:noFill/>
          <a:miter lim="800000"/>
          <a:headEnd/>
          <a:tailEnd/>
        </a:ln>
      </xdr:spPr>
    </xdr:sp>
    <xdr:clientData/>
  </xdr:twoCellAnchor>
  <xdr:twoCellAnchor editAs="oneCell">
    <xdr:from>
      <xdr:col>1</xdr:col>
      <xdr:colOff>0</xdr:colOff>
      <xdr:row>13</xdr:row>
      <xdr:rowOff>0</xdr:rowOff>
    </xdr:from>
    <xdr:to>
      <xdr:col>1</xdr:col>
      <xdr:colOff>76200</xdr:colOff>
      <xdr:row>14</xdr:row>
      <xdr:rowOff>19050</xdr:rowOff>
    </xdr:to>
    <xdr:sp macro="" textlink="">
      <xdr:nvSpPr>
        <xdr:cNvPr id="377313" name="Text Box 491"/>
        <xdr:cNvSpPr txBox="1">
          <a:spLocks noChangeArrowheads="1"/>
        </xdr:cNvSpPr>
      </xdr:nvSpPr>
      <xdr:spPr bwMode="auto">
        <a:xfrm>
          <a:off x="1152525" y="2476500"/>
          <a:ext cx="76200" cy="209550"/>
        </a:xfrm>
        <a:prstGeom prst="rect">
          <a:avLst/>
        </a:prstGeom>
        <a:noFill/>
        <a:ln w="9525">
          <a:noFill/>
          <a:miter lim="800000"/>
          <a:headEnd/>
          <a:tailEnd/>
        </a:ln>
      </xdr:spPr>
    </xdr:sp>
    <xdr:clientData/>
  </xdr:twoCellAnchor>
  <xdr:twoCellAnchor editAs="oneCell">
    <xdr:from>
      <xdr:col>1</xdr:col>
      <xdr:colOff>0</xdr:colOff>
      <xdr:row>13</xdr:row>
      <xdr:rowOff>0</xdr:rowOff>
    </xdr:from>
    <xdr:to>
      <xdr:col>1</xdr:col>
      <xdr:colOff>76200</xdr:colOff>
      <xdr:row>14</xdr:row>
      <xdr:rowOff>19050</xdr:rowOff>
    </xdr:to>
    <xdr:sp macro="" textlink="">
      <xdr:nvSpPr>
        <xdr:cNvPr id="377314" name="Text Box 492"/>
        <xdr:cNvSpPr txBox="1">
          <a:spLocks noChangeArrowheads="1"/>
        </xdr:cNvSpPr>
      </xdr:nvSpPr>
      <xdr:spPr bwMode="auto">
        <a:xfrm>
          <a:off x="1152525" y="2476500"/>
          <a:ext cx="76200" cy="209550"/>
        </a:xfrm>
        <a:prstGeom prst="rect">
          <a:avLst/>
        </a:prstGeom>
        <a:noFill/>
        <a:ln w="9525">
          <a:noFill/>
          <a:miter lim="800000"/>
          <a:headEnd/>
          <a:tailEnd/>
        </a:ln>
      </xdr:spPr>
    </xdr:sp>
    <xdr:clientData/>
  </xdr:twoCellAnchor>
  <xdr:twoCellAnchor editAs="oneCell">
    <xdr:from>
      <xdr:col>1</xdr:col>
      <xdr:colOff>0</xdr:colOff>
      <xdr:row>13</xdr:row>
      <xdr:rowOff>0</xdr:rowOff>
    </xdr:from>
    <xdr:to>
      <xdr:col>1</xdr:col>
      <xdr:colOff>76200</xdr:colOff>
      <xdr:row>14</xdr:row>
      <xdr:rowOff>19050</xdr:rowOff>
    </xdr:to>
    <xdr:sp macro="" textlink="">
      <xdr:nvSpPr>
        <xdr:cNvPr id="377315" name="Text Box 493"/>
        <xdr:cNvSpPr txBox="1">
          <a:spLocks noChangeArrowheads="1"/>
        </xdr:cNvSpPr>
      </xdr:nvSpPr>
      <xdr:spPr bwMode="auto">
        <a:xfrm>
          <a:off x="1152525" y="2476500"/>
          <a:ext cx="76200" cy="209550"/>
        </a:xfrm>
        <a:prstGeom prst="rect">
          <a:avLst/>
        </a:prstGeom>
        <a:noFill/>
        <a:ln w="9525">
          <a:noFill/>
          <a:miter lim="800000"/>
          <a:headEnd/>
          <a:tailEnd/>
        </a:ln>
      </xdr:spPr>
    </xdr:sp>
    <xdr:clientData/>
  </xdr:twoCellAnchor>
  <xdr:twoCellAnchor editAs="oneCell">
    <xdr:from>
      <xdr:col>1</xdr:col>
      <xdr:colOff>0</xdr:colOff>
      <xdr:row>13</xdr:row>
      <xdr:rowOff>0</xdr:rowOff>
    </xdr:from>
    <xdr:to>
      <xdr:col>1</xdr:col>
      <xdr:colOff>76200</xdr:colOff>
      <xdr:row>14</xdr:row>
      <xdr:rowOff>19050</xdr:rowOff>
    </xdr:to>
    <xdr:sp macro="" textlink="">
      <xdr:nvSpPr>
        <xdr:cNvPr id="377316" name="Text Box 494"/>
        <xdr:cNvSpPr txBox="1">
          <a:spLocks noChangeArrowheads="1"/>
        </xdr:cNvSpPr>
      </xdr:nvSpPr>
      <xdr:spPr bwMode="auto">
        <a:xfrm>
          <a:off x="1152525" y="2476500"/>
          <a:ext cx="76200" cy="209550"/>
        </a:xfrm>
        <a:prstGeom prst="rect">
          <a:avLst/>
        </a:prstGeom>
        <a:noFill/>
        <a:ln w="9525">
          <a:noFill/>
          <a:miter lim="800000"/>
          <a:headEnd/>
          <a:tailEnd/>
        </a:ln>
      </xdr:spPr>
    </xdr:sp>
    <xdr:clientData/>
  </xdr:twoCellAnchor>
  <xdr:twoCellAnchor editAs="oneCell">
    <xdr:from>
      <xdr:col>1</xdr:col>
      <xdr:colOff>0</xdr:colOff>
      <xdr:row>14</xdr:row>
      <xdr:rowOff>0</xdr:rowOff>
    </xdr:from>
    <xdr:to>
      <xdr:col>1</xdr:col>
      <xdr:colOff>76200</xdr:colOff>
      <xdr:row>15</xdr:row>
      <xdr:rowOff>19050</xdr:rowOff>
    </xdr:to>
    <xdr:sp macro="" textlink="">
      <xdr:nvSpPr>
        <xdr:cNvPr id="377317" name="Text Box 495"/>
        <xdr:cNvSpPr txBox="1">
          <a:spLocks noChangeArrowheads="1"/>
        </xdr:cNvSpPr>
      </xdr:nvSpPr>
      <xdr:spPr bwMode="auto">
        <a:xfrm>
          <a:off x="1152525" y="2667000"/>
          <a:ext cx="76200" cy="209550"/>
        </a:xfrm>
        <a:prstGeom prst="rect">
          <a:avLst/>
        </a:prstGeom>
        <a:noFill/>
        <a:ln w="9525">
          <a:noFill/>
          <a:miter lim="800000"/>
          <a:headEnd/>
          <a:tailEnd/>
        </a:ln>
      </xdr:spPr>
    </xdr:sp>
    <xdr:clientData/>
  </xdr:twoCellAnchor>
  <xdr:twoCellAnchor editAs="oneCell">
    <xdr:from>
      <xdr:col>1</xdr:col>
      <xdr:colOff>0</xdr:colOff>
      <xdr:row>14</xdr:row>
      <xdr:rowOff>0</xdr:rowOff>
    </xdr:from>
    <xdr:to>
      <xdr:col>1</xdr:col>
      <xdr:colOff>76200</xdr:colOff>
      <xdr:row>15</xdr:row>
      <xdr:rowOff>19050</xdr:rowOff>
    </xdr:to>
    <xdr:sp macro="" textlink="">
      <xdr:nvSpPr>
        <xdr:cNvPr id="377318" name="Text Box 496"/>
        <xdr:cNvSpPr txBox="1">
          <a:spLocks noChangeArrowheads="1"/>
        </xdr:cNvSpPr>
      </xdr:nvSpPr>
      <xdr:spPr bwMode="auto">
        <a:xfrm>
          <a:off x="1152525" y="2667000"/>
          <a:ext cx="76200" cy="209550"/>
        </a:xfrm>
        <a:prstGeom prst="rect">
          <a:avLst/>
        </a:prstGeom>
        <a:noFill/>
        <a:ln w="9525">
          <a:noFill/>
          <a:miter lim="800000"/>
          <a:headEnd/>
          <a:tailEnd/>
        </a:ln>
      </xdr:spPr>
    </xdr:sp>
    <xdr:clientData/>
  </xdr:twoCellAnchor>
  <xdr:twoCellAnchor editAs="oneCell">
    <xdr:from>
      <xdr:col>1</xdr:col>
      <xdr:colOff>0</xdr:colOff>
      <xdr:row>14</xdr:row>
      <xdr:rowOff>0</xdr:rowOff>
    </xdr:from>
    <xdr:to>
      <xdr:col>1</xdr:col>
      <xdr:colOff>76200</xdr:colOff>
      <xdr:row>15</xdr:row>
      <xdr:rowOff>19050</xdr:rowOff>
    </xdr:to>
    <xdr:sp macro="" textlink="">
      <xdr:nvSpPr>
        <xdr:cNvPr id="377319" name="Text Box 497"/>
        <xdr:cNvSpPr txBox="1">
          <a:spLocks noChangeArrowheads="1"/>
        </xdr:cNvSpPr>
      </xdr:nvSpPr>
      <xdr:spPr bwMode="auto">
        <a:xfrm>
          <a:off x="1152525" y="2667000"/>
          <a:ext cx="76200" cy="209550"/>
        </a:xfrm>
        <a:prstGeom prst="rect">
          <a:avLst/>
        </a:prstGeom>
        <a:noFill/>
        <a:ln w="9525">
          <a:noFill/>
          <a:miter lim="800000"/>
          <a:headEnd/>
          <a:tailEnd/>
        </a:ln>
      </xdr:spPr>
    </xdr:sp>
    <xdr:clientData/>
  </xdr:twoCellAnchor>
  <xdr:twoCellAnchor editAs="oneCell">
    <xdr:from>
      <xdr:col>1</xdr:col>
      <xdr:colOff>0</xdr:colOff>
      <xdr:row>14</xdr:row>
      <xdr:rowOff>0</xdr:rowOff>
    </xdr:from>
    <xdr:to>
      <xdr:col>1</xdr:col>
      <xdr:colOff>76200</xdr:colOff>
      <xdr:row>15</xdr:row>
      <xdr:rowOff>19050</xdr:rowOff>
    </xdr:to>
    <xdr:sp macro="" textlink="">
      <xdr:nvSpPr>
        <xdr:cNvPr id="377320" name="Text Box 498"/>
        <xdr:cNvSpPr txBox="1">
          <a:spLocks noChangeArrowheads="1"/>
        </xdr:cNvSpPr>
      </xdr:nvSpPr>
      <xdr:spPr bwMode="auto">
        <a:xfrm>
          <a:off x="1152525" y="2667000"/>
          <a:ext cx="76200" cy="20955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76200</xdr:colOff>
      <xdr:row>16</xdr:row>
      <xdr:rowOff>19050</xdr:rowOff>
    </xdr:to>
    <xdr:sp macro="" textlink="">
      <xdr:nvSpPr>
        <xdr:cNvPr id="377321" name="Text Box 499"/>
        <xdr:cNvSpPr txBox="1">
          <a:spLocks noChangeArrowheads="1"/>
        </xdr:cNvSpPr>
      </xdr:nvSpPr>
      <xdr:spPr bwMode="auto">
        <a:xfrm>
          <a:off x="1152525" y="2857500"/>
          <a:ext cx="76200" cy="20955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76200</xdr:colOff>
      <xdr:row>16</xdr:row>
      <xdr:rowOff>19050</xdr:rowOff>
    </xdr:to>
    <xdr:sp macro="" textlink="">
      <xdr:nvSpPr>
        <xdr:cNvPr id="377322" name="Text Box 500"/>
        <xdr:cNvSpPr txBox="1">
          <a:spLocks noChangeArrowheads="1"/>
        </xdr:cNvSpPr>
      </xdr:nvSpPr>
      <xdr:spPr bwMode="auto">
        <a:xfrm>
          <a:off x="1152525" y="2857500"/>
          <a:ext cx="76200" cy="20955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76200</xdr:colOff>
      <xdr:row>16</xdr:row>
      <xdr:rowOff>19050</xdr:rowOff>
    </xdr:to>
    <xdr:sp macro="" textlink="">
      <xdr:nvSpPr>
        <xdr:cNvPr id="377323" name="Text Box 501"/>
        <xdr:cNvSpPr txBox="1">
          <a:spLocks noChangeArrowheads="1"/>
        </xdr:cNvSpPr>
      </xdr:nvSpPr>
      <xdr:spPr bwMode="auto">
        <a:xfrm>
          <a:off x="1152525" y="2857500"/>
          <a:ext cx="76200" cy="20955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76200</xdr:colOff>
      <xdr:row>16</xdr:row>
      <xdr:rowOff>19050</xdr:rowOff>
    </xdr:to>
    <xdr:sp macro="" textlink="">
      <xdr:nvSpPr>
        <xdr:cNvPr id="377324" name="Text Box 502"/>
        <xdr:cNvSpPr txBox="1">
          <a:spLocks noChangeArrowheads="1"/>
        </xdr:cNvSpPr>
      </xdr:nvSpPr>
      <xdr:spPr bwMode="auto">
        <a:xfrm>
          <a:off x="1152525" y="2857500"/>
          <a:ext cx="76200" cy="20955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76200</xdr:colOff>
      <xdr:row>17</xdr:row>
      <xdr:rowOff>19050</xdr:rowOff>
    </xdr:to>
    <xdr:sp macro="" textlink="">
      <xdr:nvSpPr>
        <xdr:cNvPr id="377325" name="Text Box 503"/>
        <xdr:cNvSpPr txBox="1">
          <a:spLocks noChangeArrowheads="1"/>
        </xdr:cNvSpPr>
      </xdr:nvSpPr>
      <xdr:spPr bwMode="auto">
        <a:xfrm>
          <a:off x="1152525" y="3048000"/>
          <a:ext cx="76200" cy="20955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76200</xdr:colOff>
      <xdr:row>17</xdr:row>
      <xdr:rowOff>19050</xdr:rowOff>
    </xdr:to>
    <xdr:sp macro="" textlink="">
      <xdr:nvSpPr>
        <xdr:cNvPr id="377326" name="Text Box 504"/>
        <xdr:cNvSpPr txBox="1">
          <a:spLocks noChangeArrowheads="1"/>
        </xdr:cNvSpPr>
      </xdr:nvSpPr>
      <xdr:spPr bwMode="auto">
        <a:xfrm>
          <a:off x="1152525" y="3048000"/>
          <a:ext cx="76200" cy="20955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76200</xdr:colOff>
      <xdr:row>17</xdr:row>
      <xdr:rowOff>19050</xdr:rowOff>
    </xdr:to>
    <xdr:sp macro="" textlink="">
      <xdr:nvSpPr>
        <xdr:cNvPr id="377327" name="Text Box 505"/>
        <xdr:cNvSpPr txBox="1">
          <a:spLocks noChangeArrowheads="1"/>
        </xdr:cNvSpPr>
      </xdr:nvSpPr>
      <xdr:spPr bwMode="auto">
        <a:xfrm>
          <a:off x="1152525" y="3048000"/>
          <a:ext cx="76200" cy="20955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76200</xdr:colOff>
      <xdr:row>17</xdr:row>
      <xdr:rowOff>19050</xdr:rowOff>
    </xdr:to>
    <xdr:sp macro="" textlink="">
      <xdr:nvSpPr>
        <xdr:cNvPr id="377328" name="Text Box 506"/>
        <xdr:cNvSpPr txBox="1">
          <a:spLocks noChangeArrowheads="1"/>
        </xdr:cNvSpPr>
      </xdr:nvSpPr>
      <xdr:spPr bwMode="auto">
        <a:xfrm>
          <a:off x="1152525" y="3048000"/>
          <a:ext cx="76200" cy="209550"/>
        </a:xfrm>
        <a:prstGeom prst="rect">
          <a:avLst/>
        </a:prstGeom>
        <a:noFill/>
        <a:ln w="9525">
          <a:noFill/>
          <a:miter lim="800000"/>
          <a:headEnd/>
          <a:tailEnd/>
        </a:ln>
      </xdr:spPr>
    </xdr:sp>
    <xdr:clientData/>
  </xdr:twoCellAnchor>
  <xdr:twoCellAnchor editAs="oneCell">
    <xdr:from>
      <xdr:col>1</xdr:col>
      <xdr:colOff>0</xdr:colOff>
      <xdr:row>17</xdr:row>
      <xdr:rowOff>0</xdr:rowOff>
    </xdr:from>
    <xdr:to>
      <xdr:col>1</xdr:col>
      <xdr:colOff>76200</xdr:colOff>
      <xdr:row>18</xdr:row>
      <xdr:rowOff>19050</xdr:rowOff>
    </xdr:to>
    <xdr:sp macro="" textlink="">
      <xdr:nvSpPr>
        <xdr:cNvPr id="377329" name="Text Box 507"/>
        <xdr:cNvSpPr txBox="1">
          <a:spLocks noChangeArrowheads="1"/>
        </xdr:cNvSpPr>
      </xdr:nvSpPr>
      <xdr:spPr bwMode="auto">
        <a:xfrm>
          <a:off x="1152525" y="3238500"/>
          <a:ext cx="76200" cy="209550"/>
        </a:xfrm>
        <a:prstGeom prst="rect">
          <a:avLst/>
        </a:prstGeom>
        <a:noFill/>
        <a:ln w="9525">
          <a:noFill/>
          <a:miter lim="800000"/>
          <a:headEnd/>
          <a:tailEnd/>
        </a:ln>
      </xdr:spPr>
    </xdr:sp>
    <xdr:clientData/>
  </xdr:twoCellAnchor>
  <xdr:twoCellAnchor editAs="oneCell">
    <xdr:from>
      <xdr:col>1</xdr:col>
      <xdr:colOff>0</xdr:colOff>
      <xdr:row>17</xdr:row>
      <xdr:rowOff>0</xdr:rowOff>
    </xdr:from>
    <xdr:to>
      <xdr:col>1</xdr:col>
      <xdr:colOff>76200</xdr:colOff>
      <xdr:row>18</xdr:row>
      <xdr:rowOff>19050</xdr:rowOff>
    </xdr:to>
    <xdr:sp macro="" textlink="">
      <xdr:nvSpPr>
        <xdr:cNvPr id="377330" name="Text Box 508"/>
        <xdr:cNvSpPr txBox="1">
          <a:spLocks noChangeArrowheads="1"/>
        </xdr:cNvSpPr>
      </xdr:nvSpPr>
      <xdr:spPr bwMode="auto">
        <a:xfrm>
          <a:off x="1152525" y="3238500"/>
          <a:ext cx="76200" cy="209550"/>
        </a:xfrm>
        <a:prstGeom prst="rect">
          <a:avLst/>
        </a:prstGeom>
        <a:noFill/>
        <a:ln w="9525">
          <a:noFill/>
          <a:miter lim="800000"/>
          <a:headEnd/>
          <a:tailEnd/>
        </a:ln>
      </xdr:spPr>
    </xdr:sp>
    <xdr:clientData/>
  </xdr:twoCellAnchor>
  <xdr:twoCellAnchor editAs="oneCell">
    <xdr:from>
      <xdr:col>1</xdr:col>
      <xdr:colOff>0</xdr:colOff>
      <xdr:row>17</xdr:row>
      <xdr:rowOff>0</xdr:rowOff>
    </xdr:from>
    <xdr:to>
      <xdr:col>1</xdr:col>
      <xdr:colOff>76200</xdr:colOff>
      <xdr:row>18</xdr:row>
      <xdr:rowOff>19050</xdr:rowOff>
    </xdr:to>
    <xdr:sp macro="" textlink="">
      <xdr:nvSpPr>
        <xdr:cNvPr id="377331" name="Text Box 509"/>
        <xdr:cNvSpPr txBox="1">
          <a:spLocks noChangeArrowheads="1"/>
        </xdr:cNvSpPr>
      </xdr:nvSpPr>
      <xdr:spPr bwMode="auto">
        <a:xfrm>
          <a:off x="1152525" y="3238500"/>
          <a:ext cx="76200" cy="209550"/>
        </a:xfrm>
        <a:prstGeom prst="rect">
          <a:avLst/>
        </a:prstGeom>
        <a:noFill/>
        <a:ln w="9525">
          <a:noFill/>
          <a:miter lim="800000"/>
          <a:headEnd/>
          <a:tailEnd/>
        </a:ln>
      </xdr:spPr>
    </xdr:sp>
    <xdr:clientData/>
  </xdr:twoCellAnchor>
  <xdr:twoCellAnchor editAs="oneCell">
    <xdr:from>
      <xdr:col>1</xdr:col>
      <xdr:colOff>0</xdr:colOff>
      <xdr:row>17</xdr:row>
      <xdr:rowOff>0</xdr:rowOff>
    </xdr:from>
    <xdr:to>
      <xdr:col>1</xdr:col>
      <xdr:colOff>76200</xdr:colOff>
      <xdr:row>18</xdr:row>
      <xdr:rowOff>19050</xdr:rowOff>
    </xdr:to>
    <xdr:sp macro="" textlink="">
      <xdr:nvSpPr>
        <xdr:cNvPr id="377332" name="Text Box 510"/>
        <xdr:cNvSpPr txBox="1">
          <a:spLocks noChangeArrowheads="1"/>
        </xdr:cNvSpPr>
      </xdr:nvSpPr>
      <xdr:spPr bwMode="auto">
        <a:xfrm>
          <a:off x="1152525" y="3238500"/>
          <a:ext cx="76200" cy="209550"/>
        </a:xfrm>
        <a:prstGeom prst="rect">
          <a:avLst/>
        </a:prstGeom>
        <a:noFill/>
        <a:ln w="9525">
          <a:noFill/>
          <a:miter lim="800000"/>
          <a:headEnd/>
          <a:tailEnd/>
        </a:ln>
      </xdr:spPr>
    </xdr:sp>
    <xdr:clientData/>
  </xdr:twoCellAnchor>
  <xdr:twoCellAnchor editAs="oneCell">
    <xdr:from>
      <xdr:col>1</xdr:col>
      <xdr:colOff>0</xdr:colOff>
      <xdr:row>18</xdr:row>
      <xdr:rowOff>0</xdr:rowOff>
    </xdr:from>
    <xdr:to>
      <xdr:col>1</xdr:col>
      <xdr:colOff>76200</xdr:colOff>
      <xdr:row>19</xdr:row>
      <xdr:rowOff>19050</xdr:rowOff>
    </xdr:to>
    <xdr:sp macro="" textlink="">
      <xdr:nvSpPr>
        <xdr:cNvPr id="377333" name="Text Box 511"/>
        <xdr:cNvSpPr txBox="1">
          <a:spLocks noChangeArrowheads="1"/>
        </xdr:cNvSpPr>
      </xdr:nvSpPr>
      <xdr:spPr bwMode="auto">
        <a:xfrm>
          <a:off x="1152525" y="3429000"/>
          <a:ext cx="76200" cy="209550"/>
        </a:xfrm>
        <a:prstGeom prst="rect">
          <a:avLst/>
        </a:prstGeom>
        <a:noFill/>
        <a:ln w="9525">
          <a:noFill/>
          <a:miter lim="800000"/>
          <a:headEnd/>
          <a:tailEnd/>
        </a:ln>
      </xdr:spPr>
    </xdr:sp>
    <xdr:clientData/>
  </xdr:twoCellAnchor>
  <xdr:twoCellAnchor editAs="oneCell">
    <xdr:from>
      <xdr:col>1</xdr:col>
      <xdr:colOff>0</xdr:colOff>
      <xdr:row>18</xdr:row>
      <xdr:rowOff>0</xdr:rowOff>
    </xdr:from>
    <xdr:to>
      <xdr:col>1</xdr:col>
      <xdr:colOff>76200</xdr:colOff>
      <xdr:row>19</xdr:row>
      <xdr:rowOff>19050</xdr:rowOff>
    </xdr:to>
    <xdr:sp macro="" textlink="">
      <xdr:nvSpPr>
        <xdr:cNvPr id="377334" name="Text Box 512"/>
        <xdr:cNvSpPr txBox="1">
          <a:spLocks noChangeArrowheads="1"/>
        </xdr:cNvSpPr>
      </xdr:nvSpPr>
      <xdr:spPr bwMode="auto">
        <a:xfrm>
          <a:off x="1152525" y="3429000"/>
          <a:ext cx="76200" cy="209550"/>
        </a:xfrm>
        <a:prstGeom prst="rect">
          <a:avLst/>
        </a:prstGeom>
        <a:noFill/>
        <a:ln w="9525">
          <a:noFill/>
          <a:miter lim="800000"/>
          <a:headEnd/>
          <a:tailEnd/>
        </a:ln>
      </xdr:spPr>
    </xdr:sp>
    <xdr:clientData/>
  </xdr:twoCellAnchor>
  <xdr:twoCellAnchor editAs="oneCell">
    <xdr:from>
      <xdr:col>1</xdr:col>
      <xdr:colOff>0</xdr:colOff>
      <xdr:row>18</xdr:row>
      <xdr:rowOff>0</xdr:rowOff>
    </xdr:from>
    <xdr:to>
      <xdr:col>1</xdr:col>
      <xdr:colOff>76200</xdr:colOff>
      <xdr:row>19</xdr:row>
      <xdr:rowOff>19050</xdr:rowOff>
    </xdr:to>
    <xdr:sp macro="" textlink="">
      <xdr:nvSpPr>
        <xdr:cNvPr id="377335" name="Text Box 513"/>
        <xdr:cNvSpPr txBox="1">
          <a:spLocks noChangeArrowheads="1"/>
        </xdr:cNvSpPr>
      </xdr:nvSpPr>
      <xdr:spPr bwMode="auto">
        <a:xfrm>
          <a:off x="1152525" y="3429000"/>
          <a:ext cx="76200" cy="209550"/>
        </a:xfrm>
        <a:prstGeom prst="rect">
          <a:avLst/>
        </a:prstGeom>
        <a:noFill/>
        <a:ln w="9525">
          <a:noFill/>
          <a:miter lim="800000"/>
          <a:headEnd/>
          <a:tailEnd/>
        </a:ln>
      </xdr:spPr>
    </xdr:sp>
    <xdr:clientData/>
  </xdr:twoCellAnchor>
  <xdr:twoCellAnchor editAs="oneCell">
    <xdr:from>
      <xdr:col>1</xdr:col>
      <xdr:colOff>0</xdr:colOff>
      <xdr:row>18</xdr:row>
      <xdr:rowOff>0</xdr:rowOff>
    </xdr:from>
    <xdr:to>
      <xdr:col>1</xdr:col>
      <xdr:colOff>76200</xdr:colOff>
      <xdr:row>19</xdr:row>
      <xdr:rowOff>19050</xdr:rowOff>
    </xdr:to>
    <xdr:sp macro="" textlink="">
      <xdr:nvSpPr>
        <xdr:cNvPr id="377336" name="Text Box 514"/>
        <xdr:cNvSpPr txBox="1">
          <a:spLocks noChangeArrowheads="1"/>
        </xdr:cNvSpPr>
      </xdr:nvSpPr>
      <xdr:spPr bwMode="auto">
        <a:xfrm>
          <a:off x="1152525" y="3429000"/>
          <a:ext cx="76200" cy="209550"/>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76200</xdr:colOff>
      <xdr:row>20</xdr:row>
      <xdr:rowOff>19050</xdr:rowOff>
    </xdr:to>
    <xdr:sp macro="" textlink="">
      <xdr:nvSpPr>
        <xdr:cNvPr id="377337" name="Text Box 515"/>
        <xdr:cNvSpPr txBox="1">
          <a:spLocks noChangeArrowheads="1"/>
        </xdr:cNvSpPr>
      </xdr:nvSpPr>
      <xdr:spPr bwMode="auto">
        <a:xfrm>
          <a:off x="1152525" y="3619500"/>
          <a:ext cx="76200" cy="209550"/>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76200</xdr:colOff>
      <xdr:row>20</xdr:row>
      <xdr:rowOff>19050</xdr:rowOff>
    </xdr:to>
    <xdr:sp macro="" textlink="">
      <xdr:nvSpPr>
        <xdr:cNvPr id="377338" name="Text Box 516"/>
        <xdr:cNvSpPr txBox="1">
          <a:spLocks noChangeArrowheads="1"/>
        </xdr:cNvSpPr>
      </xdr:nvSpPr>
      <xdr:spPr bwMode="auto">
        <a:xfrm>
          <a:off x="1152525" y="3619500"/>
          <a:ext cx="76200" cy="209550"/>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76200</xdr:colOff>
      <xdr:row>20</xdr:row>
      <xdr:rowOff>19050</xdr:rowOff>
    </xdr:to>
    <xdr:sp macro="" textlink="">
      <xdr:nvSpPr>
        <xdr:cNvPr id="377339" name="Text Box 517"/>
        <xdr:cNvSpPr txBox="1">
          <a:spLocks noChangeArrowheads="1"/>
        </xdr:cNvSpPr>
      </xdr:nvSpPr>
      <xdr:spPr bwMode="auto">
        <a:xfrm>
          <a:off x="1152525" y="3619500"/>
          <a:ext cx="76200" cy="209550"/>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76200</xdr:colOff>
      <xdr:row>20</xdr:row>
      <xdr:rowOff>19050</xdr:rowOff>
    </xdr:to>
    <xdr:sp macro="" textlink="">
      <xdr:nvSpPr>
        <xdr:cNvPr id="377340" name="Text Box 518"/>
        <xdr:cNvSpPr txBox="1">
          <a:spLocks noChangeArrowheads="1"/>
        </xdr:cNvSpPr>
      </xdr:nvSpPr>
      <xdr:spPr bwMode="auto">
        <a:xfrm>
          <a:off x="1152525" y="3619500"/>
          <a:ext cx="76200" cy="209550"/>
        </a:xfrm>
        <a:prstGeom prst="rect">
          <a:avLst/>
        </a:prstGeom>
        <a:noFill/>
        <a:ln w="9525">
          <a:noFill/>
          <a:miter lim="800000"/>
          <a:headEnd/>
          <a:tailEnd/>
        </a:ln>
      </xdr:spPr>
    </xdr:sp>
    <xdr:clientData/>
  </xdr:twoCellAnchor>
  <xdr:twoCellAnchor editAs="oneCell">
    <xdr:from>
      <xdr:col>1</xdr:col>
      <xdr:colOff>0</xdr:colOff>
      <xdr:row>20</xdr:row>
      <xdr:rowOff>0</xdr:rowOff>
    </xdr:from>
    <xdr:to>
      <xdr:col>1</xdr:col>
      <xdr:colOff>76200</xdr:colOff>
      <xdr:row>21</xdr:row>
      <xdr:rowOff>19050</xdr:rowOff>
    </xdr:to>
    <xdr:sp macro="" textlink="">
      <xdr:nvSpPr>
        <xdr:cNvPr id="377341" name="Text Box 519"/>
        <xdr:cNvSpPr txBox="1">
          <a:spLocks noChangeArrowheads="1"/>
        </xdr:cNvSpPr>
      </xdr:nvSpPr>
      <xdr:spPr bwMode="auto">
        <a:xfrm>
          <a:off x="1152525" y="3810000"/>
          <a:ext cx="76200" cy="209550"/>
        </a:xfrm>
        <a:prstGeom prst="rect">
          <a:avLst/>
        </a:prstGeom>
        <a:noFill/>
        <a:ln w="9525">
          <a:noFill/>
          <a:miter lim="800000"/>
          <a:headEnd/>
          <a:tailEnd/>
        </a:ln>
      </xdr:spPr>
    </xdr:sp>
    <xdr:clientData/>
  </xdr:twoCellAnchor>
  <xdr:twoCellAnchor editAs="oneCell">
    <xdr:from>
      <xdr:col>1</xdr:col>
      <xdr:colOff>0</xdr:colOff>
      <xdr:row>20</xdr:row>
      <xdr:rowOff>0</xdr:rowOff>
    </xdr:from>
    <xdr:to>
      <xdr:col>1</xdr:col>
      <xdr:colOff>76200</xdr:colOff>
      <xdr:row>21</xdr:row>
      <xdr:rowOff>19050</xdr:rowOff>
    </xdr:to>
    <xdr:sp macro="" textlink="">
      <xdr:nvSpPr>
        <xdr:cNvPr id="377342" name="Text Box 520"/>
        <xdr:cNvSpPr txBox="1">
          <a:spLocks noChangeArrowheads="1"/>
        </xdr:cNvSpPr>
      </xdr:nvSpPr>
      <xdr:spPr bwMode="auto">
        <a:xfrm>
          <a:off x="1152525" y="3810000"/>
          <a:ext cx="76200" cy="209550"/>
        </a:xfrm>
        <a:prstGeom prst="rect">
          <a:avLst/>
        </a:prstGeom>
        <a:noFill/>
        <a:ln w="9525">
          <a:noFill/>
          <a:miter lim="800000"/>
          <a:headEnd/>
          <a:tailEnd/>
        </a:ln>
      </xdr:spPr>
    </xdr:sp>
    <xdr:clientData/>
  </xdr:twoCellAnchor>
  <xdr:twoCellAnchor editAs="oneCell">
    <xdr:from>
      <xdr:col>1</xdr:col>
      <xdr:colOff>0</xdr:colOff>
      <xdr:row>20</xdr:row>
      <xdr:rowOff>0</xdr:rowOff>
    </xdr:from>
    <xdr:to>
      <xdr:col>1</xdr:col>
      <xdr:colOff>76200</xdr:colOff>
      <xdr:row>21</xdr:row>
      <xdr:rowOff>19050</xdr:rowOff>
    </xdr:to>
    <xdr:sp macro="" textlink="">
      <xdr:nvSpPr>
        <xdr:cNvPr id="377343" name="Text Box 521"/>
        <xdr:cNvSpPr txBox="1">
          <a:spLocks noChangeArrowheads="1"/>
        </xdr:cNvSpPr>
      </xdr:nvSpPr>
      <xdr:spPr bwMode="auto">
        <a:xfrm>
          <a:off x="1152525" y="3810000"/>
          <a:ext cx="76200" cy="209550"/>
        </a:xfrm>
        <a:prstGeom prst="rect">
          <a:avLst/>
        </a:prstGeom>
        <a:noFill/>
        <a:ln w="9525">
          <a:noFill/>
          <a:miter lim="800000"/>
          <a:headEnd/>
          <a:tailEnd/>
        </a:ln>
      </xdr:spPr>
    </xdr:sp>
    <xdr:clientData/>
  </xdr:twoCellAnchor>
  <xdr:twoCellAnchor editAs="oneCell">
    <xdr:from>
      <xdr:col>1</xdr:col>
      <xdr:colOff>0</xdr:colOff>
      <xdr:row>20</xdr:row>
      <xdr:rowOff>0</xdr:rowOff>
    </xdr:from>
    <xdr:to>
      <xdr:col>1</xdr:col>
      <xdr:colOff>76200</xdr:colOff>
      <xdr:row>21</xdr:row>
      <xdr:rowOff>19050</xdr:rowOff>
    </xdr:to>
    <xdr:sp macro="" textlink="">
      <xdr:nvSpPr>
        <xdr:cNvPr id="377344" name="Text Box 522"/>
        <xdr:cNvSpPr txBox="1">
          <a:spLocks noChangeArrowheads="1"/>
        </xdr:cNvSpPr>
      </xdr:nvSpPr>
      <xdr:spPr bwMode="auto">
        <a:xfrm>
          <a:off x="1152525" y="3810000"/>
          <a:ext cx="76200" cy="209550"/>
        </a:xfrm>
        <a:prstGeom prst="rect">
          <a:avLst/>
        </a:prstGeom>
        <a:noFill/>
        <a:ln w="9525">
          <a:noFill/>
          <a:miter lim="800000"/>
          <a:headEnd/>
          <a:tailEnd/>
        </a:ln>
      </xdr:spPr>
    </xdr:sp>
    <xdr:clientData/>
  </xdr:twoCellAnchor>
  <xdr:twoCellAnchor editAs="oneCell">
    <xdr:from>
      <xdr:col>1</xdr:col>
      <xdr:colOff>0</xdr:colOff>
      <xdr:row>21</xdr:row>
      <xdr:rowOff>0</xdr:rowOff>
    </xdr:from>
    <xdr:to>
      <xdr:col>1</xdr:col>
      <xdr:colOff>76200</xdr:colOff>
      <xdr:row>22</xdr:row>
      <xdr:rowOff>19050</xdr:rowOff>
    </xdr:to>
    <xdr:sp macro="" textlink="">
      <xdr:nvSpPr>
        <xdr:cNvPr id="377345" name="Text Box 523"/>
        <xdr:cNvSpPr txBox="1">
          <a:spLocks noChangeArrowheads="1"/>
        </xdr:cNvSpPr>
      </xdr:nvSpPr>
      <xdr:spPr bwMode="auto">
        <a:xfrm>
          <a:off x="1152525" y="4000500"/>
          <a:ext cx="76200" cy="209550"/>
        </a:xfrm>
        <a:prstGeom prst="rect">
          <a:avLst/>
        </a:prstGeom>
        <a:noFill/>
        <a:ln w="9525">
          <a:noFill/>
          <a:miter lim="800000"/>
          <a:headEnd/>
          <a:tailEnd/>
        </a:ln>
      </xdr:spPr>
    </xdr:sp>
    <xdr:clientData/>
  </xdr:twoCellAnchor>
  <xdr:twoCellAnchor editAs="oneCell">
    <xdr:from>
      <xdr:col>1</xdr:col>
      <xdr:colOff>0</xdr:colOff>
      <xdr:row>21</xdr:row>
      <xdr:rowOff>0</xdr:rowOff>
    </xdr:from>
    <xdr:to>
      <xdr:col>1</xdr:col>
      <xdr:colOff>76200</xdr:colOff>
      <xdr:row>22</xdr:row>
      <xdr:rowOff>19050</xdr:rowOff>
    </xdr:to>
    <xdr:sp macro="" textlink="">
      <xdr:nvSpPr>
        <xdr:cNvPr id="377346" name="Text Box 524"/>
        <xdr:cNvSpPr txBox="1">
          <a:spLocks noChangeArrowheads="1"/>
        </xdr:cNvSpPr>
      </xdr:nvSpPr>
      <xdr:spPr bwMode="auto">
        <a:xfrm>
          <a:off x="1152525" y="4000500"/>
          <a:ext cx="76200" cy="209550"/>
        </a:xfrm>
        <a:prstGeom prst="rect">
          <a:avLst/>
        </a:prstGeom>
        <a:noFill/>
        <a:ln w="9525">
          <a:noFill/>
          <a:miter lim="800000"/>
          <a:headEnd/>
          <a:tailEnd/>
        </a:ln>
      </xdr:spPr>
    </xdr:sp>
    <xdr:clientData/>
  </xdr:twoCellAnchor>
  <xdr:twoCellAnchor editAs="oneCell">
    <xdr:from>
      <xdr:col>1</xdr:col>
      <xdr:colOff>0</xdr:colOff>
      <xdr:row>21</xdr:row>
      <xdr:rowOff>0</xdr:rowOff>
    </xdr:from>
    <xdr:to>
      <xdr:col>1</xdr:col>
      <xdr:colOff>76200</xdr:colOff>
      <xdr:row>22</xdr:row>
      <xdr:rowOff>19050</xdr:rowOff>
    </xdr:to>
    <xdr:sp macro="" textlink="">
      <xdr:nvSpPr>
        <xdr:cNvPr id="377347" name="Text Box 525"/>
        <xdr:cNvSpPr txBox="1">
          <a:spLocks noChangeArrowheads="1"/>
        </xdr:cNvSpPr>
      </xdr:nvSpPr>
      <xdr:spPr bwMode="auto">
        <a:xfrm>
          <a:off x="1152525" y="4000500"/>
          <a:ext cx="76200" cy="209550"/>
        </a:xfrm>
        <a:prstGeom prst="rect">
          <a:avLst/>
        </a:prstGeom>
        <a:noFill/>
        <a:ln w="9525">
          <a:noFill/>
          <a:miter lim="800000"/>
          <a:headEnd/>
          <a:tailEnd/>
        </a:ln>
      </xdr:spPr>
    </xdr:sp>
    <xdr:clientData/>
  </xdr:twoCellAnchor>
  <xdr:twoCellAnchor editAs="oneCell">
    <xdr:from>
      <xdr:col>1</xdr:col>
      <xdr:colOff>0</xdr:colOff>
      <xdr:row>21</xdr:row>
      <xdr:rowOff>0</xdr:rowOff>
    </xdr:from>
    <xdr:to>
      <xdr:col>1</xdr:col>
      <xdr:colOff>76200</xdr:colOff>
      <xdr:row>22</xdr:row>
      <xdr:rowOff>19050</xdr:rowOff>
    </xdr:to>
    <xdr:sp macro="" textlink="">
      <xdr:nvSpPr>
        <xdr:cNvPr id="377348" name="Text Box 526"/>
        <xdr:cNvSpPr txBox="1">
          <a:spLocks noChangeArrowheads="1"/>
        </xdr:cNvSpPr>
      </xdr:nvSpPr>
      <xdr:spPr bwMode="auto">
        <a:xfrm>
          <a:off x="1152525" y="4000500"/>
          <a:ext cx="76200" cy="209550"/>
        </a:xfrm>
        <a:prstGeom prst="rect">
          <a:avLst/>
        </a:prstGeom>
        <a:noFill/>
        <a:ln w="9525">
          <a:noFill/>
          <a:miter lim="800000"/>
          <a:headEnd/>
          <a:tailEnd/>
        </a:ln>
      </xdr:spPr>
    </xdr:sp>
    <xdr:clientData/>
  </xdr:twoCellAnchor>
  <xdr:twoCellAnchor editAs="oneCell">
    <xdr:from>
      <xdr:col>1</xdr:col>
      <xdr:colOff>0</xdr:colOff>
      <xdr:row>22</xdr:row>
      <xdr:rowOff>0</xdr:rowOff>
    </xdr:from>
    <xdr:to>
      <xdr:col>1</xdr:col>
      <xdr:colOff>76200</xdr:colOff>
      <xdr:row>23</xdr:row>
      <xdr:rowOff>19050</xdr:rowOff>
    </xdr:to>
    <xdr:sp macro="" textlink="">
      <xdr:nvSpPr>
        <xdr:cNvPr id="377349" name="Text Box 527"/>
        <xdr:cNvSpPr txBox="1">
          <a:spLocks noChangeArrowheads="1"/>
        </xdr:cNvSpPr>
      </xdr:nvSpPr>
      <xdr:spPr bwMode="auto">
        <a:xfrm>
          <a:off x="1152525" y="4191000"/>
          <a:ext cx="76200" cy="209550"/>
        </a:xfrm>
        <a:prstGeom prst="rect">
          <a:avLst/>
        </a:prstGeom>
        <a:noFill/>
        <a:ln w="9525">
          <a:noFill/>
          <a:miter lim="800000"/>
          <a:headEnd/>
          <a:tailEnd/>
        </a:ln>
      </xdr:spPr>
    </xdr:sp>
    <xdr:clientData/>
  </xdr:twoCellAnchor>
  <xdr:twoCellAnchor editAs="oneCell">
    <xdr:from>
      <xdr:col>1</xdr:col>
      <xdr:colOff>0</xdr:colOff>
      <xdr:row>22</xdr:row>
      <xdr:rowOff>0</xdr:rowOff>
    </xdr:from>
    <xdr:to>
      <xdr:col>1</xdr:col>
      <xdr:colOff>76200</xdr:colOff>
      <xdr:row>23</xdr:row>
      <xdr:rowOff>19050</xdr:rowOff>
    </xdr:to>
    <xdr:sp macro="" textlink="">
      <xdr:nvSpPr>
        <xdr:cNvPr id="377350" name="Text Box 528"/>
        <xdr:cNvSpPr txBox="1">
          <a:spLocks noChangeArrowheads="1"/>
        </xdr:cNvSpPr>
      </xdr:nvSpPr>
      <xdr:spPr bwMode="auto">
        <a:xfrm>
          <a:off x="1152525" y="4191000"/>
          <a:ext cx="76200" cy="209550"/>
        </a:xfrm>
        <a:prstGeom prst="rect">
          <a:avLst/>
        </a:prstGeom>
        <a:noFill/>
        <a:ln w="9525">
          <a:noFill/>
          <a:miter lim="800000"/>
          <a:headEnd/>
          <a:tailEnd/>
        </a:ln>
      </xdr:spPr>
    </xdr:sp>
    <xdr:clientData/>
  </xdr:twoCellAnchor>
  <xdr:twoCellAnchor editAs="oneCell">
    <xdr:from>
      <xdr:col>1</xdr:col>
      <xdr:colOff>0</xdr:colOff>
      <xdr:row>22</xdr:row>
      <xdr:rowOff>0</xdr:rowOff>
    </xdr:from>
    <xdr:to>
      <xdr:col>1</xdr:col>
      <xdr:colOff>76200</xdr:colOff>
      <xdr:row>23</xdr:row>
      <xdr:rowOff>19050</xdr:rowOff>
    </xdr:to>
    <xdr:sp macro="" textlink="">
      <xdr:nvSpPr>
        <xdr:cNvPr id="377351" name="Text Box 529"/>
        <xdr:cNvSpPr txBox="1">
          <a:spLocks noChangeArrowheads="1"/>
        </xdr:cNvSpPr>
      </xdr:nvSpPr>
      <xdr:spPr bwMode="auto">
        <a:xfrm>
          <a:off x="1152525" y="4191000"/>
          <a:ext cx="76200" cy="209550"/>
        </a:xfrm>
        <a:prstGeom prst="rect">
          <a:avLst/>
        </a:prstGeom>
        <a:noFill/>
        <a:ln w="9525">
          <a:noFill/>
          <a:miter lim="800000"/>
          <a:headEnd/>
          <a:tailEnd/>
        </a:ln>
      </xdr:spPr>
    </xdr:sp>
    <xdr:clientData/>
  </xdr:twoCellAnchor>
  <xdr:twoCellAnchor editAs="oneCell">
    <xdr:from>
      <xdr:col>1</xdr:col>
      <xdr:colOff>0</xdr:colOff>
      <xdr:row>22</xdr:row>
      <xdr:rowOff>0</xdr:rowOff>
    </xdr:from>
    <xdr:to>
      <xdr:col>1</xdr:col>
      <xdr:colOff>76200</xdr:colOff>
      <xdr:row>23</xdr:row>
      <xdr:rowOff>19050</xdr:rowOff>
    </xdr:to>
    <xdr:sp macro="" textlink="">
      <xdr:nvSpPr>
        <xdr:cNvPr id="377352" name="Text Box 530"/>
        <xdr:cNvSpPr txBox="1">
          <a:spLocks noChangeArrowheads="1"/>
        </xdr:cNvSpPr>
      </xdr:nvSpPr>
      <xdr:spPr bwMode="auto">
        <a:xfrm>
          <a:off x="1152525" y="4191000"/>
          <a:ext cx="76200" cy="209550"/>
        </a:xfrm>
        <a:prstGeom prst="rect">
          <a:avLst/>
        </a:prstGeom>
        <a:noFill/>
        <a:ln w="9525">
          <a:noFill/>
          <a:miter lim="800000"/>
          <a:headEnd/>
          <a:tailEnd/>
        </a:ln>
      </xdr:spPr>
    </xdr:sp>
    <xdr:clientData/>
  </xdr:twoCellAnchor>
  <xdr:twoCellAnchor editAs="oneCell">
    <xdr:from>
      <xdr:col>1</xdr:col>
      <xdr:colOff>0</xdr:colOff>
      <xdr:row>23</xdr:row>
      <xdr:rowOff>0</xdr:rowOff>
    </xdr:from>
    <xdr:to>
      <xdr:col>1</xdr:col>
      <xdr:colOff>76200</xdr:colOff>
      <xdr:row>24</xdr:row>
      <xdr:rowOff>19050</xdr:rowOff>
    </xdr:to>
    <xdr:sp macro="" textlink="">
      <xdr:nvSpPr>
        <xdr:cNvPr id="377353" name="Text Box 531"/>
        <xdr:cNvSpPr txBox="1">
          <a:spLocks noChangeArrowheads="1"/>
        </xdr:cNvSpPr>
      </xdr:nvSpPr>
      <xdr:spPr bwMode="auto">
        <a:xfrm>
          <a:off x="1152525" y="4381500"/>
          <a:ext cx="76200" cy="209550"/>
        </a:xfrm>
        <a:prstGeom prst="rect">
          <a:avLst/>
        </a:prstGeom>
        <a:noFill/>
        <a:ln w="9525">
          <a:noFill/>
          <a:miter lim="800000"/>
          <a:headEnd/>
          <a:tailEnd/>
        </a:ln>
      </xdr:spPr>
    </xdr:sp>
    <xdr:clientData/>
  </xdr:twoCellAnchor>
  <xdr:twoCellAnchor editAs="oneCell">
    <xdr:from>
      <xdr:col>1</xdr:col>
      <xdr:colOff>0</xdr:colOff>
      <xdr:row>23</xdr:row>
      <xdr:rowOff>0</xdr:rowOff>
    </xdr:from>
    <xdr:to>
      <xdr:col>1</xdr:col>
      <xdr:colOff>76200</xdr:colOff>
      <xdr:row>24</xdr:row>
      <xdr:rowOff>19050</xdr:rowOff>
    </xdr:to>
    <xdr:sp macro="" textlink="">
      <xdr:nvSpPr>
        <xdr:cNvPr id="377354" name="Text Box 532"/>
        <xdr:cNvSpPr txBox="1">
          <a:spLocks noChangeArrowheads="1"/>
        </xdr:cNvSpPr>
      </xdr:nvSpPr>
      <xdr:spPr bwMode="auto">
        <a:xfrm>
          <a:off x="1152525" y="4381500"/>
          <a:ext cx="76200" cy="209550"/>
        </a:xfrm>
        <a:prstGeom prst="rect">
          <a:avLst/>
        </a:prstGeom>
        <a:noFill/>
        <a:ln w="9525">
          <a:noFill/>
          <a:miter lim="800000"/>
          <a:headEnd/>
          <a:tailEnd/>
        </a:ln>
      </xdr:spPr>
    </xdr:sp>
    <xdr:clientData/>
  </xdr:twoCellAnchor>
  <xdr:twoCellAnchor editAs="oneCell">
    <xdr:from>
      <xdr:col>1</xdr:col>
      <xdr:colOff>0</xdr:colOff>
      <xdr:row>23</xdr:row>
      <xdr:rowOff>0</xdr:rowOff>
    </xdr:from>
    <xdr:to>
      <xdr:col>1</xdr:col>
      <xdr:colOff>76200</xdr:colOff>
      <xdr:row>24</xdr:row>
      <xdr:rowOff>19050</xdr:rowOff>
    </xdr:to>
    <xdr:sp macro="" textlink="">
      <xdr:nvSpPr>
        <xdr:cNvPr id="377355" name="Text Box 533"/>
        <xdr:cNvSpPr txBox="1">
          <a:spLocks noChangeArrowheads="1"/>
        </xdr:cNvSpPr>
      </xdr:nvSpPr>
      <xdr:spPr bwMode="auto">
        <a:xfrm>
          <a:off x="1152525" y="4381500"/>
          <a:ext cx="76200" cy="209550"/>
        </a:xfrm>
        <a:prstGeom prst="rect">
          <a:avLst/>
        </a:prstGeom>
        <a:noFill/>
        <a:ln w="9525">
          <a:noFill/>
          <a:miter lim="800000"/>
          <a:headEnd/>
          <a:tailEnd/>
        </a:ln>
      </xdr:spPr>
    </xdr:sp>
    <xdr:clientData/>
  </xdr:twoCellAnchor>
  <xdr:twoCellAnchor editAs="oneCell">
    <xdr:from>
      <xdr:col>1</xdr:col>
      <xdr:colOff>0</xdr:colOff>
      <xdr:row>23</xdr:row>
      <xdr:rowOff>0</xdr:rowOff>
    </xdr:from>
    <xdr:to>
      <xdr:col>1</xdr:col>
      <xdr:colOff>76200</xdr:colOff>
      <xdr:row>24</xdr:row>
      <xdr:rowOff>19050</xdr:rowOff>
    </xdr:to>
    <xdr:sp macro="" textlink="">
      <xdr:nvSpPr>
        <xdr:cNvPr id="377356" name="Text Box 534"/>
        <xdr:cNvSpPr txBox="1">
          <a:spLocks noChangeArrowheads="1"/>
        </xdr:cNvSpPr>
      </xdr:nvSpPr>
      <xdr:spPr bwMode="auto">
        <a:xfrm>
          <a:off x="1152525" y="4381500"/>
          <a:ext cx="76200" cy="209550"/>
        </a:xfrm>
        <a:prstGeom prst="rect">
          <a:avLst/>
        </a:prstGeom>
        <a:noFill/>
        <a:ln w="9525">
          <a:noFill/>
          <a:miter lim="800000"/>
          <a:headEnd/>
          <a:tailEnd/>
        </a:ln>
      </xdr:spPr>
    </xdr:sp>
    <xdr:clientData/>
  </xdr:twoCellAnchor>
  <xdr:twoCellAnchor editAs="oneCell">
    <xdr:from>
      <xdr:col>1</xdr:col>
      <xdr:colOff>0</xdr:colOff>
      <xdr:row>24</xdr:row>
      <xdr:rowOff>0</xdr:rowOff>
    </xdr:from>
    <xdr:to>
      <xdr:col>1</xdr:col>
      <xdr:colOff>76200</xdr:colOff>
      <xdr:row>25</xdr:row>
      <xdr:rowOff>19050</xdr:rowOff>
    </xdr:to>
    <xdr:sp macro="" textlink="">
      <xdr:nvSpPr>
        <xdr:cNvPr id="377357" name="Text Box 535"/>
        <xdr:cNvSpPr txBox="1">
          <a:spLocks noChangeArrowheads="1"/>
        </xdr:cNvSpPr>
      </xdr:nvSpPr>
      <xdr:spPr bwMode="auto">
        <a:xfrm>
          <a:off x="1152525" y="4572000"/>
          <a:ext cx="76200" cy="209550"/>
        </a:xfrm>
        <a:prstGeom prst="rect">
          <a:avLst/>
        </a:prstGeom>
        <a:noFill/>
        <a:ln w="9525">
          <a:noFill/>
          <a:miter lim="800000"/>
          <a:headEnd/>
          <a:tailEnd/>
        </a:ln>
      </xdr:spPr>
    </xdr:sp>
    <xdr:clientData/>
  </xdr:twoCellAnchor>
  <xdr:twoCellAnchor editAs="oneCell">
    <xdr:from>
      <xdr:col>1</xdr:col>
      <xdr:colOff>0</xdr:colOff>
      <xdr:row>24</xdr:row>
      <xdr:rowOff>0</xdr:rowOff>
    </xdr:from>
    <xdr:to>
      <xdr:col>1</xdr:col>
      <xdr:colOff>76200</xdr:colOff>
      <xdr:row>25</xdr:row>
      <xdr:rowOff>19050</xdr:rowOff>
    </xdr:to>
    <xdr:sp macro="" textlink="">
      <xdr:nvSpPr>
        <xdr:cNvPr id="377358" name="Text Box 536"/>
        <xdr:cNvSpPr txBox="1">
          <a:spLocks noChangeArrowheads="1"/>
        </xdr:cNvSpPr>
      </xdr:nvSpPr>
      <xdr:spPr bwMode="auto">
        <a:xfrm>
          <a:off x="1152525" y="4572000"/>
          <a:ext cx="76200" cy="209550"/>
        </a:xfrm>
        <a:prstGeom prst="rect">
          <a:avLst/>
        </a:prstGeom>
        <a:noFill/>
        <a:ln w="9525">
          <a:noFill/>
          <a:miter lim="800000"/>
          <a:headEnd/>
          <a:tailEnd/>
        </a:ln>
      </xdr:spPr>
    </xdr:sp>
    <xdr:clientData/>
  </xdr:twoCellAnchor>
  <xdr:twoCellAnchor editAs="oneCell">
    <xdr:from>
      <xdr:col>1</xdr:col>
      <xdr:colOff>0</xdr:colOff>
      <xdr:row>24</xdr:row>
      <xdr:rowOff>0</xdr:rowOff>
    </xdr:from>
    <xdr:to>
      <xdr:col>1</xdr:col>
      <xdr:colOff>76200</xdr:colOff>
      <xdr:row>25</xdr:row>
      <xdr:rowOff>19050</xdr:rowOff>
    </xdr:to>
    <xdr:sp macro="" textlink="">
      <xdr:nvSpPr>
        <xdr:cNvPr id="377359" name="Text Box 537"/>
        <xdr:cNvSpPr txBox="1">
          <a:spLocks noChangeArrowheads="1"/>
        </xdr:cNvSpPr>
      </xdr:nvSpPr>
      <xdr:spPr bwMode="auto">
        <a:xfrm>
          <a:off x="1152525" y="4572000"/>
          <a:ext cx="76200" cy="209550"/>
        </a:xfrm>
        <a:prstGeom prst="rect">
          <a:avLst/>
        </a:prstGeom>
        <a:noFill/>
        <a:ln w="9525">
          <a:noFill/>
          <a:miter lim="800000"/>
          <a:headEnd/>
          <a:tailEnd/>
        </a:ln>
      </xdr:spPr>
    </xdr:sp>
    <xdr:clientData/>
  </xdr:twoCellAnchor>
  <xdr:twoCellAnchor editAs="oneCell">
    <xdr:from>
      <xdr:col>1</xdr:col>
      <xdr:colOff>0</xdr:colOff>
      <xdr:row>24</xdr:row>
      <xdr:rowOff>0</xdr:rowOff>
    </xdr:from>
    <xdr:to>
      <xdr:col>1</xdr:col>
      <xdr:colOff>76200</xdr:colOff>
      <xdr:row>25</xdr:row>
      <xdr:rowOff>19050</xdr:rowOff>
    </xdr:to>
    <xdr:sp macro="" textlink="">
      <xdr:nvSpPr>
        <xdr:cNvPr id="377360" name="Text Box 538"/>
        <xdr:cNvSpPr txBox="1">
          <a:spLocks noChangeArrowheads="1"/>
        </xdr:cNvSpPr>
      </xdr:nvSpPr>
      <xdr:spPr bwMode="auto">
        <a:xfrm>
          <a:off x="1152525" y="4572000"/>
          <a:ext cx="76200" cy="20955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76200</xdr:colOff>
      <xdr:row>26</xdr:row>
      <xdr:rowOff>19050</xdr:rowOff>
    </xdr:to>
    <xdr:sp macro="" textlink="">
      <xdr:nvSpPr>
        <xdr:cNvPr id="377361" name="Text Box 539"/>
        <xdr:cNvSpPr txBox="1">
          <a:spLocks noChangeArrowheads="1"/>
        </xdr:cNvSpPr>
      </xdr:nvSpPr>
      <xdr:spPr bwMode="auto">
        <a:xfrm>
          <a:off x="1152525" y="4762500"/>
          <a:ext cx="76200" cy="20955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76200</xdr:colOff>
      <xdr:row>26</xdr:row>
      <xdr:rowOff>19050</xdr:rowOff>
    </xdr:to>
    <xdr:sp macro="" textlink="">
      <xdr:nvSpPr>
        <xdr:cNvPr id="377362" name="Text Box 540"/>
        <xdr:cNvSpPr txBox="1">
          <a:spLocks noChangeArrowheads="1"/>
        </xdr:cNvSpPr>
      </xdr:nvSpPr>
      <xdr:spPr bwMode="auto">
        <a:xfrm>
          <a:off x="1152525" y="4762500"/>
          <a:ext cx="76200" cy="20955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76200</xdr:colOff>
      <xdr:row>26</xdr:row>
      <xdr:rowOff>19050</xdr:rowOff>
    </xdr:to>
    <xdr:sp macro="" textlink="">
      <xdr:nvSpPr>
        <xdr:cNvPr id="377363" name="Text Box 541"/>
        <xdr:cNvSpPr txBox="1">
          <a:spLocks noChangeArrowheads="1"/>
        </xdr:cNvSpPr>
      </xdr:nvSpPr>
      <xdr:spPr bwMode="auto">
        <a:xfrm>
          <a:off x="1152525" y="4762500"/>
          <a:ext cx="76200" cy="20955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76200</xdr:colOff>
      <xdr:row>26</xdr:row>
      <xdr:rowOff>19050</xdr:rowOff>
    </xdr:to>
    <xdr:sp macro="" textlink="">
      <xdr:nvSpPr>
        <xdr:cNvPr id="377364" name="Text Box 542"/>
        <xdr:cNvSpPr txBox="1">
          <a:spLocks noChangeArrowheads="1"/>
        </xdr:cNvSpPr>
      </xdr:nvSpPr>
      <xdr:spPr bwMode="auto">
        <a:xfrm>
          <a:off x="1152525" y="4762500"/>
          <a:ext cx="76200" cy="20955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76200</xdr:colOff>
      <xdr:row>27</xdr:row>
      <xdr:rowOff>19050</xdr:rowOff>
    </xdr:to>
    <xdr:sp macro="" textlink="">
      <xdr:nvSpPr>
        <xdr:cNvPr id="377365" name="Text Box 543"/>
        <xdr:cNvSpPr txBox="1">
          <a:spLocks noChangeArrowheads="1"/>
        </xdr:cNvSpPr>
      </xdr:nvSpPr>
      <xdr:spPr bwMode="auto">
        <a:xfrm>
          <a:off x="1152525" y="4953000"/>
          <a:ext cx="76200" cy="20955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76200</xdr:colOff>
      <xdr:row>27</xdr:row>
      <xdr:rowOff>19050</xdr:rowOff>
    </xdr:to>
    <xdr:sp macro="" textlink="">
      <xdr:nvSpPr>
        <xdr:cNvPr id="377366" name="Text Box 544"/>
        <xdr:cNvSpPr txBox="1">
          <a:spLocks noChangeArrowheads="1"/>
        </xdr:cNvSpPr>
      </xdr:nvSpPr>
      <xdr:spPr bwMode="auto">
        <a:xfrm>
          <a:off x="1152525" y="4953000"/>
          <a:ext cx="76200" cy="20955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76200</xdr:colOff>
      <xdr:row>27</xdr:row>
      <xdr:rowOff>19050</xdr:rowOff>
    </xdr:to>
    <xdr:sp macro="" textlink="">
      <xdr:nvSpPr>
        <xdr:cNvPr id="377367" name="Text Box 545"/>
        <xdr:cNvSpPr txBox="1">
          <a:spLocks noChangeArrowheads="1"/>
        </xdr:cNvSpPr>
      </xdr:nvSpPr>
      <xdr:spPr bwMode="auto">
        <a:xfrm>
          <a:off x="1152525" y="4953000"/>
          <a:ext cx="76200" cy="20955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76200</xdr:colOff>
      <xdr:row>27</xdr:row>
      <xdr:rowOff>19050</xdr:rowOff>
    </xdr:to>
    <xdr:sp macro="" textlink="">
      <xdr:nvSpPr>
        <xdr:cNvPr id="377368" name="Text Box 546"/>
        <xdr:cNvSpPr txBox="1">
          <a:spLocks noChangeArrowheads="1"/>
        </xdr:cNvSpPr>
      </xdr:nvSpPr>
      <xdr:spPr bwMode="auto">
        <a:xfrm>
          <a:off x="1152525" y="4953000"/>
          <a:ext cx="76200" cy="209550"/>
        </a:xfrm>
        <a:prstGeom prst="rect">
          <a:avLst/>
        </a:prstGeom>
        <a:noFill/>
        <a:ln w="9525">
          <a:noFill/>
          <a:miter lim="800000"/>
          <a:headEnd/>
          <a:tailEnd/>
        </a:ln>
      </xdr:spPr>
    </xdr:sp>
    <xdr:clientData/>
  </xdr:twoCellAnchor>
  <xdr:twoCellAnchor editAs="oneCell">
    <xdr:from>
      <xdr:col>1</xdr:col>
      <xdr:colOff>0</xdr:colOff>
      <xdr:row>27</xdr:row>
      <xdr:rowOff>0</xdr:rowOff>
    </xdr:from>
    <xdr:to>
      <xdr:col>1</xdr:col>
      <xdr:colOff>76200</xdr:colOff>
      <xdr:row>28</xdr:row>
      <xdr:rowOff>19050</xdr:rowOff>
    </xdr:to>
    <xdr:sp macro="" textlink="">
      <xdr:nvSpPr>
        <xdr:cNvPr id="377369" name="Text Box 547"/>
        <xdr:cNvSpPr txBox="1">
          <a:spLocks noChangeArrowheads="1"/>
        </xdr:cNvSpPr>
      </xdr:nvSpPr>
      <xdr:spPr bwMode="auto">
        <a:xfrm>
          <a:off x="1152525" y="5143500"/>
          <a:ext cx="76200" cy="209550"/>
        </a:xfrm>
        <a:prstGeom prst="rect">
          <a:avLst/>
        </a:prstGeom>
        <a:noFill/>
        <a:ln w="9525">
          <a:noFill/>
          <a:miter lim="800000"/>
          <a:headEnd/>
          <a:tailEnd/>
        </a:ln>
      </xdr:spPr>
    </xdr:sp>
    <xdr:clientData/>
  </xdr:twoCellAnchor>
  <xdr:twoCellAnchor editAs="oneCell">
    <xdr:from>
      <xdr:col>1</xdr:col>
      <xdr:colOff>0</xdr:colOff>
      <xdr:row>27</xdr:row>
      <xdr:rowOff>0</xdr:rowOff>
    </xdr:from>
    <xdr:to>
      <xdr:col>1</xdr:col>
      <xdr:colOff>76200</xdr:colOff>
      <xdr:row>28</xdr:row>
      <xdr:rowOff>19050</xdr:rowOff>
    </xdr:to>
    <xdr:sp macro="" textlink="">
      <xdr:nvSpPr>
        <xdr:cNvPr id="377370" name="Text Box 548"/>
        <xdr:cNvSpPr txBox="1">
          <a:spLocks noChangeArrowheads="1"/>
        </xdr:cNvSpPr>
      </xdr:nvSpPr>
      <xdr:spPr bwMode="auto">
        <a:xfrm>
          <a:off x="1152525" y="5143500"/>
          <a:ext cx="76200" cy="209550"/>
        </a:xfrm>
        <a:prstGeom prst="rect">
          <a:avLst/>
        </a:prstGeom>
        <a:noFill/>
        <a:ln w="9525">
          <a:noFill/>
          <a:miter lim="800000"/>
          <a:headEnd/>
          <a:tailEnd/>
        </a:ln>
      </xdr:spPr>
    </xdr:sp>
    <xdr:clientData/>
  </xdr:twoCellAnchor>
  <xdr:twoCellAnchor editAs="oneCell">
    <xdr:from>
      <xdr:col>1</xdr:col>
      <xdr:colOff>0</xdr:colOff>
      <xdr:row>27</xdr:row>
      <xdr:rowOff>0</xdr:rowOff>
    </xdr:from>
    <xdr:to>
      <xdr:col>1</xdr:col>
      <xdr:colOff>76200</xdr:colOff>
      <xdr:row>28</xdr:row>
      <xdr:rowOff>19050</xdr:rowOff>
    </xdr:to>
    <xdr:sp macro="" textlink="">
      <xdr:nvSpPr>
        <xdr:cNvPr id="377371" name="Text Box 549"/>
        <xdr:cNvSpPr txBox="1">
          <a:spLocks noChangeArrowheads="1"/>
        </xdr:cNvSpPr>
      </xdr:nvSpPr>
      <xdr:spPr bwMode="auto">
        <a:xfrm>
          <a:off x="1152525" y="5143500"/>
          <a:ext cx="76200" cy="209550"/>
        </a:xfrm>
        <a:prstGeom prst="rect">
          <a:avLst/>
        </a:prstGeom>
        <a:noFill/>
        <a:ln w="9525">
          <a:noFill/>
          <a:miter lim="800000"/>
          <a:headEnd/>
          <a:tailEnd/>
        </a:ln>
      </xdr:spPr>
    </xdr:sp>
    <xdr:clientData/>
  </xdr:twoCellAnchor>
  <xdr:twoCellAnchor editAs="oneCell">
    <xdr:from>
      <xdr:col>1</xdr:col>
      <xdr:colOff>0</xdr:colOff>
      <xdr:row>27</xdr:row>
      <xdr:rowOff>0</xdr:rowOff>
    </xdr:from>
    <xdr:to>
      <xdr:col>1</xdr:col>
      <xdr:colOff>76200</xdr:colOff>
      <xdr:row>28</xdr:row>
      <xdr:rowOff>19050</xdr:rowOff>
    </xdr:to>
    <xdr:sp macro="" textlink="">
      <xdr:nvSpPr>
        <xdr:cNvPr id="377372" name="Text Box 550"/>
        <xdr:cNvSpPr txBox="1">
          <a:spLocks noChangeArrowheads="1"/>
        </xdr:cNvSpPr>
      </xdr:nvSpPr>
      <xdr:spPr bwMode="auto">
        <a:xfrm>
          <a:off x="1152525" y="5143500"/>
          <a:ext cx="76200" cy="209550"/>
        </a:xfrm>
        <a:prstGeom prst="rect">
          <a:avLst/>
        </a:prstGeom>
        <a:noFill/>
        <a:ln w="9525">
          <a:noFill/>
          <a:miter lim="800000"/>
          <a:headEnd/>
          <a:tailEnd/>
        </a:ln>
      </xdr:spPr>
    </xdr:sp>
    <xdr:clientData/>
  </xdr:twoCellAnchor>
  <xdr:twoCellAnchor editAs="oneCell">
    <xdr:from>
      <xdr:col>1</xdr:col>
      <xdr:colOff>0</xdr:colOff>
      <xdr:row>28</xdr:row>
      <xdr:rowOff>0</xdr:rowOff>
    </xdr:from>
    <xdr:to>
      <xdr:col>1</xdr:col>
      <xdr:colOff>76200</xdr:colOff>
      <xdr:row>29</xdr:row>
      <xdr:rowOff>19050</xdr:rowOff>
    </xdr:to>
    <xdr:sp macro="" textlink="">
      <xdr:nvSpPr>
        <xdr:cNvPr id="377373" name="Text Box 551"/>
        <xdr:cNvSpPr txBox="1">
          <a:spLocks noChangeArrowheads="1"/>
        </xdr:cNvSpPr>
      </xdr:nvSpPr>
      <xdr:spPr bwMode="auto">
        <a:xfrm>
          <a:off x="1152525" y="5334000"/>
          <a:ext cx="76200" cy="209550"/>
        </a:xfrm>
        <a:prstGeom prst="rect">
          <a:avLst/>
        </a:prstGeom>
        <a:noFill/>
        <a:ln w="9525">
          <a:noFill/>
          <a:miter lim="800000"/>
          <a:headEnd/>
          <a:tailEnd/>
        </a:ln>
      </xdr:spPr>
    </xdr:sp>
    <xdr:clientData/>
  </xdr:twoCellAnchor>
  <xdr:twoCellAnchor editAs="oneCell">
    <xdr:from>
      <xdr:col>1</xdr:col>
      <xdr:colOff>0</xdr:colOff>
      <xdr:row>28</xdr:row>
      <xdr:rowOff>0</xdr:rowOff>
    </xdr:from>
    <xdr:to>
      <xdr:col>1</xdr:col>
      <xdr:colOff>76200</xdr:colOff>
      <xdr:row>29</xdr:row>
      <xdr:rowOff>19050</xdr:rowOff>
    </xdr:to>
    <xdr:sp macro="" textlink="">
      <xdr:nvSpPr>
        <xdr:cNvPr id="377374" name="Text Box 552"/>
        <xdr:cNvSpPr txBox="1">
          <a:spLocks noChangeArrowheads="1"/>
        </xdr:cNvSpPr>
      </xdr:nvSpPr>
      <xdr:spPr bwMode="auto">
        <a:xfrm>
          <a:off x="1152525" y="5334000"/>
          <a:ext cx="76200" cy="209550"/>
        </a:xfrm>
        <a:prstGeom prst="rect">
          <a:avLst/>
        </a:prstGeom>
        <a:noFill/>
        <a:ln w="9525">
          <a:noFill/>
          <a:miter lim="800000"/>
          <a:headEnd/>
          <a:tailEnd/>
        </a:ln>
      </xdr:spPr>
    </xdr:sp>
    <xdr:clientData/>
  </xdr:twoCellAnchor>
  <xdr:twoCellAnchor editAs="oneCell">
    <xdr:from>
      <xdr:col>1</xdr:col>
      <xdr:colOff>0</xdr:colOff>
      <xdr:row>28</xdr:row>
      <xdr:rowOff>0</xdr:rowOff>
    </xdr:from>
    <xdr:to>
      <xdr:col>1</xdr:col>
      <xdr:colOff>76200</xdr:colOff>
      <xdr:row>29</xdr:row>
      <xdr:rowOff>19050</xdr:rowOff>
    </xdr:to>
    <xdr:sp macro="" textlink="">
      <xdr:nvSpPr>
        <xdr:cNvPr id="377375" name="Text Box 553"/>
        <xdr:cNvSpPr txBox="1">
          <a:spLocks noChangeArrowheads="1"/>
        </xdr:cNvSpPr>
      </xdr:nvSpPr>
      <xdr:spPr bwMode="auto">
        <a:xfrm>
          <a:off x="1152525" y="5334000"/>
          <a:ext cx="76200" cy="209550"/>
        </a:xfrm>
        <a:prstGeom prst="rect">
          <a:avLst/>
        </a:prstGeom>
        <a:noFill/>
        <a:ln w="9525">
          <a:noFill/>
          <a:miter lim="800000"/>
          <a:headEnd/>
          <a:tailEnd/>
        </a:ln>
      </xdr:spPr>
    </xdr:sp>
    <xdr:clientData/>
  </xdr:twoCellAnchor>
  <xdr:twoCellAnchor editAs="oneCell">
    <xdr:from>
      <xdr:col>1</xdr:col>
      <xdr:colOff>0</xdr:colOff>
      <xdr:row>28</xdr:row>
      <xdr:rowOff>0</xdr:rowOff>
    </xdr:from>
    <xdr:to>
      <xdr:col>1</xdr:col>
      <xdr:colOff>76200</xdr:colOff>
      <xdr:row>29</xdr:row>
      <xdr:rowOff>19050</xdr:rowOff>
    </xdr:to>
    <xdr:sp macro="" textlink="">
      <xdr:nvSpPr>
        <xdr:cNvPr id="377376" name="Text Box 554"/>
        <xdr:cNvSpPr txBox="1">
          <a:spLocks noChangeArrowheads="1"/>
        </xdr:cNvSpPr>
      </xdr:nvSpPr>
      <xdr:spPr bwMode="auto">
        <a:xfrm>
          <a:off x="1152525" y="5334000"/>
          <a:ext cx="76200" cy="20955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76200</xdr:colOff>
      <xdr:row>30</xdr:row>
      <xdr:rowOff>19050</xdr:rowOff>
    </xdr:to>
    <xdr:sp macro="" textlink="">
      <xdr:nvSpPr>
        <xdr:cNvPr id="377377" name="Text Box 555"/>
        <xdr:cNvSpPr txBox="1">
          <a:spLocks noChangeArrowheads="1"/>
        </xdr:cNvSpPr>
      </xdr:nvSpPr>
      <xdr:spPr bwMode="auto">
        <a:xfrm>
          <a:off x="1152525" y="5524500"/>
          <a:ext cx="76200" cy="20955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76200</xdr:colOff>
      <xdr:row>30</xdr:row>
      <xdr:rowOff>19050</xdr:rowOff>
    </xdr:to>
    <xdr:sp macro="" textlink="">
      <xdr:nvSpPr>
        <xdr:cNvPr id="377378" name="Text Box 556"/>
        <xdr:cNvSpPr txBox="1">
          <a:spLocks noChangeArrowheads="1"/>
        </xdr:cNvSpPr>
      </xdr:nvSpPr>
      <xdr:spPr bwMode="auto">
        <a:xfrm>
          <a:off x="1152525" y="5524500"/>
          <a:ext cx="76200" cy="20955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76200</xdr:colOff>
      <xdr:row>30</xdr:row>
      <xdr:rowOff>19050</xdr:rowOff>
    </xdr:to>
    <xdr:sp macro="" textlink="">
      <xdr:nvSpPr>
        <xdr:cNvPr id="377379" name="Text Box 557"/>
        <xdr:cNvSpPr txBox="1">
          <a:spLocks noChangeArrowheads="1"/>
        </xdr:cNvSpPr>
      </xdr:nvSpPr>
      <xdr:spPr bwMode="auto">
        <a:xfrm>
          <a:off x="1152525" y="5524500"/>
          <a:ext cx="76200" cy="20955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76200</xdr:colOff>
      <xdr:row>30</xdr:row>
      <xdr:rowOff>19050</xdr:rowOff>
    </xdr:to>
    <xdr:sp macro="" textlink="">
      <xdr:nvSpPr>
        <xdr:cNvPr id="377380" name="Text Box 558"/>
        <xdr:cNvSpPr txBox="1">
          <a:spLocks noChangeArrowheads="1"/>
        </xdr:cNvSpPr>
      </xdr:nvSpPr>
      <xdr:spPr bwMode="auto">
        <a:xfrm>
          <a:off x="1152525" y="5524500"/>
          <a:ext cx="76200" cy="209550"/>
        </a:xfrm>
        <a:prstGeom prst="rect">
          <a:avLst/>
        </a:prstGeom>
        <a:noFill/>
        <a:ln w="9525">
          <a:noFill/>
          <a:miter lim="800000"/>
          <a:headEnd/>
          <a:tailEnd/>
        </a:ln>
      </xdr:spPr>
    </xdr:sp>
    <xdr:clientData/>
  </xdr:twoCellAnchor>
  <xdr:twoCellAnchor editAs="oneCell">
    <xdr:from>
      <xdr:col>1</xdr:col>
      <xdr:colOff>0</xdr:colOff>
      <xdr:row>30</xdr:row>
      <xdr:rowOff>0</xdr:rowOff>
    </xdr:from>
    <xdr:to>
      <xdr:col>1</xdr:col>
      <xdr:colOff>76200</xdr:colOff>
      <xdr:row>31</xdr:row>
      <xdr:rowOff>19050</xdr:rowOff>
    </xdr:to>
    <xdr:sp macro="" textlink="">
      <xdr:nvSpPr>
        <xdr:cNvPr id="377381" name="Text Box 559"/>
        <xdr:cNvSpPr txBox="1">
          <a:spLocks noChangeArrowheads="1"/>
        </xdr:cNvSpPr>
      </xdr:nvSpPr>
      <xdr:spPr bwMode="auto">
        <a:xfrm>
          <a:off x="1152525" y="5715000"/>
          <a:ext cx="76200" cy="209550"/>
        </a:xfrm>
        <a:prstGeom prst="rect">
          <a:avLst/>
        </a:prstGeom>
        <a:noFill/>
        <a:ln w="9525">
          <a:noFill/>
          <a:miter lim="800000"/>
          <a:headEnd/>
          <a:tailEnd/>
        </a:ln>
      </xdr:spPr>
    </xdr:sp>
    <xdr:clientData/>
  </xdr:twoCellAnchor>
  <xdr:twoCellAnchor editAs="oneCell">
    <xdr:from>
      <xdr:col>1</xdr:col>
      <xdr:colOff>0</xdr:colOff>
      <xdr:row>30</xdr:row>
      <xdr:rowOff>0</xdr:rowOff>
    </xdr:from>
    <xdr:to>
      <xdr:col>1</xdr:col>
      <xdr:colOff>76200</xdr:colOff>
      <xdr:row>31</xdr:row>
      <xdr:rowOff>19050</xdr:rowOff>
    </xdr:to>
    <xdr:sp macro="" textlink="">
      <xdr:nvSpPr>
        <xdr:cNvPr id="377382" name="Text Box 560"/>
        <xdr:cNvSpPr txBox="1">
          <a:spLocks noChangeArrowheads="1"/>
        </xdr:cNvSpPr>
      </xdr:nvSpPr>
      <xdr:spPr bwMode="auto">
        <a:xfrm>
          <a:off x="1152525" y="5715000"/>
          <a:ext cx="76200" cy="209550"/>
        </a:xfrm>
        <a:prstGeom prst="rect">
          <a:avLst/>
        </a:prstGeom>
        <a:noFill/>
        <a:ln w="9525">
          <a:noFill/>
          <a:miter lim="800000"/>
          <a:headEnd/>
          <a:tailEnd/>
        </a:ln>
      </xdr:spPr>
    </xdr:sp>
    <xdr:clientData/>
  </xdr:twoCellAnchor>
  <xdr:twoCellAnchor editAs="oneCell">
    <xdr:from>
      <xdr:col>1</xdr:col>
      <xdr:colOff>0</xdr:colOff>
      <xdr:row>30</xdr:row>
      <xdr:rowOff>0</xdr:rowOff>
    </xdr:from>
    <xdr:to>
      <xdr:col>1</xdr:col>
      <xdr:colOff>76200</xdr:colOff>
      <xdr:row>31</xdr:row>
      <xdr:rowOff>19050</xdr:rowOff>
    </xdr:to>
    <xdr:sp macro="" textlink="">
      <xdr:nvSpPr>
        <xdr:cNvPr id="377383" name="Text Box 561"/>
        <xdr:cNvSpPr txBox="1">
          <a:spLocks noChangeArrowheads="1"/>
        </xdr:cNvSpPr>
      </xdr:nvSpPr>
      <xdr:spPr bwMode="auto">
        <a:xfrm>
          <a:off x="1152525" y="5715000"/>
          <a:ext cx="76200" cy="209550"/>
        </a:xfrm>
        <a:prstGeom prst="rect">
          <a:avLst/>
        </a:prstGeom>
        <a:noFill/>
        <a:ln w="9525">
          <a:noFill/>
          <a:miter lim="800000"/>
          <a:headEnd/>
          <a:tailEnd/>
        </a:ln>
      </xdr:spPr>
    </xdr:sp>
    <xdr:clientData/>
  </xdr:twoCellAnchor>
  <xdr:twoCellAnchor editAs="oneCell">
    <xdr:from>
      <xdr:col>1</xdr:col>
      <xdr:colOff>0</xdr:colOff>
      <xdr:row>30</xdr:row>
      <xdr:rowOff>0</xdr:rowOff>
    </xdr:from>
    <xdr:to>
      <xdr:col>1</xdr:col>
      <xdr:colOff>76200</xdr:colOff>
      <xdr:row>31</xdr:row>
      <xdr:rowOff>19050</xdr:rowOff>
    </xdr:to>
    <xdr:sp macro="" textlink="">
      <xdr:nvSpPr>
        <xdr:cNvPr id="377384" name="Text Box 562"/>
        <xdr:cNvSpPr txBox="1">
          <a:spLocks noChangeArrowheads="1"/>
        </xdr:cNvSpPr>
      </xdr:nvSpPr>
      <xdr:spPr bwMode="auto">
        <a:xfrm>
          <a:off x="1152525" y="5715000"/>
          <a:ext cx="76200" cy="209550"/>
        </a:xfrm>
        <a:prstGeom prst="rect">
          <a:avLst/>
        </a:prstGeom>
        <a:noFill/>
        <a:ln w="9525">
          <a:noFill/>
          <a:miter lim="800000"/>
          <a:headEnd/>
          <a:tailEnd/>
        </a:ln>
      </xdr:spPr>
    </xdr:sp>
    <xdr:clientData/>
  </xdr:twoCellAnchor>
  <xdr:twoCellAnchor editAs="oneCell">
    <xdr:from>
      <xdr:col>1</xdr:col>
      <xdr:colOff>0</xdr:colOff>
      <xdr:row>31</xdr:row>
      <xdr:rowOff>0</xdr:rowOff>
    </xdr:from>
    <xdr:to>
      <xdr:col>1</xdr:col>
      <xdr:colOff>76200</xdr:colOff>
      <xdr:row>32</xdr:row>
      <xdr:rowOff>19050</xdr:rowOff>
    </xdr:to>
    <xdr:sp macro="" textlink="">
      <xdr:nvSpPr>
        <xdr:cNvPr id="377385" name="Text Box 563"/>
        <xdr:cNvSpPr txBox="1">
          <a:spLocks noChangeArrowheads="1"/>
        </xdr:cNvSpPr>
      </xdr:nvSpPr>
      <xdr:spPr bwMode="auto">
        <a:xfrm>
          <a:off x="1152525" y="5905500"/>
          <a:ext cx="76200" cy="209550"/>
        </a:xfrm>
        <a:prstGeom prst="rect">
          <a:avLst/>
        </a:prstGeom>
        <a:noFill/>
        <a:ln w="9525">
          <a:noFill/>
          <a:miter lim="800000"/>
          <a:headEnd/>
          <a:tailEnd/>
        </a:ln>
      </xdr:spPr>
    </xdr:sp>
    <xdr:clientData/>
  </xdr:twoCellAnchor>
  <xdr:twoCellAnchor editAs="oneCell">
    <xdr:from>
      <xdr:col>1</xdr:col>
      <xdr:colOff>0</xdr:colOff>
      <xdr:row>31</xdr:row>
      <xdr:rowOff>0</xdr:rowOff>
    </xdr:from>
    <xdr:to>
      <xdr:col>1</xdr:col>
      <xdr:colOff>76200</xdr:colOff>
      <xdr:row>32</xdr:row>
      <xdr:rowOff>19050</xdr:rowOff>
    </xdr:to>
    <xdr:sp macro="" textlink="">
      <xdr:nvSpPr>
        <xdr:cNvPr id="377386" name="Text Box 564"/>
        <xdr:cNvSpPr txBox="1">
          <a:spLocks noChangeArrowheads="1"/>
        </xdr:cNvSpPr>
      </xdr:nvSpPr>
      <xdr:spPr bwMode="auto">
        <a:xfrm>
          <a:off x="1152525" y="5905500"/>
          <a:ext cx="76200" cy="209550"/>
        </a:xfrm>
        <a:prstGeom prst="rect">
          <a:avLst/>
        </a:prstGeom>
        <a:noFill/>
        <a:ln w="9525">
          <a:noFill/>
          <a:miter lim="800000"/>
          <a:headEnd/>
          <a:tailEnd/>
        </a:ln>
      </xdr:spPr>
    </xdr:sp>
    <xdr:clientData/>
  </xdr:twoCellAnchor>
  <xdr:twoCellAnchor editAs="oneCell">
    <xdr:from>
      <xdr:col>1</xdr:col>
      <xdr:colOff>0</xdr:colOff>
      <xdr:row>31</xdr:row>
      <xdr:rowOff>0</xdr:rowOff>
    </xdr:from>
    <xdr:to>
      <xdr:col>1</xdr:col>
      <xdr:colOff>76200</xdr:colOff>
      <xdr:row>32</xdr:row>
      <xdr:rowOff>19050</xdr:rowOff>
    </xdr:to>
    <xdr:sp macro="" textlink="">
      <xdr:nvSpPr>
        <xdr:cNvPr id="377387" name="Text Box 565"/>
        <xdr:cNvSpPr txBox="1">
          <a:spLocks noChangeArrowheads="1"/>
        </xdr:cNvSpPr>
      </xdr:nvSpPr>
      <xdr:spPr bwMode="auto">
        <a:xfrm>
          <a:off x="1152525" y="5905500"/>
          <a:ext cx="76200" cy="209550"/>
        </a:xfrm>
        <a:prstGeom prst="rect">
          <a:avLst/>
        </a:prstGeom>
        <a:noFill/>
        <a:ln w="9525">
          <a:noFill/>
          <a:miter lim="800000"/>
          <a:headEnd/>
          <a:tailEnd/>
        </a:ln>
      </xdr:spPr>
    </xdr:sp>
    <xdr:clientData/>
  </xdr:twoCellAnchor>
  <xdr:twoCellAnchor editAs="oneCell">
    <xdr:from>
      <xdr:col>1</xdr:col>
      <xdr:colOff>0</xdr:colOff>
      <xdr:row>31</xdr:row>
      <xdr:rowOff>0</xdr:rowOff>
    </xdr:from>
    <xdr:to>
      <xdr:col>1</xdr:col>
      <xdr:colOff>76200</xdr:colOff>
      <xdr:row>32</xdr:row>
      <xdr:rowOff>19050</xdr:rowOff>
    </xdr:to>
    <xdr:sp macro="" textlink="">
      <xdr:nvSpPr>
        <xdr:cNvPr id="377388" name="Text Box 566"/>
        <xdr:cNvSpPr txBox="1">
          <a:spLocks noChangeArrowheads="1"/>
        </xdr:cNvSpPr>
      </xdr:nvSpPr>
      <xdr:spPr bwMode="auto">
        <a:xfrm>
          <a:off x="1152525" y="5905500"/>
          <a:ext cx="76200" cy="209550"/>
        </a:xfrm>
        <a:prstGeom prst="rect">
          <a:avLst/>
        </a:prstGeom>
        <a:noFill/>
        <a:ln w="9525">
          <a:noFill/>
          <a:miter lim="800000"/>
          <a:headEnd/>
          <a:tailEnd/>
        </a:ln>
      </xdr:spPr>
    </xdr:sp>
    <xdr:clientData/>
  </xdr:twoCellAnchor>
  <xdr:twoCellAnchor editAs="oneCell">
    <xdr:from>
      <xdr:col>1</xdr:col>
      <xdr:colOff>0</xdr:colOff>
      <xdr:row>32</xdr:row>
      <xdr:rowOff>0</xdr:rowOff>
    </xdr:from>
    <xdr:to>
      <xdr:col>1</xdr:col>
      <xdr:colOff>76200</xdr:colOff>
      <xdr:row>33</xdr:row>
      <xdr:rowOff>19050</xdr:rowOff>
    </xdr:to>
    <xdr:sp macro="" textlink="">
      <xdr:nvSpPr>
        <xdr:cNvPr id="377389" name="Text Box 567"/>
        <xdr:cNvSpPr txBox="1">
          <a:spLocks noChangeArrowheads="1"/>
        </xdr:cNvSpPr>
      </xdr:nvSpPr>
      <xdr:spPr bwMode="auto">
        <a:xfrm>
          <a:off x="1152525" y="6096000"/>
          <a:ext cx="76200" cy="209550"/>
        </a:xfrm>
        <a:prstGeom prst="rect">
          <a:avLst/>
        </a:prstGeom>
        <a:noFill/>
        <a:ln w="9525">
          <a:noFill/>
          <a:miter lim="800000"/>
          <a:headEnd/>
          <a:tailEnd/>
        </a:ln>
      </xdr:spPr>
    </xdr:sp>
    <xdr:clientData/>
  </xdr:twoCellAnchor>
  <xdr:twoCellAnchor editAs="oneCell">
    <xdr:from>
      <xdr:col>1</xdr:col>
      <xdr:colOff>0</xdr:colOff>
      <xdr:row>32</xdr:row>
      <xdr:rowOff>0</xdr:rowOff>
    </xdr:from>
    <xdr:to>
      <xdr:col>1</xdr:col>
      <xdr:colOff>76200</xdr:colOff>
      <xdr:row>33</xdr:row>
      <xdr:rowOff>19050</xdr:rowOff>
    </xdr:to>
    <xdr:sp macro="" textlink="">
      <xdr:nvSpPr>
        <xdr:cNvPr id="377390" name="Text Box 568"/>
        <xdr:cNvSpPr txBox="1">
          <a:spLocks noChangeArrowheads="1"/>
        </xdr:cNvSpPr>
      </xdr:nvSpPr>
      <xdr:spPr bwMode="auto">
        <a:xfrm>
          <a:off x="1152525" y="6096000"/>
          <a:ext cx="76200" cy="209550"/>
        </a:xfrm>
        <a:prstGeom prst="rect">
          <a:avLst/>
        </a:prstGeom>
        <a:noFill/>
        <a:ln w="9525">
          <a:noFill/>
          <a:miter lim="800000"/>
          <a:headEnd/>
          <a:tailEnd/>
        </a:ln>
      </xdr:spPr>
    </xdr:sp>
    <xdr:clientData/>
  </xdr:twoCellAnchor>
  <xdr:twoCellAnchor editAs="oneCell">
    <xdr:from>
      <xdr:col>1</xdr:col>
      <xdr:colOff>0</xdr:colOff>
      <xdr:row>32</xdr:row>
      <xdr:rowOff>0</xdr:rowOff>
    </xdr:from>
    <xdr:to>
      <xdr:col>1</xdr:col>
      <xdr:colOff>76200</xdr:colOff>
      <xdr:row>33</xdr:row>
      <xdr:rowOff>19050</xdr:rowOff>
    </xdr:to>
    <xdr:sp macro="" textlink="">
      <xdr:nvSpPr>
        <xdr:cNvPr id="377391" name="Text Box 569"/>
        <xdr:cNvSpPr txBox="1">
          <a:spLocks noChangeArrowheads="1"/>
        </xdr:cNvSpPr>
      </xdr:nvSpPr>
      <xdr:spPr bwMode="auto">
        <a:xfrm>
          <a:off x="1152525" y="6096000"/>
          <a:ext cx="76200" cy="209550"/>
        </a:xfrm>
        <a:prstGeom prst="rect">
          <a:avLst/>
        </a:prstGeom>
        <a:noFill/>
        <a:ln w="9525">
          <a:noFill/>
          <a:miter lim="800000"/>
          <a:headEnd/>
          <a:tailEnd/>
        </a:ln>
      </xdr:spPr>
    </xdr:sp>
    <xdr:clientData/>
  </xdr:twoCellAnchor>
  <xdr:twoCellAnchor editAs="oneCell">
    <xdr:from>
      <xdr:col>1</xdr:col>
      <xdr:colOff>0</xdr:colOff>
      <xdr:row>32</xdr:row>
      <xdr:rowOff>0</xdr:rowOff>
    </xdr:from>
    <xdr:to>
      <xdr:col>1</xdr:col>
      <xdr:colOff>76200</xdr:colOff>
      <xdr:row>33</xdr:row>
      <xdr:rowOff>19050</xdr:rowOff>
    </xdr:to>
    <xdr:sp macro="" textlink="">
      <xdr:nvSpPr>
        <xdr:cNvPr id="377392" name="Text Box 570"/>
        <xdr:cNvSpPr txBox="1">
          <a:spLocks noChangeArrowheads="1"/>
        </xdr:cNvSpPr>
      </xdr:nvSpPr>
      <xdr:spPr bwMode="auto">
        <a:xfrm>
          <a:off x="1152525" y="6096000"/>
          <a:ext cx="76200" cy="209550"/>
        </a:xfrm>
        <a:prstGeom prst="rect">
          <a:avLst/>
        </a:prstGeom>
        <a:noFill/>
        <a:ln w="9525">
          <a:noFill/>
          <a:miter lim="800000"/>
          <a:headEnd/>
          <a:tailEnd/>
        </a:ln>
      </xdr:spPr>
    </xdr:sp>
    <xdr:clientData/>
  </xdr:twoCellAnchor>
  <xdr:twoCellAnchor editAs="oneCell">
    <xdr:from>
      <xdr:col>1</xdr:col>
      <xdr:colOff>0</xdr:colOff>
      <xdr:row>33</xdr:row>
      <xdr:rowOff>0</xdr:rowOff>
    </xdr:from>
    <xdr:to>
      <xdr:col>1</xdr:col>
      <xdr:colOff>76200</xdr:colOff>
      <xdr:row>34</xdr:row>
      <xdr:rowOff>19050</xdr:rowOff>
    </xdr:to>
    <xdr:sp macro="" textlink="">
      <xdr:nvSpPr>
        <xdr:cNvPr id="377393" name="Text Box 571"/>
        <xdr:cNvSpPr txBox="1">
          <a:spLocks noChangeArrowheads="1"/>
        </xdr:cNvSpPr>
      </xdr:nvSpPr>
      <xdr:spPr bwMode="auto">
        <a:xfrm>
          <a:off x="1152525" y="6286500"/>
          <a:ext cx="76200" cy="209550"/>
        </a:xfrm>
        <a:prstGeom prst="rect">
          <a:avLst/>
        </a:prstGeom>
        <a:noFill/>
        <a:ln w="9525">
          <a:noFill/>
          <a:miter lim="800000"/>
          <a:headEnd/>
          <a:tailEnd/>
        </a:ln>
      </xdr:spPr>
    </xdr:sp>
    <xdr:clientData/>
  </xdr:twoCellAnchor>
  <xdr:twoCellAnchor editAs="oneCell">
    <xdr:from>
      <xdr:col>1</xdr:col>
      <xdr:colOff>0</xdr:colOff>
      <xdr:row>33</xdr:row>
      <xdr:rowOff>0</xdr:rowOff>
    </xdr:from>
    <xdr:to>
      <xdr:col>1</xdr:col>
      <xdr:colOff>76200</xdr:colOff>
      <xdr:row>34</xdr:row>
      <xdr:rowOff>19050</xdr:rowOff>
    </xdr:to>
    <xdr:sp macro="" textlink="">
      <xdr:nvSpPr>
        <xdr:cNvPr id="377394" name="Text Box 572"/>
        <xdr:cNvSpPr txBox="1">
          <a:spLocks noChangeArrowheads="1"/>
        </xdr:cNvSpPr>
      </xdr:nvSpPr>
      <xdr:spPr bwMode="auto">
        <a:xfrm>
          <a:off x="1152525" y="6286500"/>
          <a:ext cx="76200" cy="209550"/>
        </a:xfrm>
        <a:prstGeom prst="rect">
          <a:avLst/>
        </a:prstGeom>
        <a:noFill/>
        <a:ln w="9525">
          <a:noFill/>
          <a:miter lim="800000"/>
          <a:headEnd/>
          <a:tailEnd/>
        </a:ln>
      </xdr:spPr>
    </xdr:sp>
    <xdr:clientData/>
  </xdr:twoCellAnchor>
  <xdr:twoCellAnchor editAs="oneCell">
    <xdr:from>
      <xdr:col>1</xdr:col>
      <xdr:colOff>0</xdr:colOff>
      <xdr:row>33</xdr:row>
      <xdr:rowOff>0</xdr:rowOff>
    </xdr:from>
    <xdr:to>
      <xdr:col>1</xdr:col>
      <xdr:colOff>76200</xdr:colOff>
      <xdr:row>34</xdr:row>
      <xdr:rowOff>19050</xdr:rowOff>
    </xdr:to>
    <xdr:sp macro="" textlink="">
      <xdr:nvSpPr>
        <xdr:cNvPr id="377395" name="Text Box 573"/>
        <xdr:cNvSpPr txBox="1">
          <a:spLocks noChangeArrowheads="1"/>
        </xdr:cNvSpPr>
      </xdr:nvSpPr>
      <xdr:spPr bwMode="auto">
        <a:xfrm>
          <a:off x="1152525" y="6286500"/>
          <a:ext cx="76200" cy="209550"/>
        </a:xfrm>
        <a:prstGeom prst="rect">
          <a:avLst/>
        </a:prstGeom>
        <a:noFill/>
        <a:ln w="9525">
          <a:noFill/>
          <a:miter lim="800000"/>
          <a:headEnd/>
          <a:tailEnd/>
        </a:ln>
      </xdr:spPr>
    </xdr:sp>
    <xdr:clientData/>
  </xdr:twoCellAnchor>
  <xdr:twoCellAnchor editAs="oneCell">
    <xdr:from>
      <xdr:col>1</xdr:col>
      <xdr:colOff>0</xdr:colOff>
      <xdr:row>33</xdr:row>
      <xdr:rowOff>0</xdr:rowOff>
    </xdr:from>
    <xdr:to>
      <xdr:col>1</xdr:col>
      <xdr:colOff>76200</xdr:colOff>
      <xdr:row>34</xdr:row>
      <xdr:rowOff>19050</xdr:rowOff>
    </xdr:to>
    <xdr:sp macro="" textlink="">
      <xdr:nvSpPr>
        <xdr:cNvPr id="377396" name="Text Box 574"/>
        <xdr:cNvSpPr txBox="1">
          <a:spLocks noChangeArrowheads="1"/>
        </xdr:cNvSpPr>
      </xdr:nvSpPr>
      <xdr:spPr bwMode="auto">
        <a:xfrm>
          <a:off x="1152525" y="6286500"/>
          <a:ext cx="76200" cy="209550"/>
        </a:xfrm>
        <a:prstGeom prst="rect">
          <a:avLst/>
        </a:prstGeom>
        <a:noFill/>
        <a:ln w="9525">
          <a:noFill/>
          <a:miter lim="800000"/>
          <a:headEnd/>
          <a:tailEnd/>
        </a:ln>
      </xdr:spPr>
    </xdr:sp>
    <xdr:clientData/>
  </xdr:twoCellAnchor>
  <xdr:twoCellAnchor editAs="oneCell">
    <xdr:from>
      <xdr:col>1</xdr:col>
      <xdr:colOff>0</xdr:colOff>
      <xdr:row>34</xdr:row>
      <xdr:rowOff>0</xdr:rowOff>
    </xdr:from>
    <xdr:to>
      <xdr:col>1</xdr:col>
      <xdr:colOff>76200</xdr:colOff>
      <xdr:row>35</xdr:row>
      <xdr:rowOff>19050</xdr:rowOff>
    </xdr:to>
    <xdr:sp macro="" textlink="">
      <xdr:nvSpPr>
        <xdr:cNvPr id="377397" name="Text Box 575"/>
        <xdr:cNvSpPr txBox="1">
          <a:spLocks noChangeArrowheads="1"/>
        </xdr:cNvSpPr>
      </xdr:nvSpPr>
      <xdr:spPr bwMode="auto">
        <a:xfrm>
          <a:off x="1152525" y="6477000"/>
          <a:ext cx="76200" cy="209550"/>
        </a:xfrm>
        <a:prstGeom prst="rect">
          <a:avLst/>
        </a:prstGeom>
        <a:noFill/>
        <a:ln w="9525">
          <a:noFill/>
          <a:miter lim="800000"/>
          <a:headEnd/>
          <a:tailEnd/>
        </a:ln>
      </xdr:spPr>
    </xdr:sp>
    <xdr:clientData/>
  </xdr:twoCellAnchor>
  <xdr:twoCellAnchor editAs="oneCell">
    <xdr:from>
      <xdr:col>1</xdr:col>
      <xdr:colOff>0</xdr:colOff>
      <xdr:row>34</xdr:row>
      <xdr:rowOff>0</xdr:rowOff>
    </xdr:from>
    <xdr:to>
      <xdr:col>1</xdr:col>
      <xdr:colOff>76200</xdr:colOff>
      <xdr:row>35</xdr:row>
      <xdr:rowOff>19050</xdr:rowOff>
    </xdr:to>
    <xdr:sp macro="" textlink="">
      <xdr:nvSpPr>
        <xdr:cNvPr id="377398" name="Text Box 576"/>
        <xdr:cNvSpPr txBox="1">
          <a:spLocks noChangeArrowheads="1"/>
        </xdr:cNvSpPr>
      </xdr:nvSpPr>
      <xdr:spPr bwMode="auto">
        <a:xfrm>
          <a:off x="1152525" y="6477000"/>
          <a:ext cx="76200" cy="209550"/>
        </a:xfrm>
        <a:prstGeom prst="rect">
          <a:avLst/>
        </a:prstGeom>
        <a:noFill/>
        <a:ln w="9525">
          <a:noFill/>
          <a:miter lim="800000"/>
          <a:headEnd/>
          <a:tailEnd/>
        </a:ln>
      </xdr:spPr>
    </xdr:sp>
    <xdr:clientData/>
  </xdr:twoCellAnchor>
  <xdr:twoCellAnchor editAs="oneCell">
    <xdr:from>
      <xdr:col>1</xdr:col>
      <xdr:colOff>0</xdr:colOff>
      <xdr:row>34</xdr:row>
      <xdr:rowOff>0</xdr:rowOff>
    </xdr:from>
    <xdr:to>
      <xdr:col>1</xdr:col>
      <xdr:colOff>76200</xdr:colOff>
      <xdr:row>35</xdr:row>
      <xdr:rowOff>19050</xdr:rowOff>
    </xdr:to>
    <xdr:sp macro="" textlink="">
      <xdr:nvSpPr>
        <xdr:cNvPr id="377399" name="Text Box 577"/>
        <xdr:cNvSpPr txBox="1">
          <a:spLocks noChangeArrowheads="1"/>
        </xdr:cNvSpPr>
      </xdr:nvSpPr>
      <xdr:spPr bwMode="auto">
        <a:xfrm>
          <a:off x="1152525" y="6477000"/>
          <a:ext cx="76200" cy="209550"/>
        </a:xfrm>
        <a:prstGeom prst="rect">
          <a:avLst/>
        </a:prstGeom>
        <a:noFill/>
        <a:ln w="9525">
          <a:noFill/>
          <a:miter lim="800000"/>
          <a:headEnd/>
          <a:tailEnd/>
        </a:ln>
      </xdr:spPr>
    </xdr:sp>
    <xdr:clientData/>
  </xdr:twoCellAnchor>
  <xdr:twoCellAnchor editAs="oneCell">
    <xdr:from>
      <xdr:col>1</xdr:col>
      <xdr:colOff>0</xdr:colOff>
      <xdr:row>34</xdr:row>
      <xdr:rowOff>0</xdr:rowOff>
    </xdr:from>
    <xdr:to>
      <xdr:col>1</xdr:col>
      <xdr:colOff>76200</xdr:colOff>
      <xdr:row>35</xdr:row>
      <xdr:rowOff>19050</xdr:rowOff>
    </xdr:to>
    <xdr:sp macro="" textlink="">
      <xdr:nvSpPr>
        <xdr:cNvPr id="377400" name="Text Box 578"/>
        <xdr:cNvSpPr txBox="1">
          <a:spLocks noChangeArrowheads="1"/>
        </xdr:cNvSpPr>
      </xdr:nvSpPr>
      <xdr:spPr bwMode="auto">
        <a:xfrm>
          <a:off x="1152525" y="6477000"/>
          <a:ext cx="76200" cy="209550"/>
        </a:xfrm>
        <a:prstGeom prst="rect">
          <a:avLst/>
        </a:prstGeom>
        <a:noFill/>
        <a:ln w="9525">
          <a:noFill/>
          <a:miter lim="800000"/>
          <a:headEnd/>
          <a:tailEnd/>
        </a:ln>
      </xdr:spPr>
    </xdr:sp>
    <xdr:clientData/>
  </xdr:twoCellAnchor>
  <xdr:twoCellAnchor editAs="oneCell">
    <xdr:from>
      <xdr:col>1</xdr:col>
      <xdr:colOff>0</xdr:colOff>
      <xdr:row>35</xdr:row>
      <xdr:rowOff>0</xdr:rowOff>
    </xdr:from>
    <xdr:to>
      <xdr:col>1</xdr:col>
      <xdr:colOff>76200</xdr:colOff>
      <xdr:row>36</xdr:row>
      <xdr:rowOff>19050</xdr:rowOff>
    </xdr:to>
    <xdr:sp macro="" textlink="">
      <xdr:nvSpPr>
        <xdr:cNvPr id="377401" name="Text Box 579"/>
        <xdr:cNvSpPr txBox="1">
          <a:spLocks noChangeArrowheads="1"/>
        </xdr:cNvSpPr>
      </xdr:nvSpPr>
      <xdr:spPr bwMode="auto">
        <a:xfrm>
          <a:off x="1152525" y="6667500"/>
          <a:ext cx="76200" cy="209550"/>
        </a:xfrm>
        <a:prstGeom prst="rect">
          <a:avLst/>
        </a:prstGeom>
        <a:noFill/>
        <a:ln w="9525">
          <a:noFill/>
          <a:miter lim="800000"/>
          <a:headEnd/>
          <a:tailEnd/>
        </a:ln>
      </xdr:spPr>
    </xdr:sp>
    <xdr:clientData/>
  </xdr:twoCellAnchor>
  <xdr:twoCellAnchor editAs="oneCell">
    <xdr:from>
      <xdr:col>1</xdr:col>
      <xdr:colOff>0</xdr:colOff>
      <xdr:row>35</xdr:row>
      <xdr:rowOff>0</xdr:rowOff>
    </xdr:from>
    <xdr:to>
      <xdr:col>1</xdr:col>
      <xdr:colOff>76200</xdr:colOff>
      <xdr:row>36</xdr:row>
      <xdr:rowOff>19050</xdr:rowOff>
    </xdr:to>
    <xdr:sp macro="" textlink="">
      <xdr:nvSpPr>
        <xdr:cNvPr id="377402" name="Text Box 580"/>
        <xdr:cNvSpPr txBox="1">
          <a:spLocks noChangeArrowheads="1"/>
        </xdr:cNvSpPr>
      </xdr:nvSpPr>
      <xdr:spPr bwMode="auto">
        <a:xfrm>
          <a:off x="1152525" y="6667500"/>
          <a:ext cx="76200" cy="209550"/>
        </a:xfrm>
        <a:prstGeom prst="rect">
          <a:avLst/>
        </a:prstGeom>
        <a:noFill/>
        <a:ln w="9525">
          <a:noFill/>
          <a:miter lim="800000"/>
          <a:headEnd/>
          <a:tailEnd/>
        </a:ln>
      </xdr:spPr>
    </xdr:sp>
    <xdr:clientData/>
  </xdr:twoCellAnchor>
  <xdr:twoCellAnchor editAs="oneCell">
    <xdr:from>
      <xdr:col>1</xdr:col>
      <xdr:colOff>0</xdr:colOff>
      <xdr:row>35</xdr:row>
      <xdr:rowOff>0</xdr:rowOff>
    </xdr:from>
    <xdr:to>
      <xdr:col>1</xdr:col>
      <xdr:colOff>76200</xdr:colOff>
      <xdr:row>36</xdr:row>
      <xdr:rowOff>19050</xdr:rowOff>
    </xdr:to>
    <xdr:sp macro="" textlink="">
      <xdr:nvSpPr>
        <xdr:cNvPr id="377403" name="Text Box 581"/>
        <xdr:cNvSpPr txBox="1">
          <a:spLocks noChangeArrowheads="1"/>
        </xdr:cNvSpPr>
      </xdr:nvSpPr>
      <xdr:spPr bwMode="auto">
        <a:xfrm>
          <a:off x="1152525" y="6667500"/>
          <a:ext cx="76200" cy="209550"/>
        </a:xfrm>
        <a:prstGeom prst="rect">
          <a:avLst/>
        </a:prstGeom>
        <a:noFill/>
        <a:ln w="9525">
          <a:noFill/>
          <a:miter lim="800000"/>
          <a:headEnd/>
          <a:tailEnd/>
        </a:ln>
      </xdr:spPr>
    </xdr:sp>
    <xdr:clientData/>
  </xdr:twoCellAnchor>
  <xdr:twoCellAnchor editAs="oneCell">
    <xdr:from>
      <xdr:col>1</xdr:col>
      <xdr:colOff>0</xdr:colOff>
      <xdr:row>35</xdr:row>
      <xdr:rowOff>0</xdr:rowOff>
    </xdr:from>
    <xdr:to>
      <xdr:col>1</xdr:col>
      <xdr:colOff>76200</xdr:colOff>
      <xdr:row>36</xdr:row>
      <xdr:rowOff>19050</xdr:rowOff>
    </xdr:to>
    <xdr:sp macro="" textlink="">
      <xdr:nvSpPr>
        <xdr:cNvPr id="377404" name="Text Box 582"/>
        <xdr:cNvSpPr txBox="1">
          <a:spLocks noChangeArrowheads="1"/>
        </xdr:cNvSpPr>
      </xdr:nvSpPr>
      <xdr:spPr bwMode="auto">
        <a:xfrm>
          <a:off x="1152525" y="6667500"/>
          <a:ext cx="76200" cy="209550"/>
        </a:xfrm>
        <a:prstGeom prst="rect">
          <a:avLst/>
        </a:prstGeom>
        <a:noFill/>
        <a:ln w="9525">
          <a:noFill/>
          <a:miter lim="800000"/>
          <a:headEnd/>
          <a:tailEnd/>
        </a:ln>
      </xdr:spPr>
    </xdr:sp>
    <xdr:clientData/>
  </xdr:twoCellAnchor>
  <xdr:twoCellAnchor editAs="oneCell">
    <xdr:from>
      <xdr:col>1</xdr:col>
      <xdr:colOff>0</xdr:colOff>
      <xdr:row>36</xdr:row>
      <xdr:rowOff>0</xdr:rowOff>
    </xdr:from>
    <xdr:to>
      <xdr:col>1</xdr:col>
      <xdr:colOff>76200</xdr:colOff>
      <xdr:row>37</xdr:row>
      <xdr:rowOff>19050</xdr:rowOff>
    </xdr:to>
    <xdr:sp macro="" textlink="">
      <xdr:nvSpPr>
        <xdr:cNvPr id="377405" name="Text Box 583"/>
        <xdr:cNvSpPr txBox="1">
          <a:spLocks noChangeArrowheads="1"/>
        </xdr:cNvSpPr>
      </xdr:nvSpPr>
      <xdr:spPr bwMode="auto">
        <a:xfrm>
          <a:off x="1152525" y="6858000"/>
          <a:ext cx="76200" cy="209550"/>
        </a:xfrm>
        <a:prstGeom prst="rect">
          <a:avLst/>
        </a:prstGeom>
        <a:noFill/>
        <a:ln w="9525">
          <a:noFill/>
          <a:miter lim="800000"/>
          <a:headEnd/>
          <a:tailEnd/>
        </a:ln>
      </xdr:spPr>
    </xdr:sp>
    <xdr:clientData/>
  </xdr:twoCellAnchor>
  <xdr:twoCellAnchor editAs="oneCell">
    <xdr:from>
      <xdr:col>1</xdr:col>
      <xdr:colOff>0</xdr:colOff>
      <xdr:row>36</xdr:row>
      <xdr:rowOff>0</xdr:rowOff>
    </xdr:from>
    <xdr:to>
      <xdr:col>1</xdr:col>
      <xdr:colOff>76200</xdr:colOff>
      <xdr:row>37</xdr:row>
      <xdr:rowOff>19050</xdr:rowOff>
    </xdr:to>
    <xdr:sp macro="" textlink="">
      <xdr:nvSpPr>
        <xdr:cNvPr id="377406" name="Text Box 584"/>
        <xdr:cNvSpPr txBox="1">
          <a:spLocks noChangeArrowheads="1"/>
        </xdr:cNvSpPr>
      </xdr:nvSpPr>
      <xdr:spPr bwMode="auto">
        <a:xfrm>
          <a:off x="1152525" y="6858000"/>
          <a:ext cx="76200" cy="209550"/>
        </a:xfrm>
        <a:prstGeom prst="rect">
          <a:avLst/>
        </a:prstGeom>
        <a:noFill/>
        <a:ln w="9525">
          <a:noFill/>
          <a:miter lim="800000"/>
          <a:headEnd/>
          <a:tailEnd/>
        </a:ln>
      </xdr:spPr>
    </xdr:sp>
    <xdr:clientData/>
  </xdr:twoCellAnchor>
  <xdr:twoCellAnchor editAs="oneCell">
    <xdr:from>
      <xdr:col>1</xdr:col>
      <xdr:colOff>0</xdr:colOff>
      <xdr:row>36</xdr:row>
      <xdr:rowOff>0</xdr:rowOff>
    </xdr:from>
    <xdr:to>
      <xdr:col>1</xdr:col>
      <xdr:colOff>76200</xdr:colOff>
      <xdr:row>37</xdr:row>
      <xdr:rowOff>19050</xdr:rowOff>
    </xdr:to>
    <xdr:sp macro="" textlink="">
      <xdr:nvSpPr>
        <xdr:cNvPr id="377407" name="Text Box 585"/>
        <xdr:cNvSpPr txBox="1">
          <a:spLocks noChangeArrowheads="1"/>
        </xdr:cNvSpPr>
      </xdr:nvSpPr>
      <xdr:spPr bwMode="auto">
        <a:xfrm>
          <a:off x="1152525" y="6858000"/>
          <a:ext cx="76200" cy="209550"/>
        </a:xfrm>
        <a:prstGeom prst="rect">
          <a:avLst/>
        </a:prstGeom>
        <a:noFill/>
        <a:ln w="9525">
          <a:noFill/>
          <a:miter lim="800000"/>
          <a:headEnd/>
          <a:tailEnd/>
        </a:ln>
      </xdr:spPr>
    </xdr:sp>
    <xdr:clientData/>
  </xdr:twoCellAnchor>
  <xdr:twoCellAnchor editAs="oneCell">
    <xdr:from>
      <xdr:col>1</xdr:col>
      <xdr:colOff>0</xdr:colOff>
      <xdr:row>36</xdr:row>
      <xdr:rowOff>0</xdr:rowOff>
    </xdr:from>
    <xdr:to>
      <xdr:col>1</xdr:col>
      <xdr:colOff>76200</xdr:colOff>
      <xdr:row>37</xdr:row>
      <xdr:rowOff>19050</xdr:rowOff>
    </xdr:to>
    <xdr:sp macro="" textlink="">
      <xdr:nvSpPr>
        <xdr:cNvPr id="377408" name="Text Box 586"/>
        <xdr:cNvSpPr txBox="1">
          <a:spLocks noChangeArrowheads="1"/>
        </xdr:cNvSpPr>
      </xdr:nvSpPr>
      <xdr:spPr bwMode="auto">
        <a:xfrm>
          <a:off x="1152525" y="6858000"/>
          <a:ext cx="76200" cy="209550"/>
        </a:xfrm>
        <a:prstGeom prst="rect">
          <a:avLst/>
        </a:prstGeom>
        <a:noFill/>
        <a:ln w="9525">
          <a:noFill/>
          <a:miter lim="800000"/>
          <a:headEnd/>
          <a:tailEnd/>
        </a:ln>
      </xdr:spPr>
    </xdr:sp>
    <xdr:clientData/>
  </xdr:twoCellAnchor>
  <xdr:twoCellAnchor editAs="oneCell">
    <xdr:from>
      <xdr:col>1</xdr:col>
      <xdr:colOff>0</xdr:colOff>
      <xdr:row>37</xdr:row>
      <xdr:rowOff>0</xdr:rowOff>
    </xdr:from>
    <xdr:to>
      <xdr:col>1</xdr:col>
      <xdr:colOff>76200</xdr:colOff>
      <xdr:row>38</xdr:row>
      <xdr:rowOff>19050</xdr:rowOff>
    </xdr:to>
    <xdr:sp macro="" textlink="">
      <xdr:nvSpPr>
        <xdr:cNvPr id="377409" name="Text Box 587"/>
        <xdr:cNvSpPr txBox="1">
          <a:spLocks noChangeArrowheads="1"/>
        </xdr:cNvSpPr>
      </xdr:nvSpPr>
      <xdr:spPr bwMode="auto">
        <a:xfrm>
          <a:off x="1152525" y="7048500"/>
          <a:ext cx="76200" cy="209550"/>
        </a:xfrm>
        <a:prstGeom prst="rect">
          <a:avLst/>
        </a:prstGeom>
        <a:noFill/>
        <a:ln w="9525">
          <a:noFill/>
          <a:miter lim="800000"/>
          <a:headEnd/>
          <a:tailEnd/>
        </a:ln>
      </xdr:spPr>
    </xdr:sp>
    <xdr:clientData/>
  </xdr:twoCellAnchor>
  <xdr:twoCellAnchor editAs="oneCell">
    <xdr:from>
      <xdr:col>1</xdr:col>
      <xdr:colOff>0</xdr:colOff>
      <xdr:row>37</xdr:row>
      <xdr:rowOff>0</xdr:rowOff>
    </xdr:from>
    <xdr:to>
      <xdr:col>1</xdr:col>
      <xdr:colOff>76200</xdr:colOff>
      <xdr:row>38</xdr:row>
      <xdr:rowOff>19050</xdr:rowOff>
    </xdr:to>
    <xdr:sp macro="" textlink="">
      <xdr:nvSpPr>
        <xdr:cNvPr id="377410" name="Text Box 588"/>
        <xdr:cNvSpPr txBox="1">
          <a:spLocks noChangeArrowheads="1"/>
        </xdr:cNvSpPr>
      </xdr:nvSpPr>
      <xdr:spPr bwMode="auto">
        <a:xfrm>
          <a:off x="1152525" y="7048500"/>
          <a:ext cx="76200" cy="209550"/>
        </a:xfrm>
        <a:prstGeom prst="rect">
          <a:avLst/>
        </a:prstGeom>
        <a:noFill/>
        <a:ln w="9525">
          <a:noFill/>
          <a:miter lim="800000"/>
          <a:headEnd/>
          <a:tailEnd/>
        </a:ln>
      </xdr:spPr>
    </xdr:sp>
    <xdr:clientData/>
  </xdr:twoCellAnchor>
  <xdr:twoCellAnchor editAs="oneCell">
    <xdr:from>
      <xdr:col>1</xdr:col>
      <xdr:colOff>0</xdr:colOff>
      <xdr:row>37</xdr:row>
      <xdr:rowOff>0</xdr:rowOff>
    </xdr:from>
    <xdr:to>
      <xdr:col>1</xdr:col>
      <xdr:colOff>76200</xdr:colOff>
      <xdr:row>38</xdr:row>
      <xdr:rowOff>19050</xdr:rowOff>
    </xdr:to>
    <xdr:sp macro="" textlink="">
      <xdr:nvSpPr>
        <xdr:cNvPr id="377411" name="Text Box 589"/>
        <xdr:cNvSpPr txBox="1">
          <a:spLocks noChangeArrowheads="1"/>
        </xdr:cNvSpPr>
      </xdr:nvSpPr>
      <xdr:spPr bwMode="auto">
        <a:xfrm>
          <a:off x="1152525" y="7048500"/>
          <a:ext cx="76200" cy="209550"/>
        </a:xfrm>
        <a:prstGeom prst="rect">
          <a:avLst/>
        </a:prstGeom>
        <a:noFill/>
        <a:ln w="9525">
          <a:noFill/>
          <a:miter lim="800000"/>
          <a:headEnd/>
          <a:tailEnd/>
        </a:ln>
      </xdr:spPr>
    </xdr:sp>
    <xdr:clientData/>
  </xdr:twoCellAnchor>
  <xdr:twoCellAnchor editAs="oneCell">
    <xdr:from>
      <xdr:col>1</xdr:col>
      <xdr:colOff>0</xdr:colOff>
      <xdr:row>37</xdr:row>
      <xdr:rowOff>0</xdr:rowOff>
    </xdr:from>
    <xdr:to>
      <xdr:col>1</xdr:col>
      <xdr:colOff>76200</xdr:colOff>
      <xdr:row>38</xdr:row>
      <xdr:rowOff>19050</xdr:rowOff>
    </xdr:to>
    <xdr:sp macro="" textlink="">
      <xdr:nvSpPr>
        <xdr:cNvPr id="377412" name="Text Box 590"/>
        <xdr:cNvSpPr txBox="1">
          <a:spLocks noChangeArrowheads="1"/>
        </xdr:cNvSpPr>
      </xdr:nvSpPr>
      <xdr:spPr bwMode="auto">
        <a:xfrm>
          <a:off x="1152525" y="7048500"/>
          <a:ext cx="76200" cy="20955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76200</xdr:colOff>
      <xdr:row>39</xdr:row>
      <xdr:rowOff>19050</xdr:rowOff>
    </xdr:to>
    <xdr:sp macro="" textlink="">
      <xdr:nvSpPr>
        <xdr:cNvPr id="377413" name="Text Box 591"/>
        <xdr:cNvSpPr txBox="1">
          <a:spLocks noChangeArrowheads="1"/>
        </xdr:cNvSpPr>
      </xdr:nvSpPr>
      <xdr:spPr bwMode="auto">
        <a:xfrm>
          <a:off x="1152525" y="7239000"/>
          <a:ext cx="76200" cy="20955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76200</xdr:colOff>
      <xdr:row>39</xdr:row>
      <xdr:rowOff>19050</xdr:rowOff>
    </xdr:to>
    <xdr:sp macro="" textlink="">
      <xdr:nvSpPr>
        <xdr:cNvPr id="377414" name="Text Box 592"/>
        <xdr:cNvSpPr txBox="1">
          <a:spLocks noChangeArrowheads="1"/>
        </xdr:cNvSpPr>
      </xdr:nvSpPr>
      <xdr:spPr bwMode="auto">
        <a:xfrm>
          <a:off x="1152525" y="7239000"/>
          <a:ext cx="76200" cy="20955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76200</xdr:colOff>
      <xdr:row>39</xdr:row>
      <xdr:rowOff>19050</xdr:rowOff>
    </xdr:to>
    <xdr:sp macro="" textlink="">
      <xdr:nvSpPr>
        <xdr:cNvPr id="377415" name="Text Box 593"/>
        <xdr:cNvSpPr txBox="1">
          <a:spLocks noChangeArrowheads="1"/>
        </xdr:cNvSpPr>
      </xdr:nvSpPr>
      <xdr:spPr bwMode="auto">
        <a:xfrm>
          <a:off x="1152525" y="7239000"/>
          <a:ext cx="76200" cy="20955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76200</xdr:colOff>
      <xdr:row>39</xdr:row>
      <xdr:rowOff>19050</xdr:rowOff>
    </xdr:to>
    <xdr:sp macro="" textlink="">
      <xdr:nvSpPr>
        <xdr:cNvPr id="377416" name="Text Box 594"/>
        <xdr:cNvSpPr txBox="1">
          <a:spLocks noChangeArrowheads="1"/>
        </xdr:cNvSpPr>
      </xdr:nvSpPr>
      <xdr:spPr bwMode="auto">
        <a:xfrm>
          <a:off x="1152525" y="7239000"/>
          <a:ext cx="76200" cy="209550"/>
        </a:xfrm>
        <a:prstGeom prst="rect">
          <a:avLst/>
        </a:prstGeom>
        <a:noFill/>
        <a:ln w="9525">
          <a:noFill/>
          <a:miter lim="800000"/>
          <a:headEnd/>
          <a:tailEnd/>
        </a:ln>
      </xdr:spPr>
    </xdr:sp>
    <xdr:clientData/>
  </xdr:twoCellAnchor>
  <xdr:twoCellAnchor editAs="oneCell">
    <xdr:from>
      <xdr:col>1</xdr:col>
      <xdr:colOff>0</xdr:colOff>
      <xdr:row>39</xdr:row>
      <xdr:rowOff>0</xdr:rowOff>
    </xdr:from>
    <xdr:to>
      <xdr:col>1</xdr:col>
      <xdr:colOff>76200</xdr:colOff>
      <xdr:row>40</xdr:row>
      <xdr:rowOff>19050</xdr:rowOff>
    </xdr:to>
    <xdr:sp macro="" textlink="">
      <xdr:nvSpPr>
        <xdr:cNvPr id="377417" name="Text Box 595"/>
        <xdr:cNvSpPr txBox="1">
          <a:spLocks noChangeArrowheads="1"/>
        </xdr:cNvSpPr>
      </xdr:nvSpPr>
      <xdr:spPr bwMode="auto">
        <a:xfrm>
          <a:off x="1152525" y="7429500"/>
          <a:ext cx="76200" cy="209550"/>
        </a:xfrm>
        <a:prstGeom prst="rect">
          <a:avLst/>
        </a:prstGeom>
        <a:noFill/>
        <a:ln w="9525">
          <a:noFill/>
          <a:miter lim="800000"/>
          <a:headEnd/>
          <a:tailEnd/>
        </a:ln>
      </xdr:spPr>
    </xdr:sp>
    <xdr:clientData/>
  </xdr:twoCellAnchor>
  <xdr:twoCellAnchor editAs="oneCell">
    <xdr:from>
      <xdr:col>1</xdr:col>
      <xdr:colOff>0</xdr:colOff>
      <xdr:row>39</xdr:row>
      <xdr:rowOff>0</xdr:rowOff>
    </xdr:from>
    <xdr:to>
      <xdr:col>1</xdr:col>
      <xdr:colOff>76200</xdr:colOff>
      <xdr:row>40</xdr:row>
      <xdr:rowOff>19050</xdr:rowOff>
    </xdr:to>
    <xdr:sp macro="" textlink="">
      <xdr:nvSpPr>
        <xdr:cNvPr id="377418" name="Text Box 596"/>
        <xdr:cNvSpPr txBox="1">
          <a:spLocks noChangeArrowheads="1"/>
        </xdr:cNvSpPr>
      </xdr:nvSpPr>
      <xdr:spPr bwMode="auto">
        <a:xfrm>
          <a:off x="1152525" y="7429500"/>
          <a:ext cx="76200" cy="209550"/>
        </a:xfrm>
        <a:prstGeom prst="rect">
          <a:avLst/>
        </a:prstGeom>
        <a:noFill/>
        <a:ln w="9525">
          <a:noFill/>
          <a:miter lim="800000"/>
          <a:headEnd/>
          <a:tailEnd/>
        </a:ln>
      </xdr:spPr>
    </xdr:sp>
    <xdr:clientData/>
  </xdr:twoCellAnchor>
  <xdr:twoCellAnchor editAs="oneCell">
    <xdr:from>
      <xdr:col>1</xdr:col>
      <xdr:colOff>0</xdr:colOff>
      <xdr:row>39</xdr:row>
      <xdr:rowOff>0</xdr:rowOff>
    </xdr:from>
    <xdr:to>
      <xdr:col>1</xdr:col>
      <xdr:colOff>76200</xdr:colOff>
      <xdr:row>40</xdr:row>
      <xdr:rowOff>19050</xdr:rowOff>
    </xdr:to>
    <xdr:sp macro="" textlink="">
      <xdr:nvSpPr>
        <xdr:cNvPr id="377419" name="Text Box 597"/>
        <xdr:cNvSpPr txBox="1">
          <a:spLocks noChangeArrowheads="1"/>
        </xdr:cNvSpPr>
      </xdr:nvSpPr>
      <xdr:spPr bwMode="auto">
        <a:xfrm>
          <a:off x="1152525" y="7429500"/>
          <a:ext cx="76200" cy="209550"/>
        </a:xfrm>
        <a:prstGeom prst="rect">
          <a:avLst/>
        </a:prstGeom>
        <a:noFill/>
        <a:ln w="9525">
          <a:noFill/>
          <a:miter lim="800000"/>
          <a:headEnd/>
          <a:tailEnd/>
        </a:ln>
      </xdr:spPr>
    </xdr:sp>
    <xdr:clientData/>
  </xdr:twoCellAnchor>
  <xdr:twoCellAnchor editAs="oneCell">
    <xdr:from>
      <xdr:col>1</xdr:col>
      <xdr:colOff>0</xdr:colOff>
      <xdr:row>39</xdr:row>
      <xdr:rowOff>0</xdr:rowOff>
    </xdr:from>
    <xdr:to>
      <xdr:col>1</xdr:col>
      <xdr:colOff>76200</xdr:colOff>
      <xdr:row>40</xdr:row>
      <xdr:rowOff>19050</xdr:rowOff>
    </xdr:to>
    <xdr:sp macro="" textlink="">
      <xdr:nvSpPr>
        <xdr:cNvPr id="377420" name="Text Box 598"/>
        <xdr:cNvSpPr txBox="1">
          <a:spLocks noChangeArrowheads="1"/>
        </xdr:cNvSpPr>
      </xdr:nvSpPr>
      <xdr:spPr bwMode="auto">
        <a:xfrm>
          <a:off x="1152525" y="7429500"/>
          <a:ext cx="76200" cy="209550"/>
        </a:xfrm>
        <a:prstGeom prst="rect">
          <a:avLst/>
        </a:prstGeom>
        <a:noFill/>
        <a:ln w="9525">
          <a:noFill/>
          <a:miter lim="800000"/>
          <a:headEnd/>
          <a:tailEnd/>
        </a:ln>
      </xdr:spPr>
    </xdr:sp>
    <xdr:clientData/>
  </xdr:twoCellAnchor>
  <xdr:twoCellAnchor editAs="oneCell">
    <xdr:from>
      <xdr:col>1</xdr:col>
      <xdr:colOff>0</xdr:colOff>
      <xdr:row>40</xdr:row>
      <xdr:rowOff>0</xdr:rowOff>
    </xdr:from>
    <xdr:to>
      <xdr:col>1</xdr:col>
      <xdr:colOff>76200</xdr:colOff>
      <xdr:row>41</xdr:row>
      <xdr:rowOff>19050</xdr:rowOff>
    </xdr:to>
    <xdr:sp macro="" textlink="">
      <xdr:nvSpPr>
        <xdr:cNvPr id="377421" name="Text Box 599"/>
        <xdr:cNvSpPr txBox="1">
          <a:spLocks noChangeArrowheads="1"/>
        </xdr:cNvSpPr>
      </xdr:nvSpPr>
      <xdr:spPr bwMode="auto">
        <a:xfrm>
          <a:off x="1152525" y="7620000"/>
          <a:ext cx="76200" cy="209550"/>
        </a:xfrm>
        <a:prstGeom prst="rect">
          <a:avLst/>
        </a:prstGeom>
        <a:noFill/>
        <a:ln w="9525">
          <a:noFill/>
          <a:miter lim="800000"/>
          <a:headEnd/>
          <a:tailEnd/>
        </a:ln>
      </xdr:spPr>
    </xdr:sp>
    <xdr:clientData/>
  </xdr:twoCellAnchor>
  <xdr:twoCellAnchor editAs="oneCell">
    <xdr:from>
      <xdr:col>1</xdr:col>
      <xdr:colOff>0</xdr:colOff>
      <xdr:row>40</xdr:row>
      <xdr:rowOff>0</xdr:rowOff>
    </xdr:from>
    <xdr:to>
      <xdr:col>1</xdr:col>
      <xdr:colOff>76200</xdr:colOff>
      <xdr:row>41</xdr:row>
      <xdr:rowOff>19050</xdr:rowOff>
    </xdr:to>
    <xdr:sp macro="" textlink="">
      <xdr:nvSpPr>
        <xdr:cNvPr id="377422" name="Text Box 600"/>
        <xdr:cNvSpPr txBox="1">
          <a:spLocks noChangeArrowheads="1"/>
        </xdr:cNvSpPr>
      </xdr:nvSpPr>
      <xdr:spPr bwMode="auto">
        <a:xfrm>
          <a:off x="1152525" y="7620000"/>
          <a:ext cx="76200" cy="209550"/>
        </a:xfrm>
        <a:prstGeom prst="rect">
          <a:avLst/>
        </a:prstGeom>
        <a:noFill/>
        <a:ln w="9525">
          <a:noFill/>
          <a:miter lim="800000"/>
          <a:headEnd/>
          <a:tailEnd/>
        </a:ln>
      </xdr:spPr>
    </xdr:sp>
    <xdr:clientData/>
  </xdr:twoCellAnchor>
  <xdr:twoCellAnchor editAs="oneCell">
    <xdr:from>
      <xdr:col>1</xdr:col>
      <xdr:colOff>0</xdr:colOff>
      <xdr:row>40</xdr:row>
      <xdr:rowOff>0</xdr:rowOff>
    </xdr:from>
    <xdr:to>
      <xdr:col>1</xdr:col>
      <xdr:colOff>76200</xdr:colOff>
      <xdr:row>41</xdr:row>
      <xdr:rowOff>19050</xdr:rowOff>
    </xdr:to>
    <xdr:sp macro="" textlink="">
      <xdr:nvSpPr>
        <xdr:cNvPr id="377423" name="Text Box 601"/>
        <xdr:cNvSpPr txBox="1">
          <a:spLocks noChangeArrowheads="1"/>
        </xdr:cNvSpPr>
      </xdr:nvSpPr>
      <xdr:spPr bwMode="auto">
        <a:xfrm>
          <a:off x="1152525" y="7620000"/>
          <a:ext cx="76200" cy="209550"/>
        </a:xfrm>
        <a:prstGeom prst="rect">
          <a:avLst/>
        </a:prstGeom>
        <a:noFill/>
        <a:ln w="9525">
          <a:noFill/>
          <a:miter lim="800000"/>
          <a:headEnd/>
          <a:tailEnd/>
        </a:ln>
      </xdr:spPr>
    </xdr:sp>
    <xdr:clientData/>
  </xdr:twoCellAnchor>
  <xdr:twoCellAnchor editAs="oneCell">
    <xdr:from>
      <xdr:col>1</xdr:col>
      <xdr:colOff>0</xdr:colOff>
      <xdr:row>40</xdr:row>
      <xdr:rowOff>0</xdr:rowOff>
    </xdr:from>
    <xdr:to>
      <xdr:col>1</xdr:col>
      <xdr:colOff>76200</xdr:colOff>
      <xdr:row>41</xdr:row>
      <xdr:rowOff>19050</xdr:rowOff>
    </xdr:to>
    <xdr:sp macro="" textlink="">
      <xdr:nvSpPr>
        <xdr:cNvPr id="377424" name="Text Box 602"/>
        <xdr:cNvSpPr txBox="1">
          <a:spLocks noChangeArrowheads="1"/>
        </xdr:cNvSpPr>
      </xdr:nvSpPr>
      <xdr:spPr bwMode="auto">
        <a:xfrm>
          <a:off x="1152525" y="7620000"/>
          <a:ext cx="76200" cy="209550"/>
        </a:xfrm>
        <a:prstGeom prst="rect">
          <a:avLst/>
        </a:prstGeom>
        <a:noFill/>
        <a:ln w="9525">
          <a:noFill/>
          <a:miter lim="800000"/>
          <a:headEnd/>
          <a:tailEnd/>
        </a:ln>
      </xdr:spPr>
    </xdr:sp>
    <xdr:clientData/>
  </xdr:twoCellAnchor>
  <xdr:twoCellAnchor editAs="oneCell">
    <xdr:from>
      <xdr:col>1</xdr:col>
      <xdr:colOff>0</xdr:colOff>
      <xdr:row>41</xdr:row>
      <xdr:rowOff>0</xdr:rowOff>
    </xdr:from>
    <xdr:to>
      <xdr:col>1</xdr:col>
      <xdr:colOff>76200</xdr:colOff>
      <xdr:row>42</xdr:row>
      <xdr:rowOff>19050</xdr:rowOff>
    </xdr:to>
    <xdr:sp macro="" textlink="">
      <xdr:nvSpPr>
        <xdr:cNvPr id="377425" name="Text Box 603"/>
        <xdr:cNvSpPr txBox="1">
          <a:spLocks noChangeArrowheads="1"/>
        </xdr:cNvSpPr>
      </xdr:nvSpPr>
      <xdr:spPr bwMode="auto">
        <a:xfrm>
          <a:off x="1152525" y="7810500"/>
          <a:ext cx="76200" cy="209550"/>
        </a:xfrm>
        <a:prstGeom prst="rect">
          <a:avLst/>
        </a:prstGeom>
        <a:noFill/>
        <a:ln w="9525">
          <a:noFill/>
          <a:miter lim="800000"/>
          <a:headEnd/>
          <a:tailEnd/>
        </a:ln>
      </xdr:spPr>
    </xdr:sp>
    <xdr:clientData/>
  </xdr:twoCellAnchor>
  <xdr:twoCellAnchor editAs="oneCell">
    <xdr:from>
      <xdr:col>1</xdr:col>
      <xdr:colOff>0</xdr:colOff>
      <xdr:row>41</xdr:row>
      <xdr:rowOff>0</xdr:rowOff>
    </xdr:from>
    <xdr:to>
      <xdr:col>1</xdr:col>
      <xdr:colOff>76200</xdr:colOff>
      <xdr:row>42</xdr:row>
      <xdr:rowOff>19050</xdr:rowOff>
    </xdr:to>
    <xdr:sp macro="" textlink="">
      <xdr:nvSpPr>
        <xdr:cNvPr id="377426" name="Text Box 604"/>
        <xdr:cNvSpPr txBox="1">
          <a:spLocks noChangeArrowheads="1"/>
        </xdr:cNvSpPr>
      </xdr:nvSpPr>
      <xdr:spPr bwMode="auto">
        <a:xfrm>
          <a:off x="1152525" y="7810500"/>
          <a:ext cx="76200" cy="209550"/>
        </a:xfrm>
        <a:prstGeom prst="rect">
          <a:avLst/>
        </a:prstGeom>
        <a:noFill/>
        <a:ln w="9525">
          <a:noFill/>
          <a:miter lim="800000"/>
          <a:headEnd/>
          <a:tailEnd/>
        </a:ln>
      </xdr:spPr>
    </xdr:sp>
    <xdr:clientData/>
  </xdr:twoCellAnchor>
  <xdr:twoCellAnchor editAs="oneCell">
    <xdr:from>
      <xdr:col>1</xdr:col>
      <xdr:colOff>0</xdr:colOff>
      <xdr:row>41</xdr:row>
      <xdr:rowOff>0</xdr:rowOff>
    </xdr:from>
    <xdr:to>
      <xdr:col>1</xdr:col>
      <xdr:colOff>76200</xdr:colOff>
      <xdr:row>42</xdr:row>
      <xdr:rowOff>19050</xdr:rowOff>
    </xdr:to>
    <xdr:sp macro="" textlink="">
      <xdr:nvSpPr>
        <xdr:cNvPr id="377427" name="Text Box 605"/>
        <xdr:cNvSpPr txBox="1">
          <a:spLocks noChangeArrowheads="1"/>
        </xdr:cNvSpPr>
      </xdr:nvSpPr>
      <xdr:spPr bwMode="auto">
        <a:xfrm>
          <a:off x="1152525" y="7810500"/>
          <a:ext cx="76200" cy="209550"/>
        </a:xfrm>
        <a:prstGeom prst="rect">
          <a:avLst/>
        </a:prstGeom>
        <a:noFill/>
        <a:ln w="9525">
          <a:noFill/>
          <a:miter lim="800000"/>
          <a:headEnd/>
          <a:tailEnd/>
        </a:ln>
      </xdr:spPr>
    </xdr:sp>
    <xdr:clientData/>
  </xdr:twoCellAnchor>
  <xdr:twoCellAnchor editAs="oneCell">
    <xdr:from>
      <xdr:col>1</xdr:col>
      <xdr:colOff>0</xdr:colOff>
      <xdr:row>41</xdr:row>
      <xdr:rowOff>0</xdr:rowOff>
    </xdr:from>
    <xdr:to>
      <xdr:col>1</xdr:col>
      <xdr:colOff>76200</xdr:colOff>
      <xdr:row>42</xdr:row>
      <xdr:rowOff>19050</xdr:rowOff>
    </xdr:to>
    <xdr:sp macro="" textlink="">
      <xdr:nvSpPr>
        <xdr:cNvPr id="377428" name="Text Box 606"/>
        <xdr:cNvSpPr txBox="1">
          <a:spLocks noChangeArrowheads="1"/>
        </xdr:cNvSpPr>
      </xdr:nvSpPr>
      <xdr:spPr bwMode="auto">
        <a:xfrm>
          <a:off x="1152525" y="7810500"/>
          <a:ext cx="76200" cy="209550"/>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76200</xdr:colOff>
      <xdr:row>43</xdr:row>
      <xdr:rowOff>19050</xdr:rowOff>
    </xdr:to>
    <xdr:sp macro="" textlink="">
      <xdr:nvSpPr>
        <xdr:cNvPr id="377429" name="Text Box 607"/>
        <xdr:cNvSpPr txBox="1">
          <a:spLocks noChangeArrowheads="1"/>
        </xdr:cNvSpPr>
      </xdr:nvSpPr>
      <xdr:spPr bwMode="auto">
        <a:xfrm>
          <a:off x="1152525" y="8001000"/>
          <a:ext cx="76200" cy="209550"/>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76200</xdr:colOff>
      <xdr:row>43</xdr:row>
      <xdr:rowOff>19050</xdr:rowOff>
    </xdr:to>
    <xdr:sp macro="" textlink="">
      <xdr:nvSpPr>
        <xdr:cNvPr id="377430" name="Text Box 608"/>
        <xdr:cNvSpPr txBox="1">
          <a:spLocks noChangeArrowheads="1"/>
        </xdr:cNvSpPr>
      </xdr:nvSpPr>
      <xdr:spPr bwMode="auto">
        <a:xfrm>
          <a:off x="1152525" y="8001000"/>
          <a:ext cx="76200" cy="209550"/>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76200</xdr:colOff>
      <xdr:row>43</xdr:row>
      <xdr:rowOff>19050</xdr:rowOff>
    </xdr:to>
    <xdr:sp macro="" textlink="">
      <xdr:nvSpPr>
        <xdr:cNvPr id="377431" name="Text Box 609"/>
        <xdr:cNvSpPr txBox="1">
          <a:spLocks noChangeArrowheads="1"/>
        </xdr:cNvSpPr>
      </xdr:nvSpPr>
      <xdr:spPr bwMode="auto">
        <a:xfrm>
          <a:off x="1152525" y="8001000"/>
          <a:ext cx="76200" cy="209550"/>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76200</xdr:colOff>
      <xdr:row>43</xdr:row>
      <xdr:rowOff>19050</xdr:rowOff>
    </xdr:to>
    <xdr:sp macro="" textlink="">
      <xdr:nvSpPr>
        <xdr:cNvPr id="377432" name="Text Box 610"/>
        <xdr:cNvSpPr txBox="1">
          <a:spLocks noChangeArrowheads="1"/>
        </xdr:cNvSpPr>
      </xdr:nvSpPr>
      <xdr:spPr bwMode="auto">
        <a:xfrm>
          <a:off x="1152525" y="8001000"/>
          <a:ext cx="76200" cy="209550"/>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76200</xdr:colOff>
      <xdr:row>44</xdr:row>
      <xdr:rowOff>19050</xdr:rowOff>
    </xdr:to>
    <xdr:sp macro="" textlink="">
      <xdr:nvSpPr>
        <xdr:cNvPr id="377433" name="Text Box 611"/>
        <xdr:cNvSpPr txBox="1">
          <a:spLocks noChangeArrowheads="1"/>
        </xdr:cNvSpPr>
      </xdr:nvSpPr>
      <xdr:spPr bwMode="auto">
        <a:xfrm>
          <a:off x="1152525" y="8191500"/>
          <a:ext cx="76200" cy="209550"/>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76200</xdr:colOff>
      <xdr:row>44</xdr:row>
      <xdr:rowOff>19050</xdr:rowOff>
    </xdr:to>
    <xdr:sp macro="" textlink="">
      <xdr:nvSpPr>
        <xdr:cNvPr id="377434" name="Text Box 612"/>
        <xdr:cNvSpPr txBox="1">
          <a:spLocks noChangeArrowheads="1"/>
        </xdr:cNvSpPr>
      </xdr:nvSpPr>
      <xdr:spPr bwMode="auto">
        <a:xfrm>
          <a:off x="1152525" y="8191500"/>
          <a:ext cx="76200" cy="209550"/>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76200</xdr:colOff>
      <xdr:row>44</xdr:row>
      <xdr:rowOff>19050</xdr:rowOff>
    </xdr:to>
    <xdr:sp macro="" textlink="">
      <xdr:nvSpPr>
        <xdr:cNvPr id="377435" name="Text Box 613"/>
        <xdr:cNvSpPr txBox="1">
          <a:spLocks noChangeArrowheads="1"/>
        </xdr:cNvSpPr>
      </xdr:nvSpPr>
      <xdr:spPr bwMode="auto">
        <a:xfrm>
          <a:off x="1152525" y="8191500"/>
          <a:ext cx="76200" cy="209550"/>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76200</xdr:colOff>
      <xdr:row>44</xdr:row>
      <xdr:rowOff>19050</xdr:rowOff>
    </xdr:to>
    <xdr:sp macro="" textlink="">
      <xdr:nvSpPr>
        <xdr:cNvPr id="377436" name="Text Box 614"/>
        <xdr:cNvSpPr txBox="1">
          <a:spLocks noChangeArrowheads="1"/>
        </xdr:cNvSpPr>
      </xdr:nvSpPr>
      <xdr:spPr bwMode="auto">
        <a:xfrm>
          <a:off x="1152525" y="8191500"/>
          <a:ext cx="76200" cy="209550"/>
        </a:xfrm>
        <a:prstGeom prst="rect">
          <a:avLst/>
        </a:prstGeom>
        <a:noFill/>
        <a:ln w="9525">
          <a:noFill/>
          <a:miter lim="800000"/>
          <a:headEnd/>
          <a:tailEnd/>
        </a:ln>
      </xdr:spPr>
    </xdr:sp>
    <xdr:clientData/>
  </xdr:twoCellAnchor>
  <xdr:twoCellAnchor editAs="oneCell">
    <xdr:from>
      <xdr:col>1</xdr:col>
      <xdr:colOff>0</xdr:colOff>
      <xdr:row>44</xdr:row>
      <xdr:rowOff>0</xdr:rowOff>
    </xdr:from>
    <xdr:to>
      <xdr:col>1</xdr:col>
      <xdr:colOff>76200</xdr:colOff>
      <xdr:row>45</xdr:row>
      <xdr:rowOff>19050</xdr:rowOff>
    </xdr:to>
    <xdr:sp macro="" textlink="">
      <xdr:nvSpPr>
        <xdr:cNvPr id="377437" name="Text Box 615"/>
        <xdr:cNvSpPr txBox="1">
          <a:spLocks noChangeArrowheads="1"/>
        </xdr:cNvSpPr>
      </xdr:nvSpPr>
      <xdr:spPr bwMode="auto">
        <a:xfrm>
          <a:off x="1152525" y="8382000"/>
          <a:ext cx="76200" cy="209550"/>
        </a:xfrm>
        <a:prstGeom prst="rect">
          <a:avLst/>
        </a:prstGeom>
        <a:noFill/>
        <a:ln w="9525">
          <a:noFill/>
          <a:miter lim="800000"/>
          <a:headEnd/>
          <a:tailEnd/>
        </a:ln>
      </xdr:spPr>
    </xdr:sp>
    <xdr:clientData/>
  </xdr:twoCellAnchor>
  <xdr:twoCellAnchor editAs="oneCell">
    <xdr:from>
      <xdr:col>1</xdr:col>
      <xdr:colOff>0</xdr:colOff>
      <xdr:row>44</xdr:row>
      <xdr:rowOff>0</xdr:rowOff>
    </xdr:from>
    <xdr:to>
      <xdr:col>1</xdr:col>
      <xdr:colOff>76200</xdr:colOff>
      <xdr:row>45</xdr:row>
      <xdr:rowOff>19050</xdr:rowOff>
    </xdr:to>
    <xdr:sp macro="" textlink="">
      <xdr:nvSpPr>
        <xdr:cNvPr id="377438" name="Text Box 616"/>
        <xdr:cNvSpPr txBox="1">
          <a:spLocks noChangeArrowheads="1"/>
        </xdr:cNvSpPr>
      </xdr:nvSpPr>
      <xdr:spPr bwMode="auto">
        <a:xfrm>
          <a:off x="1152525" y="8382000"/>
          <a:ext cx="76200" cy="209550"/>
        </a:xfrm>
        <a:prstGeom prst="rect">
          <a:avLst/>
        </a:prstGeom>
        <a:noFill/>
        <a:ln w="9525">
          <a:noFill/>
          <a:miter lim="800000"/>
          <a:headEnd/>
          <a:tailEnd/>
        </a:ln>
      </xdr:spPr>
    </xdr:sp>
    <xdr:clientData/>
  </xdr:twoCellAnchor>
  <xdr:twoCellAnchor editAs="oneCell">
    <xdr:from>
      <xdr:col>1</xdr:col>
      <xdr:colOff>0</xdr:colOff>
      <xdr:row>44</xdr:row>
      <xdr:rowOff>0</xdr:rowOff>
    </xdr:from>
    <xdr:to>
      <xdr:col>1</xdr:col>
      <xdr:colOff>76200</xdr:colOff>
      <xdr:row>45</xdr:row>
      <xdr:rowOff>19050</xdr:rowOff>
    </xdr:to>
    <xdr:sp macro="" textlink="">
      <xdr:nvSpPr>
        <xdr:cNvPr id="377439" name="Text Box 617"/>
        <xdr:cNvSpPr txBox="1">
          <a:spLocks noChangeArrowheads="1"/>
        </xdr:cNvSpPr>
      </xdr:nvSpPr>
      <xdr:spPr bwMode="auto">
        <a:xfrm>
          <a:off x="1152525" y="8382000"/>
          <a:ext cx="76200" cy="209550"/>
        </a:xfrm>
        <a:prstGeom prst="rect">
          <a:avLst/>
        </a:prstGeom>
        <a:noFill/>
        <a:ln w="9525">
          <a:noFill/>
          <a:miter lim="800000"/>
          <a:headEnd/>
          <a:tailEnd/>
        </a:ln>
      </xdr:spPr>
    </xdr:sp>
    <xdr:clientData/>
  </xdr:twoCellAnchor>
  <xdr:twoCellAnchor editAs="oneCell">
    <xdr:from>
      <xdr:col>1</xdr:col>
      <xdr:colOff>0</xdr:colOff>
      <xdr:row>44</xdr:row>
      <xdr:rowOff>0</xdr:rowOff>
    </xdr:from>
    <xdr:to>
      <xdr:col>1</xdr:col>
      <xdr:colOff>76200</xdr:colOff>
      <xdr:row>45</xdr:row>
      <xdr:rowOff>19050</xdr:rowOff>
    </xdr:to>
    <xdr:sp macro="" textlink="">
      <xdr:nvSpPr>
        <xdr:cNvPr id="377440" name="Text Box 618"/>
        <xdr:cNvSpPr txBox="1">
          <a:spLocks noChangeArrowheads="1"/>
        </xdr:cNvSpPr>
      </xdr:nvSpPr>
      <xdr:spPr bwMode="auto">
        <a:xfrm>
          <a:off x="1152525" y="8382000"/>
          <a:ext cx="76200" cy="209550"/>
        </a:xfrm>
        <a:prstGeom prst="rect">
          <a:avLst/>
        </a:prstGeom>
        <a:noFill/>
        <a:ln w="9525">
          <a:noFill/>
          <a:miter lim="800000"/>
          <a:headEnd/>
          <a:tailEnd/>
        </a:ln>
      </xdr:spPr>
    </xdr:sp>
    <xdr:clientData/>
  </xdr:twoCellAnchor>
  <xdr:twoCellAnchor editAs="oneCell">
    <xdr:from>
      <xdr:col>1</xdr:col>
      <xdr:colOff>0</xdr:colOff>
      <xdr:row>45</xdr:row>
      <xdr:rowOff>0</xdr:rowOff>
    </xdr:from>
    <xdr:to>
      <xdr:col>1</xdr:col>
      <xdr:colOff>76200</xdr:colOff>
      <xdr:row>46</xdr:row>
      <xdr:rowOff>19050</xdr:rowOff>
    </xdr:to>
    <xdr:sp macro="" textlink="">
      <xdr:nvSpPr>
        <xdr:cNvPr id="377441" name="Text Box 619"/>
        <xdr:cNvSpPr txBox="1">
          <a:spLocks noChangeArrowheads="1"/>
        </xdr:cNvSpPr>
      </xdr:nvSpPr>
      <xdr:spPr bwMode="auto">
        <a:xfrm>
          <a:off x="1152525" y="8572500"/>
          <a:ext cx="76200" cy="209550"/>
        </a:xfrm>
        <a:prstGeom prst="rect">
          <a:avLst/>
        </a:prstGeom>
        <a:noFill/>
        <a:ln w="9525">
          <a:noFill/>
          <a:miter lim="800000"/>
          <a:headEnd/>
          <a:tailEnd/>
        </a:ln>
      </xdr:spPr>
    </xdr:sp>
    <xdr:clientData/>
  </xdr:twoCellAnchor>
  <xdr:twoCellAnchor editAs="oneCell">
    <xdr:from>
      <xdr:col>1</xdr:col>
      <xdr:colOff>0</xdr:colOff>
      <xdr:row>45</xdr:row>
      <xdr:rowOff>0</xdr:rowOff>
    </xdr:from>
    <xdr:to>
      <xdr:col>1</xdr:col>
      <xdr:colOff>76200</xdr:colOff>
      <xdr:row>46</xdr:row>
      <xdr:rowOff>19050</xdr:rowOff>
    </xdr:to>
    <xdr:sp macro="" textlink="">
      <xdr:nvSpPr>
        <xdr:cNvPr id="377442" name="Text Box 620"/>
        <xdr:cNvSpPr txBox="1">
          <a:spLocks noChangeArrowheads="1"/>
        </xdr:cNvSpPr>
      </xdr:nvSpPr>
      <xdr:spPr bwMode="auto">
        <a:xfrm>
          <a:off x="1152525" y="8572500"/>
          <a:ext cx="76200" cy="209550"/>
        </a:xfrm>
        <a:prstGeom prst="rect">
          <a:avLst/>
        </a:prstGeom>
        <a:noFill/>
        <a:ln w="9525">
          <a:noFill/>
          <a:miter lim="800000"/>
          <a:headEnd/>
          <a:tailEnd/>
        </a:ln>
      </xdr:spPr>
    </xdr:sp>
    <xdr:clientData/>
  </xdr:twoCellAnchor>
  <xdr:twoCellAnchor editAs="oneCell">
    <xdr:from>
      <xdr:col>1</xdr:col>
      <xdr:colOff>0</xdr:colOff>
      <xdr:row>45</xdr:row>
      <xdr:rowOff>0</xdr:rowOff>
    </xdr:from>
    <xdr:to>
      <xdr:col>1</xdr:col>
      <xdr:colOff>76200</xdr:colOff>
      <xdr:row>46</xdr:row>
      <xdr:rowOff>19050</xdr:rowOff>
    </xdr:to>
    <xdr:sp macro="" textlink="">
      <xdr:nvSpPr>
        <xdr:cNvPr id="377443" name="Text Box 621"/>
        <xdr:cNvSpPr txBox="1">
          <a:spLocks noChangeArrowheads="1"/>
        </xdr:cNvSpPr>
      </xdr:nvSpPr>
      <xdr:spPr bwMode="auto">
        <a:xfrm>
          <a:off x="1152525" y="8572500"/>
          <a:ext cx="76200" cy="209550"/>
        </a:xfrm>
        <a:prstGeom prst="rect">
          <a:avLst/>
        </a:prstGeom>
        <a:noFill/>
        <a:ln w="9525">
          <a:noFill/>
          <a:miter lim="800000"/>
          <a:headEnd/>
          <a:tailEnd/>
        </a:ln>
      </xdr:spPr>
    </xdr:sp>
    <xdr:clientData/>
  </xdr:twoCellAnchor>
  <xdr:twoCellAnchor editAs="oneCell">
    <xdr:from>
      <xdr:col>1</xdr:col>
      <xdr:colOff>0</xdr:colOff>
      <xdr:row>45</xdr:row>
      <xdr:rowOff>0</xdr:rowOff>
    </xdr:from>
    <xdr:to>
      <xdr:col>1</xdr:col>
      <xdr:colOff>76200</xdr:colOff>
      <xdr:row>46</xdr:row>
      <xdr:rowOff>19050</xdr:rowOff>
    </xdr:to>
    <xdr:sp macro="" textlink="">
      <xdr:nvSpPr>
        <xdr:cNvPr id="377444" name="Text Box 622"/>
        <xdr:cNvSpPr txBox="1">
          <a:spLocks noChangeArrowheads="1"/>
        </xdr:cNvSpPr>
      </xdr:nvSpPr>
      <xdr:spPr bwMode="auto">
        <a:xfrm>
          <a:off x="1152525" y="8572500"/>
          <a:ext cx="76200" cy="209550"/>
        </a:xfrm>
        <a:prstGeom prst="rect">
          <a:avLst/>
        </a:prstGeom>
        <a:noFill/>
        <a:ln w="9525">
          <a:noFill/>
          <a:miter lim="800000"/>
          <a:headEnd/>
          <a:tailEnd/>
        </a:ln>
      </xdr:spPr>
    </xdr:sp>
    <xdr:clientData/>
  </xdr:twoCellAnchor>
  <xdr:twoCellAnchor editAs="oneCell">
    <xdr:from>
      <xdr:col>1</xdr:col>
      <xdr:colOff>0</xdr:colOff>
      <xdr:row>46</xdr:row>
      <xdr:rowOff>0</xdr:rowOff>
    </xdr:from>
    <xdr:to>
      <xdr:col>1</xdr:col>
      <xdr:colOff>76200</xdr:colOff>
      <xdr:row>47</xdr:row>
      <xdr:rowOff>19050</xdr:rowOff>
    </xdr:to>
    <xdr:sp macro="" textlink="">
      <xdr:nvSpPr>
        <xdr:cNvPr id="377445" name="Text Box 623"/>
        <xdr:cNvSpPr txBox="1">
          <a:spLocks noChangeArrowheads="1"/>
        </xdr:cNvSpPr>
      </xdr:nvSpPr>
      <xdr:spPr bwMode="auto">
        <a:xfrm>
          <a:off x="1152525" y="8763000"/>
          <a:ext cx="76200" cy="209550"/>
        </a:xfrm>
        <a:prstGeom prst="rect">
          <a:avLst/>
        </a:prstGeom>
        <a:noFill/>
        <a:ln w="9525">
          <a:noFill/>
          <a:miter lim="800000"/>
          <a:headEnd/>
          <a:tailEnd/>
        </a:ln>
      </xdr:spPr>
    </xdr:sp>
    <xdr:clientData/>
  </xdr:twoCellAnchor>
  <xdr:twoCellAnchor editAs="oneCell">
    <xdr:from>
      <xdr:col>1</xdr:col>
      <xdr:colOff>0</xdr:colOff>
      <xdr:row>46</xdr:row>
      <xdr:rowOff>0</xdr:rowOff>
    </xdr:from>
    <xdr:to>
      <xdr:col>1</xdr:col>
      <xdr:colOff>76200</xdr:colOff>
      <xdr:row>47</xdr:row>
      <xdr:rowOff>19050</xdr:rowOff>
    </xdr:to>
    <xdr:sp macro="" textlink="">
      <xdr:nvSpPr>
        <xdr:cNvPr id="377446" name="Text Box 624"/>
        <xdr:cNvSpPr txBox="1">
          <a:spLocks noChangeArrowheads="1"/>
        </xdr:cNvSpPr>
      </xdr:nvSpPr>
      <xdr:spPr bwMode="auto">
        <a:xfrm>
          <a:off x="1152525" y="8763000"/>
          <a:ext cx="76200" cy="209550"/>
        </a:xfrm>
        <a:prstGeom prst="rect">
          <a:avLst/>
        </a:prstGeom>
        <a:noFill/>
        <a:ln w="9525">
          <a:noFill/>
          <a:miter lim="800000"/>
          <a:headEnd/>
          <a:tailEnd/>
        </a:ln>
      </xdr:spPr>
    </xdr:sp>
    <xdr:clientData/>
  </xdr:twoCellAnchor>
  <xdr:twoCellAnchor editAs="oneCell">
    <xdr:from>
      <xdr:col>1</xdr:col>
      <xdr:colOff>0</xdr:colOff>
      <xdr:row>46</xdr:row>
      <xdr:rowOff>0</xdr:rowOff>
    </xdr:from>
    <xdr:to>
      <xdr:col>1</xdr:col>
      <xdr:colOff>76200</xdr:colOff>
      <xdr:row>47</xdr:row>
      <xdr:rowOff>19050</xdr:rowOff>
    </xdr:to>
    <xdr:sp macro="" textlink="">
      <xdr:nvSpPr>
        <xdr:cNvPr id="377447" name="Text Box 625"/>
        <xdr:cNvSpPr txBox="1">
          <a:spLocks noChangeArrowheads="1"/>
        </xdr:cNvSpPr>
      </xdr:nvSpPr>
      <xdr:spPr bwMode="auto">
        <a:xfrm>
          <a:off x="1152525" y="8763000"/>
          <a:ext cx="76200" cy="209550"/>
        </a:xfrm>
        <a:prstGeom prst="rect">
          <a:avLst/>
        </a:prstGeom>
        <a:noFill/>
        <a:ln w="9525">
          <a:noFill/>
          <a:miter lim="800000"/>
          <a:headEnd/>
          <a:tailEnd/>
        </a:ln>
      </xdr:spPr>
    </xdr:sp>
    <xdr:clientData/>
  </xdr:twoCellAnchor>
  <xdr:twoCellAnchor editAs="oneCell">
    <xdr:from>
      <xdr:col>1</xdr:col>
      <xdr:colOff>0</xdr:colOff>
      <xdr:row>46</xdr:row>
      <xdr:rowOff>0</xdr:rowOff>
    </xdr:from>
    <xdr:to>
      <xdr:col>1</xdr:col>
      <xdr:colOff>76200</xdr:colOff>
      <xdr:row>47</xdr:row>
      <xdr:rowOff>19050</xdr:rowOff>
    </xdr:to>
    <xdr:sp macro="" textlink="">
      <xdr:nvSpPr>
        <xdr:cNvPr id="377448" name="Text Box 626"/>
        <xdr:cNvSpPr txBox="1">
          <a:spLocks noChangeArrowheads="1"/>
        </xdr:cNvSpPr>
      </xdr:nvSpPr>
      <xdr:spPr bwMode="auto">
        <a:xfrm>
          <a:off x="1152525" y="8763000"/>
          <a:ext cx="76200" cy="209550"/>
        </a:xfrm>
        <a:prstGeom prst="rect">
          <a:avLst/>
        </a:prstGeom>
        <a:noFill/>
        <a:ln w="9525">
          <a:noFill/>
          <a:miter lim="800000"/>
          <a:headEnd/>
          <a:tailEnd/>
        </a:ln>
      </xdr:spPr>
    </xdr:sp>
    <xdr:clientData/>
  </xdr:twoCellAnchor>
  <xdr:twoCellAnchor editAs="oneCell">
    <xdr:from>
      <xdr:col>1</xdr:col>
      <xdr:colOff>0</xdr:colOff>
      <xdr:row>47</xdr:row>
      <xdr:rowOff>0</xdr:rowOff>
    </xdr:from>
    <xdr:to>
      <xdr:col>1</xdr:col>
      <xdr:colOff>76200</xdr:colOff>
      <xdr:row>48</xdr:row>
      <xdr:rowOff>19050</xdr:rowOff>
    </xdr:to>
    <xdr:sp macro="" textlink="">
      <xdr:nvSpPr>
        <xdr:cNvPr id="377449" name="Text Box 627"/>
        <xdr:cNvSpPr txBox="1">
          <a:spLocks noChangeArrowheads="1"/>
        </xdr:cNvSpPr>
      </xdr:nvSpPr>
      <xdr:spPr bwMode="auto">
        <a:xfrm>
          <a:off x="1152525" y="8953500"/>
          <a:ext cx="76200" cy="209550"/>
        </a:xfrm>
        <a:prstGeom prst="rect">
          <a:avLst/>
        </a:prstGeom>
        <a:noFill/>
        <a:ln w="9525">
          <a:noFill/>
          <a:miter lim="800000"/>
          <a:headEnd/>
          <a:tailEnd/>
        </a:ln>
      </xdr:spPr>
    </xdr:sp>
    <xdr:clientData/>
  </xdr:twoCellAnchor>
  <xdr:twoCellAnchor editAs="oneCell">
    <xdr:from>
      <xdr:col>1</xdr:col>
      <xdr:colOff>0</xdr:colOff>
      <xdr:row>47</xdr:row>
      <xdr:rowOff>0</xdr:rowOff>
    </xdr:from>
    <xdr:to>
      <xdr:col>1</xdr:col>
      <xdr:colOff>76200</xdr:colOff>
      <xdr:row>48</xdr:row>
      <xdr:rowOff>19050</xdr:rowOff>
    </xdr:to>
    <xdr:sp macro="" textlink="">
      <xdr:nvSpPr>
        <xdr:cNvPr id="377450" name="Text Box 628"/>
        <xdr:cNvSpPr txBox="1">
          <a:spLocks noChangeArrowheads="1"/>
        </xdr:cNvSpPr>
      </xdr:nvSpPr>
      <xdr:spPr bwMode="auto">
        <a:xfrm>
          <a:off x="1152525" y="8953500"/>
          <a:ext cx="76200" cy="209550"/>
        </a:xfrm>
        <a:prstGeom prst="rect">
          <a:avLst/>
        </a:prstGeom>
        <a:noFill/>
        <a:ln w="9525">
          <a:noFill/>
          <a:miter lim="800000"/>
          <a:headEnd/>
          <a:tailEnd/>
        </a:ln>
      </xdr:spPr>
    </xdr:sp>
    <xdr:clientData/>
  </xdr:twoCellAnchor>
  <xdr:twoCellAnchor editAs="oneCell">
    <xdr:from>
      <xdr:col>1</xdr:col>
      <xdr:colOff>0</xdr:colOff>
      <xdr:row>47</xdr:row>
      <xdr:rowOff>0</xdr:rowOff>
    </xdr:from>
    <xdr:to>
      <xdr:col>1</xdr:col>
      <xdr:colOff>76200</xdr:colOff>
      <xdr:row>48</xdr:row>
      <xdr:rowOff>19050</xdr:rowOff>
    </xdr:to>
    <xdr:sp macro="" textlink="">
      <xdr:nvSpPr>
        <xdr:cNvPr id="377451" name="Text Box 629"/>
        <xdr:cNvSpPr txBox="1">
          <a:spLocks noChangeArrowheads="1"/>
        </xdr:cNvSpPr>
      </xdr:nvSpPr>
      <xdr:spPr bwMode="auto">
        <a:xfrm>
          <a:off x="1152525" y="8953500"/>
          <a:ext cx="76200" cy="209550"/>
        </a:xfrm>
        <a:prstGeom prst="rect">
          <a:avLst/>
        </a:prstGeom>
        <a:noFill/>
        <a:ln w="9525">
          <a:noFill/>
          <a:miter lim="800000"/>
          <a:headEnd/>
          <a:tailEnd/>
        </a:ln>
      </xdr:spPr>
    </xdr:sp>
    <xdr:clientData/>
  </xdr:twoCellAnchor>
  <xdr:twoCellAnchor editAs="oneCell">
    <xdr:from>
      <xdr:col>1</xdr:col>
      <xdr:colOff>0</xdr:colOff>
      <xdr:row>47</xdr:row>
      <xdr:rowOff>0</xdr:rowOff>
    </xdr:from>
    <xdr:to>
      <xdr:col>1</xdr:col>
      <xdr:colOff>76200</xdr:colOff>
      <xdr:row>48</xdr:row>
      <xdr:rowOff>19050</xdr:rowOff>
    </xdr:to>
    <xdr:sp macro="" textlink="">
      <xdr:nvSpPr>
        <xdr:cNvPr id="377452" name="Text Box 630"/>
        <xdr:cNvSpPr txBox="1">
          <a:spLocks noChangeArrowheads="1"/>
        </xdr:cNvSpPr>
      </xdr:nvSpPr>
      <xdr:spPr bwMode="auto">
        <a:xfrm>
          <a:off x="1152525" y="8953500"/>
          <a:ext cx="76200" cy="209550"/>
        </a:xfrm>
        <a:prstGeom prst="rect">
          <a:avLst/>
        </a:prstGeom>
        <a:noFill/>
        <a:ln w="9525">
          <a:noFill/>
          <a:miter lim="800000"/>
          <a:headEnd/>
          <a:tailEnd/>
        </a:ln>
      </xdr:spPr>
    </xdr:sp>
    <xdr:clientData/>
  </xdr:twoCellAnchor>
  <xdr:twoCellAnchor editAs="oneCell">
    <xdr:from>
      <xdr:col>1</xdr:col>
      <xdr:colOff>0</xdr:colOff>
      <xdr:row>48</xdr:row>
      <xdr:rowOff>0</xdr:rowOff>
    </xdr:from>
    <xdr:to>
      <xdr:col>1</xdr:col>
      <xdr:colOff>76200</xdr:colOff>
      <xdr:row>49</xdr:row>
      <xdr:rowOff>19050</xdr:rowOff>
    </xdr:to>
    <xdr:sp macro="" textlink="">
      <xdr:nvSpPr>
        <xdr:cNvPr id="377453" name="Text Box 631"/>
        <xdr:cNvSpPr txBox="1">
          <a:spLocks noChangeArrowheads="1"/>
        </xdr:cNvSpPr>
      </xdr:nvSpPr>
      <xdr:spPr bwMode="auto">
        <a:xfrm>
          <a:off x="1152525" y="9144000"/>
          <a:ext cx="76200" cy="209550"/>
        </a:xfrm>
        <a:prstGeom prst="rect">
          <a:avLst/>
        </a:prstGeom>
        <a:noFill/>
        <a:ln w="9525">
          <a:noFill/>
          <a:miter lim="800000"/>
          <a:headEnd/>
          <a:tailEnd/>
        </a:ln>
      </xdr:spPr>
    </xdr:sp>
    <xdr:clientData/>
  </xdr:twoCellAnchor>
  <xdr:twoCellAnchor editAs="oneCell">
    <xdr:from>
      <xdr:col>1</xdr:col>
      <xdr:colOff>0</xdr:colOff>
      <xdr:row>48</xdr:row>
      <xdr:rowOff>0</xdr:rowOff>
    </xdr:from>
    <xdr:to>
      <xdr:col>1</xdr:col>
      <xdr:colOff>76200</xdr:colOff>
      <xdr:row>49</xdr:row>
      <xdr:rowOff>19050</xdr:rowOff>
    </xdr:to>
    <xdr:sp macro="" textlink="">
      <xdr:nvSpPr>
        <xdr:cNvPr id="377454" name="Text Box 632"/>
        <xdr:cNvSpPr txBox="1">
          <a:spLocks noChangeArrowheads="1"/>
        </xdr:cNvSpPr>
      </xdr:nvSpPr>
      <xdr:spPr bwMode="auto">
        <a:xfrm>
          <a:off x="1152525" y="9144000"/>
          <a:ext cx="76200" cy="209550"/>
        </a:xfrm>
        <a:prstGeom prst="rect">
          <a:avLst/>
        </a:prstGeom>
        <a:noFill/>
        <a:ln w="9525">
          <a:noFill/>
          <a:miter lim="800000"/>
          <a:headEnd/>
          <a:tailEnd/>
        </a:ln>
      </xdr:spPr>
    </xdr:sp>
    <xdr:clientData/>
  </xdr:twoCellAnchor>
  <xdr:twoCellAnchor editAs="oneCell">
    <xdr:from>
      <xdr:col>1</xdr:col>
      <xdr:colOff>0</xdr:colOff>
      <xdr:row>48</xdr:row>
      <xdr:rowOff>0</xdr:rowOff>
    </xdr:from>
    <xdr:to>
      <xdr:col>1</xdr:col>
      <xdr:colOff>76200</xdr:colOff>
      <xdr:row>49</xdr:row>
      <xdr:rowOff>19050</xdr:rowOff>
    </xdr:to>
    <xdr:sp macro="" textlink="">
      <xdr:nvSpPr>
        <xdr:cNvPr id="377455" name="Text Box 633"/>
        <xdr:cNvSpPr txBox="1">
          <a:spLocks noChangeArrowheads="1"/>
        </xdr:cNvSpPr>
      </xdr:nvSpPr>
      <xdr:spPr bwMode="auto">
        <a:xfrm>
          <a:off x="1152525" y="9144000"/>
          <a:ext cx="76200" cy="209550"/>
        </a:xfrm>
        <a:prstGeom prst="rect">
          <a:avLst/>
        </a:prstGeom>
        <a:noFill/>
        <a:ln w="9525">
          <a:noFill/>
          <a:miter lim="800000"/>
          <a:headEnd/>
          <a:tailEnd/>
        </a:ln>
      </xdr:spPr>
    </xdr:sp>
    <xdr:clientData/>
  </xdr:twoCellAnchor>
  <xdr:twoCellAnchor editAs="oneCell">
    <xdr:from>
      <xdr:col>1</xdr:col>
      <xdr:colOff>0</xdr:colOff>
      <xdr:row>48</xdr:row>
      <xdr:rowOff>0</xdr:rowOff>
    </xdr:from>
    <xdr:to>
      <xdr:col>1</xdr:col>
      <xdr:colOff>76200</xdr:colOff>
      <xdr:row>49</xdr:row>
      <xdr:rowOff>19050</xdr:rowOff>
    </xdr:to>
    <xdr:sp macro="" textlink="">
      <xdr:nvSpPr>
        <xdr:cNvPr id="377456" name="Text Box 634"/>
        <xdr:cNvSpPr txBox="1">
          <a:spLocks noChangeArrowheads="1"/>
        </xdr:cNvSpPr>
      </xdr:nvSpPr>
      <xdr:spPr bwMode="auto">
        <a:xfrm>
          <a:off x="1152525" y="9144000"/>
          <a:ext cx="76200" cy="209550"/>
        </a:xfrm>
        <a:prstGeom prst="rect">
          <a:avLst/>
        </a:prstGeom>
        <a:noFill/>
        <a:ln w="9525">
          <a:noFill/>
          <a:miter lim="800000"/>
          <a:headEnd/>
          <a:tailEnd/>
        </a:ln>
      </xdr:spPr>
    </xdr:sp>
    <xdr:clientData/>
  </xdr:twoCellAnchor>
  <xdr:twoCellAnchor editAs="oneCell">
    <xdr:from>
      <xdr:col>1</xdr:col>
      <xdr:colOff>0</xdr:colOff>
      <xdr:row>49</xdr:row>
      <xdr:rowOff>0</xdr:rowOff>
    </xdr:from>
    <xdr:to>
      <xdr:col>1</xdr:col>
      <xdr:colOff>76200</xdr:colOff>
      <xdr:row>50</xdr:row>
      <xdr:rowOff>19050</xdr:rowOff>
    </xdr:to>
    <xdr:sp macro="" textlink="">
      <xdr:nvSpPr>
        <xdr:cNvPr id="377457" name="Text Box 635"/>
        <xdr:cNvSpPr txBox="1">
          <a:spLocks noChangeArrowheads="1"/>
        </xdr:cNvSpPr>
      </xdr:nvSpPr>
      <xdr:spPr bwMode="auto">
        <a:xfrm>
          <a:off x="1152525" y="9334500"/>
          <a:ext cx="76200" cy="209550"/>
        </a:xfrm>
        <a:prstGeom prst="rect">
          <a:avLst/>
        </a:prstGeom>
        <a:noFill/>
        <a:ln w="9525">
          <a:noFill/>
          <a:miter lim="800000"/>
          <a:headEnd/>
          <a:tailEnd/>
        </a:ln>
      </xdr:spPr>
    </xdr:sp>
    <xdr:clientData/>
  </xdr:twoCellAnchor>
  <xdr:twoCellAnchor editAs="oneCell">
    <xdr:from>
      <xdr:col>1</xdr:col>
      <xdr:colOff>0</xdr:colOff>
      <xdr:row>49</xdr:row>
      <xdr:rowOff>0</xdr:rowOff>
    </xdr:from>
    <xdr:to>
      <xdr:col>1</xdr:col>
      <xdr:colOff>76200</xdr:colOff>
      <xdr:row>50</xdr:row>
      <xdr:rowOff>19050</xdr:rowOff>
    </xdr:to>
    <xdr:sp macro="" textlink="">
      <xdr:nvSpPr>
        <xdr:cNvPr id="377458" name="Text Box 636"/>
        <xdr:cNvSpPr txBox="1">
          <a:spLocks noChangeArrowheads="1"/>
        </xdr:cNvSpPr>
      </xdr:nvSpPr>
      <xdr:spPr bwMode="auto">
        <a:xfrm>
          <a:off x="1152525" y="9334500"/>
          <a:ext cx="76200" cy="209550"/>
        </a:xfrm>
        <a:prstGeom prst="rect">
          <a:avLst/>
        </a:prstGeom>
        <a:noFill/>
        <a:ln w="9525">
          <a:noFill/>
          <a:miter lim="800000"/>
          <a:headEnd/>
          <a:tailEnd/>
        </a:ln>
      </xdr:spPr>
    </xdr:sp>
    <xdr:clientData/>
  </xdr:twoCellAnchor>
  <xdr:twoCellAnchor editAs="oneCell">
    <xdr:from>
      <xdr:col>1</xdr:col>
      <xdr:colOff>0</xdr:colOff>
      <xdr:row>49</xdr:row>
      <xdr:rowOff>0</xdr:rowOff>
    </xdr:from>
    <xdr:to>
      <xdr:col>1</xdr:col>
      <xdr:colOff>76200</xdr:colOff>
      <xdr:row>50</xdr:row>
      <xdr:rowOff>19050</xdr:rowOff>
    </xdr:to>
    <xdr:sp macro="" textlink="">
      <xdr:nvSpPr>
        <xdr:cNvPr id="377459" name="Text Box 637"/>
        <xdr:cNvSpPr txBox="1">
          <a:spLocks noChangeArrowheads="1"/>
        </xdr:cNvSpPr>
      </xdr:nvSpPr>
      <xdr:spPr bwMode="auto">
        <a:xfrm>
          <a:off x="1152525" y="9334500"/>
          <a:ext cx="76200" cy="209550"/>
        </a:xfrm>
        <a:prstGeom prst="rect">
          <a:avLst/>
        </a:prstGeom>
        <a:noFill/>
        <a:ln w="9525">
          <a:noFill/>
          <a:miter lim="800000"/>
          <a:headEnd/>
          <a:tailEnd/>
        </a:ln>
      </xdr:spPr>
    </xdr:sp>
    <xdr:clientData/>
  </xdr:twoCellAnchor>
  <xdr:twoCellAnchor editAs="oneCell">
    <xdr:from>
      <xdr:col>1</xdr:col>
      <xdr:colOff>0</xdr:colOff>
      <xdr:row>49</xdr:row>
      <xdr:rowOff>0</xdr:rowOff>
    </xdr:from>
    <xdr:to>
      <xdr:col>1</xdr:col>
      <xdr:colOff>76200</xdr:colOff>
      <xdr:row>50</xdr:row>
      <xdr:rowOff>19050</xdr:rowOff>
    </xdr:to>
    <xdr:sp macro="" textlink="">
      <xdr:nvSpPr>
        <xdr:cNvPr id="377460" name="Text Box 638"/>
        <xdr:cNvSpPr txBox="1">
          <a:spLocks noChangeArrowheads="1"/>
        </xdr:cNvSpPr>
      </xdr:nvSpPr>
      <xdr:spPr bwMode="auto">
        <a:xfrm>
          <a:off x="1152525" y="9334500"/>
          <a:ext cx="76200" cy="209550"/>
        </a:xfrm>
        <a:prstGeom prst="rect">
          <a:avLst/>
        </a:prstGeom>
        <a:noFill/>
        <a:ln w="9525">
          <a:noFill/>
          <a:miter lim="800000"/>
          <a:headEnd/>
          <a:tailEnd/>
        </a:ln>
      </xdr:spPr>
    </xdr:sp>
    <xdr:clientData/>
  </xdr:twoCellAnchor>
  <xdr:twoCellAnchor editAs="oneCell">
    <xdr:from>
      <xdr:col>1</xdr:col>
      <xdr:colOff>0</xdr:colOff>
      <xdr:row>50</xdr:row>
      <xdr:rowOff>0</xdr:rowOff>
    </xdr:from>
    <xdr:to>
      <xdr:col>1</xdr:col>
      <xdr:colOff>76200</xdr:colOff>
      <xdr:row>51</xdr:row>
      <xdr:rowOff>19050</xdr:rowOff>
    </xdr:to>
    <xdr:sp macro="" textlink="">
      <xdr:nvSpPr>
        <xdr:cNvPr id="377461" name="Text Box 639"/>
        <xdr:cNvSpPr txBox="1">
          <a:spLocks noChangeArrowheads="1"/>
        </xdr:cNvSpPr>
      </xdr:nvSpPr>
      <xdr:spPr bwMode="auto">
        <a:xfrm>
          <a:off x="1152525" y="9525000"/>
          <a:ext cx="76200" cy="209550"/>
        </a:xfrm>
        <a:prstGeom prst="rect">
          <a:avLst/>
        </a:prstGeom>
        <a:noFill/>
        <a:ln w="9525">
          <a:noFill/>
          <a:miter lim="800000"/>
          <a:headEnd/>
          <a:tailEnd/>
        </a:ln>
      </xdr:spPr>
    </xdr:sp>
    <xdr:clientData/>
  </xdr:twoCellAnchor>
  <xdr:twoCellAnchor editAs="oneCell">
    <xdr:from>
      <xdr:col>1</xdr:col>
      <xdr:colOff>0</xdr:colOff>
      <xdr:row>50</xdr:row>
      <xdr:rowOff>0</xdr:rowOff>
    </xdr:from>
    <xdr:to>
      <xdr:col>1</xdr:col>
      <xdr:colOff>76200</xdr:colOff>
      <xdr:row>51</xdr:row>
      <xdr:rowOff>19050</xdr:rowOff>
    </xdr:to>
    <xdr:sp macro="" textlink="">
      <xdr:nvSpPr>
        <xdr:cNvPr id="377462" name="Text Box 640"/>
        <xdr:cNvSpPr txBox="1">
          <a:spLocks noChangeArrowheads="1"/>
        </xdr:cNvSpPr>
      </xdr:nvSpPr>
      <xdr:spPr bwMode="auto">
        <a:xfrm>
          <a:off x="1152525" y="9525000"/>
          <a:ext cx="76200" cy="209550"/>
        </a:xfrm>
        <a:prstGeom prst="rect">
          <a:avLst/>
        </a:prstGeom>
        <a:noFill/>
        <a:ln w="9525">
          <a:noFill/>
          <a:miter lim="800000"/>
          <a:headEnd/>
          <a:tailEnd/>
        </a:ln>
      </xdr:spPr>
    </xdr:sp>
    <xdr:clientData/>
  </xdr:twoCellAnchor>
  <xdr:twoCellAnchor editAs="oneCell">
    <xdr:from>
      <xdr:col>1</xdr:col>
      <xdr:colOff>0</xdr:colOff>
      <xdr:row>50</xdr:row>
      <xdr:rowOff>0</xdr:rowOff>
    </xdr:from>
    <xdr:to>
      <xdr:col>1</xdr:col>
      <xdr:colOff>76200</xdr:colOff>
      <xdr:row>51</xdr:row>
      <xdr:rowOff>19050</xdr:rowOff>
    </xdr:to>
    <xdr:sp macro="" textlink="">
      <xdr:nvSpPr>
        <xdr:cNvPr id="377463" name="Text Box 641"/>
        <xdr:cNvSpPr txBox="1">
          <a:spLocks noChangeArrowheads="1"/>
        </xdr:cNvSpPr>
      </xdr:nvSpPr>
      <xdr:spPr bwMode="auto">
        <a:xfrm>
          <a:off x="1152525" y="9525000"/>
          <a:ext cx="76200" cy="209550"/>
        </a:xfrm>
        <a:prstGeom prst="rect">
          <a:avLst/>
        </a:prstGeom>
        <a:noFill/>
        <a:ln w="9525">
          <a:noFill/>
          <a:miter lim="800000"/>
          <a:headEnd/>
          <a:tailEnd/>
        </a:ln>
      </xdr:spPr>
    </xdr:sp>
    <xdr:clientData/>
  </xdr:twoCellAnchor>
  <xdr:twoCellAnchor editAs="oneCell">
    <xdr:from>
      <xdr:col>1</xdr:col>
      <xdr:colOff>0</xdr:colOff>
      <xdr:row>50</xdr:row>
      <xdr:rowOff>0</xdr:rowOff>
    </xdr:from>
    <xdr:to>
      <xdr:col>1</xdr:col>
      <xdr:colOff>76200</xdr:colOff>
      <xdr:row>51</xdr:row>
      <xdr:rowOff>19050</xdr:rowOff>
    </xdr:to>
    <xdr:sp macro="" textlink="">
      <xdr:nvSpPr>
        <xdr:cNvPr id="377464" name="Text Box 642"/>
        <xdr:cNvSpPr txBox="1">
          <a:spLocks noChangeArrowheads="1"/>
        </xdr:cNvSpPr>
      </xdr:nvSpPr>
      <xdr:spPr bwMode="auto">
        <a:xfrm>
          <a:off x="1152525" y="9525000"/>
          <a:ext cx="76200" cy="209550"/>
        </a:xfrm>
        <a:prstGeom prst="rect">
          <a:avLst/>
        </a:prstGeom>
        <a:noFill/>
        <a:ln w="9525">
          <a:noFill/>
          <a:miter lim="800000"/>
          <a:headEnd/>
          <a:tailEnd/>
        </a:ln>
      </xdr:spPr>
    </xdr:sp>
    <xdr:clientData/>
  </xdr:twoCellAnchor>
  <xdr:twoCellAnchor editAs="oneCell">
    <xdr:from>
      <xdr:col>1</xdr:col>
      <xdr:colOff>0</xdr:colOff>
      <xdr:row>51</xdr:row>
      <xdr:rowOff>0</xdr:rowOff>
    </xdr:from>
    <xdr:to>
      <xdr:col>1</xdr:col>
      <xdr:colOff>76200</xdr:colOff>
      <xdr:row>52</xdr:row>
      <xdr:rowOff>19050</xdr:rowOff>
    </xdr:to>
    <xdr:sp macro="" textlink="">
      <xdr:nvSpPr>
        <xdr:cNvPr id="377465" name="Text Box 643"/>
        <xdr:cNvSpPr txBox="1">
          <a:spLocks noChangeArrowheads="1"/>
        </xdr:cNvSpPr>
      </xdr:nvSpPr>
      <xdr:spPr bwMode="auto">
        <a:xfrm>
          <a:off x="1152525" y="9715500"/>
          <a:ext cx="76200" cy="209550"/>
        </a:xfrm>
        <a:prstGeom prst="rect">
          <a:avLst/>
        </a:prstGeom>
        <a:noFill/>
        <a:ln w="9525">
          <a:noFill/>
          <a:miter lim="800000"/>
          <a:headEnd/>
          <a:tailEnd/>
        </a:ln>
      </xdr:spPr>
    </xdr:sp>
    <xdr:clientData/>
  </xdr:twoCellAnchor>
  <xdr:twoCellAnchor editAs="oneCell">
    <xdr:from>
      <xdr:col>1</xdr:col>
      <xdr:colOff>0</xdr:colOff>
      <xdr:row>51</xdr:row>
      <xdr:rowOff>0</xdr:rowOff>
    </xdr:from>
    <xdr:to>
      <xdr:col>1</xdr:col>
      <xdr:colOff>76200</xdr:colOff>
      <xdr:row>52</xdr:row>
      <xdr:rowOff>19050</xdr:rowOff>
    </xdr:to>
    <xdr:sp macro="" textlink="">
      <xdr:nvSpPr>
        <xdr:cNvPr id="377466" name="Text Box 644"/>
        <xdr:cNvSpPr txBox="1">
          <a:spLocks noChangeArrowheads="1"/>
        </xdr:cNvSpPr>
      </xdr:nvSpPr>
      <xdr:spPr bwMode="auto">
        <a:xfrm>
          <a:off x="1152525" y="9715500"/>
          <a:ext cx="76200" cy="209550"/>
        </a:xfrm>
        <a:prstGeom prst="rect">
          <a:avLst/>
        </a:prstGeom>
        <a:noFill/>
        <a:ln w="9525">
          <a:noFill/>
          <a:miter lim="800000"/>
          <a:headEnd/>
          <a:tailEnd/>
        </a:ln>
      </xdr:spPr>
    </xdr:sp>
    <xdr:clientData/>
  </xdr:twoCellAnchor>
  <xdr:twoCellAnchor editAs="oneCell">
    <xdr:from>
      <xdr:col>1</xdr:col>
      <xdr:colOff>0</xdr:colOff>
      <xdr:row>51</xdr:row>
      <xdr:rowOff>0</xdr:rowOff>
    </xdr:from>
    <xdr:to>
      <xdr:col>1</xdr:col>
      <xdr:colOff>76200</xdr:colOff>
      <xdr:row>52</xdr:row>
      <xdr:rowOff>19050</xdr:rowOff>
    </xdr:to>
    <xdr:sp macro="" textlink="">
      <xdr:nvSpPr>
        <xdr:cNvPr id="377467" name="Text Box 645"/>
        <xdr:cNvSpPr txBox="1">
          <a:spLocks noChangeArrowheads="1"/>
        </xdr:cNvSpPr>
      </xdr:nvSpPr>
      <xdr:spPr bwMode="auto">
        <a:xfrm>
          <a:off x="1152525" y="9715500"/>
          <a:ext cx="76200" cy="209550"/>
        </a:xfrm>
        <a:prstGeom prst="rect">
          <a:avLst/>
        </a:prstGeom>
        <a:noFill/>
        <a:ln w="9525">
          <a:noFill/>
          <a:miter lim="800000"/>
          <a:headEnd/>
          <a:tailEnd/>
        </a:ln>
      </xdr:spPr>
    </xdr:sp>
    <xdr:clientData/>
  </xdr:twoCellAnchor>
  <xdr:twoCellAnchor editAs="oneCell">
    <xdr:from>
      <xdr:col>1</xdr:col>
      <xdr:colOff>0</xdr:colOff>
      <xdr:row>51</xdr:row>
      <xdr:rowOff>0</xdr:rowOff>
    </xdr:from>
    <xdr:to>
      <xdr:col>1</xdr:col>
      <xdr:colOff>76200</xdr:colOff>
      <xdr:row>52</xdr:row>
      <xdr:rowOff>19050</xdr:rowOff>
    </xdr:to>
    <xdr:sp macro="" textlink="">
      <xdr:nvSpPr>
        <xdr:cNvPr id="377468" name="Text Box 646"/>
        <xdr:cNvSpPr txBox="1">
          <a:spLocks noChangeArrowheads="1"/>
        </xdr:cNvSpPr>
      </xdr:nvSpPr>
      <xdr:spPr bwMode="auto">
        <a:xfrm>
          <a:off x="1152525" y="9715500"/>
          <a:ext cx="76200" cy="209550"/>
        </a:xfrm>
        <a:prstGeom prst="rect">
          <a:avLst/>
        </a:prstGeom>
        <a:noFill/>
        <a:ln w="9525">
          <a:noFill/>
          <a:miter lim="800000"/>
          <a:headEnd/>
          <a:tailEnd/>
        </a:ln>
      </xdr:spPr>
    </xdr:sp>
    <xdr:clientData/>
  </xdr:twoCellAnchor>
  <xdr:twoCellAnchor editAs="oneCell">
    <xdr:from>
      <xdr:col>1</xdr:col>
      <xdr:colOff>0</xdr:colOff>
      <xdr:row>52</xdr:row>
      <xdr:rowOff>0</xdr:rowOff>
    </xdr:from>
    <xdr:to>
      <xdr:col>1</xdr:col>
      <xdr:colOff>76200</xdr:colOff>
      <xdr:row>53</xdr:row>
      <xdr:rowOff>19050</xdr:rowOff>
    </xdr:to>
    <xdr:sp macro="" textlink="">
      <xdr:nvSpPr>
        <xdr:cNvPr id="377469" name="Text Box 647"/>
        <xdr:cNvSpPr txBox="1">
          <a:spLocks noChangeArrowheads="1"/>
        </xdr:cNvSpPr>
      </xdr:nvSpPr>
      <xdr:spPr bwMode="auto">
        <a:xfrm>
          <a:off x="1152525" y="9906000"/>
          <a:ext cx="76200" cy="209550"/>
        </a:xfrm>
        <a:prstGeom prst="rect">
          <a:avLst/>
        </a:prstGeom>
        <a:noFill/>
        <a:ln w="9525">
          <a:noFill/>
          <a:miter lim="800000"/>
          <a:headEnd/>
          <a:tailEnd/>
        </a:ln>
      </xdr:spPr>
    </xdr:sp>
    <xdr:clientData/>
  </xdr:twoCellAnchor>
  <xdr:twoCellAnchor editAs="oneCell">
    <xdr:from>
      <xdr:col>1</xdr:col>
      <xdr:colOff>0</xdr:colOff>
      <xdr:row>52</xdr:row>
      <xdr:rowOff>0</xdr:rowOff>
    </xdr:from>
    <xdr:to>
      <xdr:col>1</xdr:col>
      <xdr:colOff>76200</xdr:colOff>
      <xdr:row>53</xdr:row>
      <xdr:rowOff>19050</xdr:rowOff>
    </xdr:to>
    <xdr:sp macro="" textlink="">
      <xdr:nvSpPr>
        <xdr:cNvPr id="377470" name="Text Box 648"/>
        <xdr:cNvSpPr txBox="1">
          <a:spLocks noChangeArrowheads="1"/>
        </xdr:cNvSpPr>
      </xdr:nvSpPr>
      <xdr:spPr bwMode="auto">
        <a:xfrm>
          <a:off x="1152525" y="9906000"/>
          <a:ext cx="76200" cy="209550"/>
        </a:xfrm>
        <a:prstGeom prst="rect">
          <a:avLst/>
        </a:prstGeom>
        <a:noFill/>
        <a:ln w="9525">
          <a:noFill/>
          <a:miter lim="800000"/>
          <a:headEnd/>
          <a:tailEnd/>
        </a:ln>
      </xdr:spPr>
    </xdr:sp>
    <xdr:clientData/>
  </xdr:twoCellAnchor>
  <xdr:twoCellAnchor editAs="oneCell">
    <xdr:from>
      <xdr:col>1</xdr:col>
      <xdr:colOff>0</xdr:colOff>
      <xdr:row>52</xdr:row>
      <xdr:rowOff>0</xdr:rowOff>
    </xdr:from>
    <xdr:to>
      <xdr:col>1</xdr:col>
      <xdr:colOff>76200</xdr:colOff>
      <xdr:row>53</xdr:row>
      <xdr:rowOff>19050</xdr:rowOff>
    </xdr:to>
    <xdr:sp macro="" textlink="">
      <xdr:nvSpPr>
        <xdr:cNvPr id="377471" name="Text Box 649"/>
        <xdr:cNvSpPr txBox="1">
          <a:spLocks noChangeArrowheads="1"/>
        </xdr:cNvSpPr>
      </xdr:nvSpPr>
      <xdr:spPr bwMode="auto">
        <a:xfrm>
          <a:off x="1152525" y="9906000"/>
          <a:ext cx="76200" cy="209550"/>
        </a:xfrm>
        <a:prstGeom prst="rect">
          <a:avLst/>
        </a:prstGeom>
        <a:noFill/>
        <a:ln w="9525">
          <a:noFill/>
          <a:miter lim="800000"/>
          <a:headEnd/>
          <a:tailEnd/>
        </a:ln>
      </xdr:spPr>
    </xdr:sp>
    <xdr:clientData/>
  </xdr:twoCellAnchor>
  <xdr:twoCellAnchor editAs="oneCell">
    <xdr:from>
      <xdr:col>1</xdr:col>
      <xdr:colOff>0</xdr:colOff>
      <xdr:row>52</xdr:row>
      <xdr:rowOff>0</xdr:rowOff>
    </xdr:from>
    <xdr:to>
      <xdr:col>1</xdr:col>
      <xdr:colOff>76200</xdr:colOff>
      <xdr:row>53</xdr:row>
      <xdr:rowOff>19050</xdr:rowOff>
    </xdr:to>
    <xdr:sp macro="" textlink="">
      <xdr:nvSpPr>
        <xdr:cNvPr id="377472" name="Text Box 650"/>
        <xdr:cNvSpPr txBox="1">
          <a:spLocks noChangeArrowheads="1"/>
        </xdr:cNvSpPr>
      </xdr:nvSpPr>
      <xdr:spPr bwMode="auto">
        <a:xfrm>
          <a:off x="1152525" y="9906000"/>
          <a:ext cx="76200" cy="209550"/>
        </a:xfrm>
        <a:prstGeom prst="rect">
          <a:avLst/>
        </a:prstGeom>
        <a:noFill/>
        <a:ln w="9525">
          <a:noFill/>
          <a:miter lim="800000"/>
          <a:headEnd/>
          <a:tailEnd/>
        </a:ln>
      </xdr:spPr>
    </xdr:sp>
    <xdr:clientData/>
  </xdr:twoCellAnchor>
  <xdr:twoCellAnchor editAs="oneCell">
    <xdr:from>
      <xdr:col>1</xdr:col>
      <xdr:colOff>0</xdr:colOff>
      <xdr:row>53</xdr:row>
      <xdr:rowOff>0</xdr:rowOff>
    </xdr:from>
    <xdr:to>
      <xdr:col>1</xdr:col>
      <xdr:colOff>76200</xdr:colOff>
      <xdr:row>54</xdr:row>
      <xdr:rowOff>19050</xdr:rowOff>
    </xdr:to>
    <xdr:sp macro="" textlink="">
      <xdr:nvSpPr>
        <xdr:cNvPr id="377473" name="Text Box 651"/>
        <xdr:cNvSpPr txBox="1">
          <a:spLocks noChangeArrowheads="1"/>
        </xdr:cNvSpPr>
      </xdr:nvSpPr>
      <xdr:spPr bwMode="auto">
        <a:xfrm>
          <a:off x="1152525" y="10096500"/>
          <a:ext cx="76200" cy="209550"/>
        </a:xfrm>
        <a:prstGeom prst="rect">
          <a:avLst/>
        </a:prstGeom>
        <a:noFill/>
        <a:ln w="9525">
          <a:noFill/>
          <a:miter lim="800000"/>
          <a:headEnd/>
          <a:tailEnd/>
        </a:ln>
      </xdr:spPr>
    </xdr:sp>
    <xdr:clientData/>
  </xdr:twoCellAnchor>
  <xdr:twoCellAnchor editAs="oneCell">
    <xdr:from>
      <xdr:col>1</xdr:col>
      <xdr:colOff>0</xdr:colOff>
      <xdr:row>53</xdr:row>
      <xdr:rowOff>0</xdr:rowOff>
    </xdr:from>
    <xdr:to>
      <xdr:col>1</xdr:col>
      <xdr:colOff>76200</xdr:colOff>
      <xdr:row>54</xdr:row>
      <xdr:rowOff>19050</xdr:rowOff>
    </xdr:to>
    <xdr:sp macro="" textlink="">
      <xdr:nvSpPr>
        <xdr:cNvPr id="377474" name="Text Box 652"/>
        <xdr:cNvSpPr txBox="1">
          <a:spLocks noChangeArrowheads="1"/>
        </xdr:cNvSpPr>
      </xdr:nvSpPr>
      <xdr:spPr bwMode="auto">
        <a:xfrm>
          <a:off x="1152525" y="10096500"/>
          <a:ext cx="76200" cy="209550"/>
        </a:xfrm>
        <a:prstGeom prst="rect">
          <a:avLst/>
        </a:prstGeom>
        <a:noFill/>
        <a:ln w="9525">
          <a:noFill/>
          <a:miter lim="800000"/>
          <a:headEnd/>
          <a:tailEnd/>
        </a:ln>
      </xdr:spPr>
    </xdr:sp>
    <xdr:clientData/>
  </xdr:twoCellAnchor>
  <xdr:twoCellAnchor editAs="oneCell">
    <xdr:from>
      <xdr:col>1</xdr:col>
      <xdr:colOff>0</xdr:colOff>
      <xdr:row>53</xdr:row>
      <xdr:rowOff>0</xdr:rowOff>
    </xdr:from>
    <xdr:to>
      <xdr:col>1</xdr:col>
      <xdr:colOff>76200</xdr:colOff>
      <xdr:row>54</xdr:row>
      <xdr:rowOff>19050</xdr:rowOff>
    </xdr:to>
    <xdr:sp macro="" textlink="">
      <xdr:nvSpPr>
        <xdr:cNvPr id="377475" name="Text Box 653"/>
        <xdr:cNvSpPr txBox="1">
          <a:spLocks noChangeArrowheads="1"/>
        </xdr:cNvSpPr>
      </xdr:nvSpPr>
      <xdr:spPr bwMode="auto">
        <a:xfrm>
          <a:off x="1152525" y="10096500"/>
          <a:ext cx="76200" cy="209550"/>
        </a:xfrm>
        <a:prstGeom prst="rect">
          <a:avLst/>
        </a:prstGeom>
        <a:noFill/>
        <a:ln w="9525">
          <a:noFill/>
          <a:miter lim="800000"/>
          <a:headEnd/>
          <a:tailEnd/>
        </a:ln>
      </xdr:spPr>
    </xdr:sp>
    <xdr:clientData/>
  </xdr:twoCellAnchor>
  <xdr:twoCellAnchor editAs="oneCell">
    <xdr:from>
      <xdr:col>1</xdr:col>
      <xdr:colOff>0</xdr:colOff>
      <xdr:row>53</xdr:row>
      <xdr:rowOff>0</xdr:rowOff>
    </xdr:from>
    <xdr:to>
      <xdr:col>1</xdr:col>
      <xdr:colOff>76200</xdr:colOff>
      <xdr:row>54</xdr:row>
      <xdr:rowOff>19050</xdr:rowOff>
    </xdr:to>
    <xdr:sp macro="" textlink="">
      <xdr:nvSpPr>
        <xdr:cNvPr id="377476" name="Text Box 654"/>
        <xdr:cNvSpPr txBox="1">
          <a:spLocks noChangeArrowheads="1"/>
        </xdr:cNvSpPr>
      </xdr:nvSpPr>
      <xdr:spPr bwMode="auto">
        <a:xfrm>
          <a:off x="1152525" y="10096500"/>
          <a:ext cx="76200" cy="209550"/>
        </a:xfrm>
        <a:prstGeom prst="rect">
          <a:avLst/>
        </a:prstGeom>
        <a:noFill/>
        <a:ln w="9525">
          <a:noFill/>
          <a:miter lim="800000"/>
          <a:headEnd/>
          <a:tailEnd/>
        </a:ln>
      </xdr:spPr>
    </xdr:sp>
    <xdr:clientData/>
  </xdr:twoCellAnchor>
  <xdr:twoCellAnchor editAs="oneCell">
    <xdr:from>
      <xdr:col>1</xdr:col>
      <xdr:colOff>0</xdr:colOff>
      <xdr:row>54</xdr:row>
      <xdr:rowOff>0</xdr:rowOff>
    </xdr:from>
    <xdr:to>
      <xdr:col>1</xdr:col>
      <xdr:colOff>76200</xdr:colOff>
      <xdr:row>55</xdr:row>
      <xdr:rowOff>19050</xdr:rowOff>
    </xdr:to>
    <xdr:sp macro="" textlink="">
      <xdr:nvSpPr>
        <xdr:cNvPr id="377477" name="Text Box 655"/>
        <xdr:cNvSpPr txBox="1">
          <a:spLocks noChangeArrowheads="1"/>
        </xdr:cNvSpPr>
      </xdr:nvSpPr>
      <xdr:spPr bwMode="auto">
        <a:xfrm>
          <a:off x="1152525" y="10287000"/>
          <a:ext cx="76200" cy="209550"/>
        </a:xfrm>
        <a:prstGeom prst="rect">
          <a:avLst/>
        </a:prstGeom>
        <a:noFill/>
        <a:ln w="9525">
          <a:noFill/>
          <a:miter lim="800000"/>
          <a:headEnd/>
          <a:tailEnd/>
        </a:ln>
      </xdr:spPr>
    </xdr:sp>
    <xdr:clientData/>
  </xdr:twoCellAnchor>
  <xdr:twoCellAnchor editAs="oneCell">
    <xdr:from>
      <xdr:col>1</xdr:col>
      <xdr:colOff>0</xdr:colOff>
      <xdr:row>54</xdr:row>
      <xdr:rowOff>0</xdr:rowOff>
    </xdr:from>
    <xdr:to>
      <xdr:col>1</xdr:col>
      <xdr:colOff>76200</xdr:colOff>
      <xdr:row>55</xdr:row>
      <xdr:rowOff>19050</xdr:rowOff>
    </xdr:to>
    <xdr:sp macro="" textlink="">
      <xdr:nvSpPr>
        <xdr:cNvPr id="377478" name="Text Box 656"/>
        <xdr:cNvSpPr txBox="1">
          <a:spLocks noChangeArrowheads="1"/>
        </xdr:cNvSpPr>
      </xdr:nvSpPr>
      <xdr:spPr bwMode="auto">
        <a:xfrm>
          <a:off x="1152525" y="10287000"/>
          <a:ext cx="76200" cy="209550"/>
        </a:xfrm>
        <a:prstGeom prst="rect">
          <a:avLst/>
        </a:prstGeom>
        <a:noFill/>
        <a:ln w="9525">
          <a:noFill/>
          <a:miter lim="800000"/>
          <a:headEnd/>
          <a:tailEnd/>
        </a:ln>
      </xdr:spPr>
    </xdr:sp>
    <xdr:clientData/>
  </xdr:twoCellAnchor>
  <xdr:twoCellAnchor editAs="oneCell">
    <xdr:from>
      <xdr:col>1</xdr:col>
      <xdr:colOff>0</xdr:colOff>
      <xdr:row>54</xdr:row>
      <xdr:rowOff>0</xdr:rowOff>
    </xdr:from>
    <xdr:to>
      <xdr:col>1</xdr:col>
      <xdr:colOff>76200</xdr:colOff>
      <xdr:row>55</xdr:row>
      <xdr:rowOff>19050</xdr:rowOff>
    </xdr:to>
    <xdr:sp macro="" textlink="">
      <xdr:nvSpPr>
        <xdr:cNvPr id="377479" name="Text Box 657"/>
        <xdr:cNvSpPr txBox="1">
          <a:spLocks noChangeArrowheads="1"/>
        </xdr:cNvSpPr>
      </xdr:nvSpPr>
      <xdr:spPr bwMode="auto">
        <a:xfrm>
          <a:off x="1152525" y="10287000"/>
          <a:ext cx="76200" cy="209550"/>
        </a:xfrm>
        <a:prstGeom prst="rect">
          <a:avLst/>
        </a:prstGeom>
        <a:noFill/>
        <a:ln w="9525">
          <a:noFill/>
          <a:miter lim="800000"/>
          <a:headEnd/>
          <a:tailEnd/>
        </a:ln>
      </xdr:spPr>
    </xdr:sp>
    <xdr:clientData/>
  </xdr:twoCellAnchor>
  <xdr:twoCellAnchor editAs="oneCell">
    <xdr:from>
      <xdr:col>1</xdr:col>
      <xdr:colOff>0</xdr:colOff>
      <xdr:row>54</xdr:row>
      <xdr:rowOff>0</xdr:rowOff>
    </xdr:from>
    <xdr:to>
      <xdr:col>1</xdr:col>
      <xdr:colOff>76200</xdr:colOff>
      <xdr:row>55</xdr:row>
      <xdr:rowOff>19050</xdr:rowOff>
    </xdr:to>
    <xdr:sp macro="" textlink="">
      <xdr:nvSpPr>
        <xdr:cNvPr id="377480" name="Text Box 658"/>
        <xdr:cNvSpPr txBox="1">
          <a:spLocks noChangeArrowheads="1"/>
        </xdr:cNvSpPr>
      </xdr:nvSpPr>
      <xdr:spPr bwMode="auto">
        <a:xfrm>
          <a:off x="1152525" y="10287000"/>
          <a:ext cx="76200" cy="209550"/>
        </a:xfrm>
        <a:prstGeom prst="rect">
          <a:avLst/>
        </a:prstGeom>
        <a:noFill/>
        <a:ln w="9525">
          <a:noFill/>
          <a:miter lim="800000"/>
          <a:headEnd/>
          <a:tailEnd/>
        </a:ln>
      </xdr:spPr>
    </xdr:sp>
    <xdr:clientData/>
  </xdr:twoCellAnchor>
  <xdr:twoCellAnchor editAs="oneCell">
    <xdr:from>
      <xdr:col>1</xdr:col>
      <xdr:colOff>0</xdr:colOff>
      <xdr:row>55</xdr:row>
      <xdr:rowOff>0</xdr:rowOff>
    </xdr:from>
    <xdr:to>
      <xdr:col>1</xdr:col>
      <xdr:colOff>76200</xdr:colOff>
      <xdr:row>56</xdr:row>
      <xdr:rowOff>19050</xdr:rowOff>
    </xdr:to>
    <xdr:sp macro="" textlink="">
      <xdr:nvSpPr>
        <xdr:cNvPr id="377481" name="Text Box 659"/>
        <xdr:cNvSpPr txBox="1">
          <a:spLocks noChangeArrowheads="1"/>
        </xdr:cNvSpPr>
      </xdr:nvSpPr>
      <xdr:spPr bwMode="auto">
        <a:xfrm>
          <a:off x="1152525" y="10477500"/>
          <a:ext cx="76200" cy="209550"/>
        </a:xfrm>
        <a:prstGeom prst="rect">
          <a:avLst/>
        </a:prstGeom>
        <a:noFill/>
        <a:ln w="9525">
          <a:noFill/>
          <a:miter lim="800000"/>
          <a:headEnd/>
          <a:tailEnd/>
        </a:ln>
      </xdr:spPr>
    </xdr:sp>
    <xdr:clientData/>
  </xdr:twoCellAnchor>
  <xdr:twoCellAnchor editAs="oneCell">
    <xdr:from>
      <xdr:col>1</xdr:col>
      <xdr:colOff>0</xdr:colOff>
      <xdr:row>55</xdr:row>
      <xdr:rowOff>0</xdr:rowOff>
    </xdr:from>
    <xdr:to>
      <xdr:col>1</xdr:col>
      <xdr:colOff>76200</xdr:colOff>
      <xdr:row>56</xdr:row>
      <xdr:rowOff>19050</xdr:rowOff>
    </xdr:to>
    <xdr:sp macro="" textlink="">
      <xdr:nvSpPr>
        <xdr:cNvPr id="377482" name="Text Box 660"/>
        <xdr:cNvSpPr txBox="1">
          <a:spLocks noChangeArrowheads="1"/>
        </xdr:cNvSpPr>
      </xdr:nvSpPr>
      <xdr:spPr bwMode="auto">
        <a:xfrm>
          <a:off x="1152525" y="10477500"/>
          <a:ext cx="76200" cy="209550"/>
        </a:xfrm>
        <a:prstGeom prst="rect">
          <a:avLst/>
        </a:prstGeom>
        <a:noFill/>
        <a:ln w="9525">
          <a:noFill/>
          <a:miter lim="800000"/>
          <a:headEnd/>
          <a:tailEnd/>
        </a:ln>
      </xdr:spPr>
    </xdr:sp>
    <xdr:clientData/>
  </xdr:twoCellAnchor>
  <xdr:twoCellAnchor editAs="oneCell">
    <xdr:from>
      <xdr:col>1</xdr:col>
      <xdr:colOff>0</xdr:colOff>
      <xdr:row>55</xdr:row>
      <xdr:rowOff>0</xdr:rowOff>
    </xdr:from>
    <xdr:to>
      <xdr:col>1</xdr:col>
      <xdr:colOff>76200</xdr:colOff>
      <xdr:row>56</xdr:row>
      <xdr:rowOff>19050</xdr:rowOff>
    </xdr:to>
    <xdr:sp macro="" textlink="">
      <xdr:nvSpPr>
        <xdr:cNvPr id="377483" name="Text Box 661"/>
        <xdr:cNvSpPr txBox="1">
          <a:spLocks noChangeArrowheads="1"/>
        </xdr:cNvSpPr>
      </xdr:nvSpPr>
      <xdr:spPr bwMode="auto">
        <a:xfrm>
          <a:off x="1152525" y="10477500"/>
          <a:ext cx="76200" cy="209550"/>
        </a:xfrm>
        <a:prstGeom prst="rect">
          <a:avLst/>
        </a:prstGeom>
        <a:noFill/>
        <a:ln w="9525">
          <a:noFill/>
          <a:miter lim="800000"/>
          <a:headEnd/>
          <a:tailEnd/>
        </a:ln>
      </xdr:spPr>
    </xdr:sp>
    <xdr:clientData/>
  </xdr:twoCellAnchor>
  <xdr:twoCellAnchor editAs="oneCell">
    <xdr:from>
      <xdr:col>1</xdr:col>
      <xdr:colOff>0</xdr:colOff>
      <xdr:row>55</xdr:row>
      <xdr:rowOff>0</xdr:rowOff>
    </xdr:from>
    <xdr:to>
      <xdr:col>1</xdr:col>
      <xdr:colOff>76200</xdr:colOff>
      <xdr:row>56</xdr:row>
      <xdr:rowOff>19050</xdr:rowOff>
    </xdr:to>
    <xdr:sp macro="" textlink="">
      <xdr:nvSpPr>
        <xdr:cNvPr id="377484" name="Text Box 662"/>
        <xdr:cNvSpPr txBox="1">
          <a:spLocks noChangeArrowheads="1"/>
        </xdr:cNvSpPr>
      </xdr:nvSpPr>
      <xdr:spPr bwMode="auto">
        <a:xfrm>
          <a:off x="1152525" y="10477500"/>
          <a:ext cx="76200" cy="209550"/>
        </a:xfrm>
        <a:prstGeom prst="rect">
          <a:avLst/>
        </a:prstGeom>
        <a:noFill/>
        <a:ln w="9525">
          <a:noFill/>
          <a:miter lim="800000"/>
          <a:headEnd/>
          <a:tailEnd/>
        </a:ln>
      </xdr:spPr>
    </xdr:sp>
    <xdr:clientData/>
  </xdr:twoCellAnchor>
  <xdr:twoCellAnchor editAs="oneCell">
    <xdr:from>
      <xdr:col>1</xdr:col>
      <xdr:colOff>0</xdr:colOff>
      <xdr:row>56</xdr:row>
      <xdr:rowOff>0</xdr:rowOff>
    </xdr:from>
    <xdr:to>
      <xdr:col>1</xdr:col>
      <xdr:colOff>76200</xdr:colOff>
      <xdr:row>57</xdr:row>
      <xdr:rowOff>19050</xdr:rowOff>
    </xdr:to>
    <xdr:sp macro="" textlink="">
      <xdr:nvSpPr>
        <xdr:cNvPr id="377485" name="Text Box 663"/>
        <xdr:cNvSpPr txBox="1">
          <a:spLocks noChangeArrowheads="1"/>
        </xdr:cNvSpPr>
      </xdr:nvSpPr>
      <xdr:spPr bwMode="auto">
        <a:xfrm>
          <a:off x="1152525" y="10668000"/>
          <a:ext cx="76200" cy="209550"/>
        </a:xfrm>
        <a:prstGeom prst="rect">
          <a:avLst/>
        </a:prstGeom>
        <a:noFill/>
        <a:ln w="9525">
          <a:noFill/>
          <a:miter lim="800000"/>
          <a:headEnd/>
          <a:tailEnd/>
        </a:ln>
      </xdr:spPr>
    </xdr:sp>
    <xdr:clientData/>
  </xdr:twoCellAnchor>
  <xdr:twoCellAnchor editAs="oneCell">
    <xdr:from>
      <xdr:col>1</xdr:col>
      <xdr:colOff>0</xdr:colOff>
      <xdr:row>56</xdr:row>
      <xdr:rowOff>0</xdr:rowOff>
    </xdr:from>
    <xdr:to>
      <xdr:col>1</xdr:col>
      <xdr:colOff>76200</xdr:colOff>
      <xdr:row>57</xdr:row>
      <xdr:rowOff>19050</xdr:rowOff>
    </xdr:to>
    <xdr:sp macro="" textlink="">
      <xdr:nvSpPr>
        <xdr:cNvPr id="377486" name="Text Box 664"/>
        <xdr:cNvSpPr txBox="1">
          <a:spLocks noChangeArrowheads="1"/>
        </xdr:cNvSpPr>
      </xdr:nvSpPr>
      <xdr:spPr bwMode="auto">
        <a:xfrm>
          <a:off x="1152525" y="10668000"/>
          <a:ext cx="76200" cy="209550"/>
        </a:xfrm>
        <a:prstGeom prst="rect">
          <a:avLst/>
        </a:prstGeom>
        <a:noFill/>
        <a:ln w="9525">
          <a:noFill/>
          <a:miter lim="800000"/>
          <a:headEnd/>
          <a:tailEnd/>
        </a:ln>
      </xdr:spPr>
    </xdr:sp>
    <xdr:clientData/>
  </xdr:twoCellAnchor>
  <xdr:twoCellAnchor editAs="oneCell">
    <xdr:from>
      <xdr:col>1</xdr:col>
      <xdr:colOff>0</xdr:colOff>
      <xdr:row>56</xdr:row>
      <xdr:rowOff>0</xdr:rowOff>
    </xdr:from>
    <xdr:to>
      <xdr:col>1</xdr:col>
      <xdr:colOff>76200</xdr:colOff>
      <xdr:row>57</xdr:row>
      <xdr:rowOff>19050</xdr:rowOff>
    </xdr:to>
    <xdr:sp macro="" textlink="">
      <xdr:nvSpPr>
        <xdr:cNvPr id="377487" name="Text Box 665"/>
        <xdr:cNvSpPr txBox="1">
          <a:spLocks noChangeArrowheads="1"/>
        </xdr:cNvSpPr>
      </xdr:nvSpPr>
      <xdr:spPr bwMode="auto">
        <a:xfrm>
          <a:off x="1152525" y="10668000"/>
          <a:ext cx="76200" cy="209550"/>
        </a:xfrm>
        <a:prstGeom prst="rect">
          <a:avLst/>
        </a:prstGeom>
        <a:noFill/>
        <a:ln w="9525">
          <a:noFill/>
          <a:miter lim="800000"/>
          <a:headEnd/>
          <a:tailEnd/>
        </a:ln>
      </xdr:spPr>
    </xdr:sp>
    <xdr:clientData/>
  </xdr:twoCellAnchor>
  <xdr:twoCellAnchor editAs="oneCell">
    <xdr:from>
      <xdr:col>1</xdr:col>
      <xdr:colOff>0</xdr:colOff>
      <xdr:row>56</xdr:row>
      <xdr:rowOff>0</xdr:rowOff>
    </xdr:from>
    <xdr:to>
      <xdr:col>1</xdr:col>
      <xdr:colOff>76200</xdr:colOff>
      <xdr:row>57</xdr:row>
      <xdr:rowOff>19050</xdr:rowOff>
    </xdr:to>
    <xdr:sp macro="" textlink="">
      <xdr:nvSpPr>
        <xdr:cNvPr id="377488" name="Text Box 666"/>
        <xdr:cNvSpPr txBox="1">
          <a:spLocks noChangeArrowheads="1"/>
        </xdr:cNvSpPr>
      </xdr:nvSpPr>
      <xdr:spPr bwMode="auto">
        <a:xfrm>
          <a:off x="1152525" y="10668000"/>
          <a:ext cx="76200" cy="209550"/>
        </a:xfrm>
        <a:prstGeom prst="rect">
          <a:avLst/>
        </a:prstGeom>
        <a:noFill/>
        <a:ln w="9525">
          <a:noFill/>
          <a:miter lim="800000"/>
          <a:headEnd/>
          <a:tailEnd/>
        </a:ln>
      </xdr:spPr>
    </xdr:sp>
    <xdr:clientData/>
  </xdr:twoCellAnchor>
  <xdr:twoCellAnchor editAs="oneCell">
    <xdr:from>
      <xdr:col>1</xdr:col>
      <xdr:colOff>0</xdr:colOff>
      <xdr:row>57</xdr:row>
      <xdr:rowOff>0</xdr:rowOff>
    </xdr:from>
    <xdr:to>
      <xdr:col>1</xdr:col>
      <xdr:colOff>76200</xdr:colOff>
      <xdr:row>58</xdr:row>
      <xdr:rowOff>19050</xdr:rowOff>
    </xdr:to>
    <xdr:sp macro="" textlink="">
      <xdr:nvSpPr>
        <xdr:cNvPr id="377489" name="Text Box 667"/>
        <xdr:cNvSpPr txBox="1">
          <a:spLocks noChangeArrowheads="1"/>
        </xdr:cNvSpPr>
      </xdr:nvSpPr>
      <xdr:spPr bwMode="auto">
        <a:xfrm>
          <a:off x="1152525" y="10858500"/>
          <a:ext cx="76200" cy="209550"/>
        </a:xfrm>
        <a:prstGeom prst="rect">
          <a:avLst/>
        </a:prstGeom>
        <a:noFill/>
        <a:ln w="9525">
          <a:noFill/>
          <a:miter lim="800000"/>
          <a:headEnd/>
          <a:tailEnd/>
        </a:ln>
      </xdr:spPr>
    </xdr:sp>
    <xdr:clientData/>
  </xdr:twoCellAnchor>
  <xdr:twoCellAnchor editAs="oneCell">
    <xdr:from>
      <xdr:col>1</xdr:col>
      <xdr:colOff>0</xdr:colOff>
      <xdr:row>57</xdr:row>
      <xdr:rowOff>0</xdr:rowOff>
    </xdr:from>
    <xdr:to>
      <xdr:col>1</xdr:col>
      <xdr:colOff>76200</xdr:colOff>
      <xdr:row>58</xdr:row>
      <xdr:rowOff>19050</xdr:rowOff>
    </xdr:to>
    <xdr:sp macro="" textlink="">
      <xdr:nvSpPr>
        <xdr:cNvPr id="377490" name="Text Box 668"/>
        <xdr:cNvSpPr txBox="1">
          <a:spLocks noChangeArrowheads="1"/>
        </xdr:cNvSpPr>
      </xdr:nvSpPr>
      <xdr:spPr bwMode="auto">
        <a:xfrm>
          <a:off x="1152525" y="10858500"/>
          <a:ext cx="76200" cy="209550"/>
        </a:xfrm>
        <a:prstGeom prst="rect">
          <a:avLst/>
        </a:prstGeom>
        <a:noFill/>
        <a:ln w="9525">
          <a:noFill/>
          <a:miter lim="800000"/>
          <a:headEnd/>
          <a:tailEnd/>
        </a:ln>
      </xdr:spPr>
    </xdr:sp>
    <xdr:clientData/>
  </xdr:twoCellAnchor>
  <xdr:twoCellAnchor editAs="oneCell">
    <xdr:from>
      <xdr:col>1</xdr:col>
      <xdr:colOff>0</xdr:colOff>
      <xdr:row>57</xdr:row>
      <xdr:rowOff>0</xdr:rowOff>
    </xdr:from>
    <xdr:to>
      <xdr:col>1</xdr:col>
      <xdr:colOff>76200</xdr:colOff>
      <xdr:row>58</xdr:row>
      <xdr:rowOff>19050</xdr:rowOff>
    </xdr:to>
    <xdr:sp macro="" textlink="">
      <xdr:nvSpPr>
        <xdr:cNvPr id="377491" name="Text Box 669"/>
        <xdr:cNvSpPr txBox="1">
          <a:spLocks noChangeArrowheads="1"/>
        </xdr:cNvSpPr>
      </xdr:nvSpPr>
      <xdr:spPr bwMode="auto">
        <a:xfrm>
          <a:off x="1152525" y="10858500"/>
          <a:ext cx="76200" cy="209550"/>
        </a:xfrm>
        <a:prstGeom prst="rect">
          <a:avLst/>
        </a:prstGeom>
        <a:noFill/>
        <a:ln w="9525">
          <a:noFill/>
          <a:miter lim="800000"/>
          <a:headEnd/>
          <a:tailEnd/>
        </a:ln>
      </xdr:spPr>
    </xdr:sp>
    <xdr:clientData/>
  </xdr:twoCellAnchor>
  <xdr:twoCellAnchor editAs="oneCell">
    <xdr:from>
      <xdr:col>1</xdr:col>
      <xdr:colOff>0</xdr:colOff>
      <xdr:row>57</xdr:row>
      <xdr:rowOff>0</xdr:rowOff>
    </xdr:from>
    <xdr:to>
      <xdr:col>1</xdr:col>
      <xdr:colOff>76200</xdr:colOff>
      <xdr:row>58</xdr:row>
      <xdr:rowOff>19050</xdr:rowOff>
    </xdr:to>
    <xdr:sp macro="" textlink="">
      <xdr:nvSpPr>
        <xdr:cNvPr id="377492" name="Text Box 670"/>
        <xdr:cNvSpPr txBox="1">
          <a:spLocks noChangeArrowheads="1"/>
        </xdr:cNvSpPr>
      </xdr:nvSpPr>
      <xdr:spPr bwMode="auto">
        <a:xfrm>
          <a:off x="1152525" y="10858500"/>
          <a:ext cx="76200" cy="209550"/>
        </a:xfrm>
        <a:prstGeom prst="rect">
          <a:avLst/>
        </a:prstGeom>
        <a:noFill/>
        <a:ln w="9525">
          <a:noFill/>
          <a:miter lim="800000"/>
          <a:headEnd/>
          <a:tailEnd/>
        </a:ln>
      </xdr:spPr>
    </xdr:sp>
    <xdr:clientData/>
  </xdr:twoCellAnchor>
  <xdr:twoCellAnchor editAs="oneCell">
    <xdr:from>
      <xdr:col>1</xdr:col>
      <xdr:colOff>0</xdr:colOff>
      <xdr:row>58</xdr:row>
      <xdr:rowOff>0</xdr:rowOff>
    </xdr:from>
    <xdr:to>
      <xdr:col>1</xdr:col>
      <xdr:colOff>76200</xdr:colOff>
      <xdr:row>59</xdr:row>
      <xdr:rowOff>19050</xdr:rowOff>
    </xdr:to>
    <xdr:sp macro="" textlink="">
      <xdr:nvSpPr>
        <xdr:cNvPr id="377493" name="Text Box 671"/>
        <xdr:cNvSpPr txBox="1">
          <a:spLocks noChangeArrowheads="1"/>
        </xdr:cNvSpPr>
      </xdr:nvSpPr>
      <xdr:spPr bwMode="auto">
        <a:xfrm>
          <a:off x="1152525" y="11049000"/>
          <a:ext cx="76200" cy="209550"/>
        </a:xfrm>
        <a:prstGeom prst="rect">
          <a:avLst/>
        </a:prstGeom>
        <a:noFill/>
        <a:ln w="9525">
          <a:noFill/>
          <a:miter lim="800000"/>
          <a:headEnd/>
          <a:tailEnd/>
        </a:ln>
      </xdr:spPr>
    </xdr:sp>
    <xdr:clientData/>
  </xdr:twoCellAnchor>
  <xdr:twoCellAnchor editAs="oneCell">
    <xdr:from>
      <xdr:col>1</xdr:col>
      <xdr:colOff>0</xdr:colOff>
      <xdr:row>58</xdr:row>
      <xdr:rowOff>0</xdr:rowOff>
    </xdr:from>
    <xdr:to>
      <xdr:col>1</xdr:col>
      <xdr:colOff>76200</xdr:colOff>
      <xdr:row>59</xdr:row>
      <xdr:rowOff>19050</xdr:rowOff>
    </xdr:to>
    <xdr:sp macro="" textlink="">
      <xdr:nvSpPr>
        <xdr:cNvPr id="377494" name="Text Box 672"/>
        <xdr:cNvSpPr txBox="1">
          <a:spLocks noChangeArrowheads="1"/>
        </xdr:cNvSpPr>
      </xdr:nvSpPr>
      <xdr:spPr bwMode="auto">
        <a:xfrm>
          <a:off x="1152525" y="11049000"/>
          <a:ext cx="76200" cy="209550"/>
        </a:xfrm>
        <a:prstGeom prst="rect">
          <a:avLst/>
        </a:prstGeom>
        <a:noFill/>
        <a:ln w="9525">
          <a:noFill/>
          <a:miter lim="800000"/>
          <a:headEnd/>
          <a:tailEnd/>
        </a:ln>
      </xdr:spPr>
    </xdr:sp>
    <xdr:clientData/>
  </xdr:twoCellAnchor>
  <xdr:twoCellAnchor editAs="oneCell">
    <xdr:from>
      <xdr:col>1</xdr:col>
      <xdr:colOff>0</xdr:colOff>
      <xdr:row>58</xdr:row>
      <xdr:rowOff>0</xdr:rowOff>
    </xdr:from>
    <xdr:to>
      <xdr:col>1</xdr:col>
      <xdr:colOff>76200</xdr:colOff>
      <xdr:row>59</xdr:row>
      <xdr:rowOff>19050</xdr:rowOff>
    </xdr:to>
    <xdr:sp macro="" textlink="">
      <xdr:nvSpPr>
        <xdr:cNvPr id="377495" name="Text Box 673"/>
        <xdr:cNvSpPr txBox="1">
          <a:spLocks noChangeArrowheads="1"/>
        </xdr:cNvSpPr>
      </xdr:nvSpPr>
      <xdr:spPr bwMode="auto">
        <a:xfrm>
          <a:off x="1152525" y="11049000"/>
          <a:ext cx="76200" cy="209550"/>
        </a:xfrm>
        <a:prstGeom prst="rect">
          <a:avLst/>
        </a:prstGeom>
        <a:noFill/>
        <a:ln w="9525">
          <a:noFill/>
          <a:miter lim="800000"/>
          <a:headEnd/>
          <a:tailEnd/>
        </a:ln>
      </xdr:spPr>
    </xdr:sp>
    <xdr:clientData/>
  </xdr:twoCellAnchor>
  <xdr:twoCellAnchor editAs="oneCell">
    <xdr:from>
      <xdr:col>1</xdr:col>
      <xdr:colOff>0</xdr:colOff>
      <xdr:row>58</xdr:row>
      <xdr:rowOff>0</xdr:rowOff>
    </xdr:from>
    <xdr:to>
      <xdr:col>1</xdr:col>
      <xdr:colOff>76200</xdr:colOff>
      <xdr:row>59</xdr:row>
      <xdr:rowOff>19050</xdr:rowOff>
    </xdr:to>
    <xdr:sp macro="" textlink="">
      <xdr:nvSpPr>
        <xdr:cNvPr id="377496" name="Text Box 674"/>
        <xdr:cNvSpPr txBox="1">
          <a:spLocks noChangeArrowheads="1"/>
        </xdr:cNvSpPr>
      </xdr:nvSpPr>
      <xdr:spPr bwMode="auto">
        <a:xfrm>
          <a:off x="1152525" y="11049000"/>
          <a:ext cx="76200" cy="209550"/>
        </a:xfrm>
        <a:prstGeom prst="rect">
          <a:avLst/>
        </a:prstGeom>
        <a:noFill/>
        <a:ln w="9525">
          <a:noFill/>
          <a:miter lim="800000"/>
          <a:headEnd/>
          <a:tailEnd/>
        </a:ln>
      </xdr:spPr>
    </xdr:sp>
    <xdr:clientData/>
  </xdr:twoCellAnchor>
  <xdr:twoCellAnchor editAs="oneCell">
    <xdr:from>
      <xdr:col>1</xdr:col>
      <xdr:colOff>0</xdr:colOff>
      <xdr:row>59</xdr:row>
      <xdr:rowOff>0</xdr:rowOff>
    </xdr:from>
    <xdr:to>
      <xdr:col>1</xdr:col>
      <xdr:colOff>76200</xdr:colOff>
      <xdr:row>60</xdr:row>
      <xdr:rowOff>19050</xdr:rowOff>
    </xdr:to>
    <xdr:sp macro="" textlink="">
      <xdr:nvSpPr>
        <xdr:cNvPr id="377497" name="Text Box 675"/>
        <xdr:cNvSpPr txBox="1">
          <a:spLocks noChangeArrowheads="1"/>
        </xdr:cNvSpPr>
      </xdr:nvSpPr>
      <xdr:spPr bwMode="auto">
        <a:xfrm>
          <a:off x="1152525" y="11239500"/>
          <a:ext cx="76200" cy="209550"/>
        </a:xfrm>
        <a:prstGeom prst="rect">
          <a:avLst/>
        </a:prstGeom>
        <a:noFill/>
        <a:ln w="9525">
          <a:noFill/>
          <a:miter lim="800000"/>
          <a:headEnd/>
          <a:tailEnd/>
        </a:ln>
      </xdr:spPr>
    </xdr:sp>
    <xdr:clientData/>
  </xdr:twoCellAnchor>
  <xdr:twoCellAnchor editAs="oneCell">
    <xdr:from>
      <xdr:col>1</xdr:col>
      <xdr:colOff>0</xdr:colOff>
      <xdr:row>59</xdr:row>
      <xdr:rowOff>0</xdr:rowOff>
    </xdr:from>
    <xdr:to>
      <xdr:col>1</xdr:col>
      <xdr:colOff>76200</xdr:colOff>
      <xdr:row>60</xdr:row>
      <xdr:rowOff>19050</xdr:rowOff>
    </xdr:to>
    <xdr:sp macro="" textlink="">
      <xdr:nvSpPr>
        <xdr:cNvPr id="377498" name="Text Box 676"/>
        <xdr:cNvSpPr txBox="1">
          <a:spLocks noChangeArrowheads="1"/>
        </xdr:cNvSpPr>
      </xdr:nvSpPr>
      <xdr:spPr bwMode="auto">
        <a:xfrm>
          <a:off x="1152525" y="11239500"/>
          <a:ext cx="76200" cy="209550"/>
        </a:xfrm>
        <a:prstGeom prst="rect">
          <a:avLst/>
        </a:prstGeom>
        <a:noFill/>
        <a:ln w="9525">
          <a:noFill/>
          <a:miter lim="800000"/>
          <a:headEnd/>
          <a:tailEnd/>
        </a:ln>
      </xdr:spPr>
    </xdr:sp>
    <xdr:clientData/>
  </xdr:twoCellAnchor>
  <xdr:twoCellAnchor editAs="oneCell">
    <xdr:from>
      <xdr:col>1</xdr:col>
      <xdr:colOff>0</xdr:colOff>
      <xdr:row>59</xdr:row>
      <xdr:rowOff>0</xdr:rowOff>
    </xdr:from>
    <xdr:to>
      <xdr:col>1</xdr:col>
      <xdr:colOff>76200</xdr:colOff>
      <xdr:row>60</xdr:row>
      <xdr:rowOff>19050</xdr:rowOff>
    </xdr:to>
    <xdr:sp macro="" textlink="">
      <xdr:nvSpPr>
        <xdr:cNvPr id="377499" name="Text Box 677"/>
        <xdr:cNvSpPr txBox="1">
          <a:spLocks noChangeArrowheads="1"/>
        </xdr:cNvSpPr>
      </xdr:nvSpPr>
      <xdr:spPr bwMode="auto">
        <a:xfrm>
          <a:off x="1152525" y="11239500"/>
          <a:ext cx="76200" cy="209550"/>
        </a:xfrm>
        <a:prstGeom prst="rect">
          <a:avLst/>
        </a:prstGeom>
        <a:noFill/>
        <a:ln w="9525">
          <a:noFill/>
          <a:miter lim="800000"/>
          <a:headEnd/>
          <a:tailEnd/>
        </a:ln>
      </xdr:spPr>
    </xdr:sp>
    <xdr:clientData/>
  </xdr:twoCellAnchor>
  <xdr:twoCellAnchor editAs="oneCell">
    <xdr:from>
      <xdr:col>1</xdr:col>
      <xdr:colOff>0</xdr:colOff>
      <xdr:row>59</xdr:row>
      <xdr:rowOff>0</xdr:rowOff>
    </xdr:from>
    <xdr:to>
      <xdr:col>1</xdr:col>
      <xdr:colOff>76200</xdr:colOff>
      <xdr:row>60</xdr:row>
      <xdr:rowOff>19050</xdr:rowOff>
    </xdr:to>
    <xdr:sp macro="" textlink="">
      <xdr:nvSpPr>
        <xdr:cNvPr id="377500" name="Text Box 678"/>
        <xdr:cNvSpPr txBox="1">
          <a:spLocks noChangeArrowheads="1"/>
        </xdr:cNvSpPr>
      </xdr:nvSpPr>
      <xdr:spPr bwMode="auto">
        <a:xfrm>
          <a:off x="1152525" y="11239500"/>
          <a:ext cx="76200" cy="209550"/>
        </a:xfrm>
        <a:prstGeom prst="rect">
          <a:avLst/>
        </a:prstGeom>
        <a:noFill/>
        <a:ln w="9525">
          <a:noFill/>
          <a:miter lim="800000"/>
          <a:headEnd/>
          <a:tailEnd/>
        </a:ln>
      </xdr:spPr>
    </xdr:sp>
    <xdr:clientData/>
  </xdr:twoCellAnchor>
  <xdr:twoCellAnchor editAs="oneCell">
    <xdr:from>
      <xdr:col>1</xdr:col>
      <xdr:colOff>0</xdr:colOff>
      <xdr:row>60</xdr:row>
      <xdr:rowOff>0</xdr:rowOff>
    </xdr:from>
    <xdr:to>
      <xdr:col>1</xdr:col>
      <xdr:colOff>76200</xdr:colOff>
      <xdr:row>61</xdr:row>
      <xdr:rowOff>19050</xdr:rowOff>
    </xdr:to>
    <xdr:sp macro="" textlink="">
      <xdr:nvSpPr>
        <xdr:cNvPr id="377501" name="Text Box 679"/>
        <xdr:cNvSpPr txBox="1">
          <a:spLocks noChangeArrowheads="1"/>
        </xdr:cNvSpPr>
      </xdr:nvSpPr>
      <xdr:spPr bwMode="auto">
        <a:xfrm>
          <a:off x="1152525" y="11430000"/>
          <a:ext cx="76200" cy="209550"/>
        </a:xfrm>
        <a:prstGeom prst="rect">
          <a:avLst/>
        </a:prstGeom>
        <a:noFill/>
        <a:ln w="9525">
          <a:noFill/>
          <a:miter lim="800000"/>
          <a:headEnd/>
          <a:tailEnd/>
        </a:ln>
      </xdr:spPr>
    </xdr:sp>
    <xdr:clientData/>
  </xdr:twoCellAnchor>
  <xdr:twoCellAnchor editAs="oneCell">
    <xdr:from>
      <xdr:col>1</xdr:col>
      <xdr:colOff>0</xdr:colOff>
      <xdr:row>60</xdr:row>
      <xdr:rowOff>0</xdr:rowOff>
    </xdr:from>
    <xdr:to>
      <xdr:col>1</xdr:col>
      <xdr:colOff>76200</xdr:colOff>
      <xdr:row>61</xdr:row>
      <xdr:rowOff>19050</xdr:rowOff>
    </xdr:to>
    <xdr:sp macro="" textlink="">
      <xdr:nvSpPr>
        <xdr:cNvPr id="377502" name="Text Box 680"/>
        <xdr:cNvSpPr txBox="1">
          <a:spLocks noChangeArrowheads="1"/>
        </xdr:cNvSpPr>
      </xdr:nvSpPr>
      <xdr:spPr bwMode="auto">
        <a:xfrm>
          <a:off x="1152525" y="11430000"/>
          <a:ext cx="76200" cy="209550"/>
        </a:xfrm>
        <a:prstGeom prst="rect">
          <a:avLst/>
        </a:prstGeom>
        <a:noFill/>
        <a:ln w="9525">
          <a:noFill/>
          <a:miter lim="800000"/>
          <a:headEnd/>
          <a:tailEnd/>
        </a:ln>
      </xdr:spPr>
    </xdr:sp>
    <xdr:clientData/>
  </xdr:twoCellAnchor>
  <xdr:twoCellAnchor editAs="oneCell">
    <xdr:from>
      <xdr:col>1</xdr:col>
      <xdr:colOff>0</xdr:colOff>
      <xdr:row>60</xdr:row>
      <xdr:rowOff>0</xdr:rowOff>
    </xdr:from>
    <xdr:to>
      <xdr:col>1</xdr:col>
      <xdr:colOff>76200</xdr:colOff>
      <xdr:row>61</xdr:row>
      <xdr:rowOff>19050</xdr:rowOff>
    </xdr:to>
    <xdr:sp macro="" textlink="">
      <xdr:nvSpPr>
        <xdr:cNvPr id="377503" name="Text Box 681"/>
        <xdr:cNvSpPr txBox="1">
          <a:spLocks noChangeArrowheads="1"/>
        </xdr:cNvSpPr>
      </xdr:nvSpPr>
      <xdr:spPr bwMode="auto">
        <a:xfrm>
          <a:off x="1152525" y="11430000"/>
          <a:ext cx="76200" cy="209550"/>
        </a:xfrm>
        <a:prstGeom prst="rect">
          <a:avLst/>
        </a:prstGeom>
        <a:noFill/>
        <a:ln w="9525">
          <a:noFill/>
          <a:miter lim="800000"/>
          <a:headEnd/>
          <a:tailEnd/>
        </a:ln>
      </xdr:spPr>
    </xdr:sp>
    <xdr:clientData/>
  </xdr:twoCellAnchor>
  <xdr:twoCellAnchor editAs="oneCell">
    <xdr:from>
      <xdr:col>1</xdr:col>
      <xdr:colOff>0</xdr:colOff>
      <xdr:row>60</xdr:row>
      <xdr:rowOff>0</xdr:rowOff>
    </xdr:from>
    <xdr:to>
      <xdr:col>1</xdr:col>
      <xdr:colOff>76200</xdr:colOff>
      <xdr:row>61</xdr:row>
      <xdr:rowOff>19050</xdr:rowOff>
    </xdr:to>
    <xdr:sp macro="" textlink="">
      <xdr:nvSpPr>
        <xdr:cNvPr id="377504" name="Text Box 682"/>
        <xdr:cNvSpPr txBox="1">
          <a:spLocks noChangeArrowheads="1"/>
        </xdr:cNvSpPr>
      </xdr:nvSpPr>
      <xdr:spPr bwMode="auto">
        <a:xfrm>
          <a:off x="1152525" y="11430000"/>
          <a:ext cx="76200" cy="209550"/>
        </a:xfrm>
        <a:prstGeom prst="rect">
          <a:avLst/>
        </a:prstGeom>
        <a:noFill/>
        <a:ln w="9525">
          <a:noFill/>
          <a:miter lim="800000"/>
          <a:headEnd/>
          <a:tailEnd/>
        </a:ln>
      </xdr:spPr>
    </xdr:sp>
    <xdr:clientData/>
  </xdr:twoCellAnchor>
  <xdr:twoCellAnchor editAs="oneCell">
    <xdr:from>
      <xdr:col>1</xdr:col>
      <xdr:colOff>0</xdr:colOff>
      <xdr:row>61</xdr:row>
      <xdr:rowOff>0</xdr:rowOff>
    </xdr:from>
    <xdr:to>
      <xdr:col>1</xdr:col>
      <xdr:colOff>76200</xdr:colOff>
      <xdr:row>62</xdr:row>
      <xdr:rowOff>19050</xdr:rowOff>
    </xdr:to>
    <xdr:sp macro="" textlink="">
      <xdr:nvSpPr>
        <xdr:cNvPr id="377505" name="Text Box 683"/>
        <xdr:cNvSpPr txBox="1">
          <a:spLocks noChangeArrowheads="1"/>
        </xdr:cNvSpPr>
      </xdr:nvSpPr>
      <xdr:spPr bwMode="auto">
        <a:xfrm>
          <a:off x="1152525" y="11620500"/>
          <a:ext cx="76200" cy="209550"/>
        </a:xfrm>
        <a:prstGeom prst="rect">
          <a:avLst/>
        </a:prstGeom>
        <a:noFill/>
        <a:ln w="9525">
          <a:noFill/>
          <a:miter lim="800000"/>
          <a:headEnd/>
          <a:tailEnd/>
        </a:ln>
      </xdr:spPr>
    </xdr:sp>
    <xdr:clientData/>
  </xdr:twoCellAnchor>
  <xdr:twoCellAnchor editAs="oneCell">
    <xdr:from>
      <xdr:col>1</xdr:col>
      <xdr:colOff>0</xdr:colOff>
      <xdr:row>61</xdr:row>
      <xdr:rowOff>0</xdr:rowOff>
    </xdr:from>
    <xdr:to>
      <xdr:col>1</xdr:col>
      <xdr:colOff>76200</xdr:colOff>
      <xdr:row>62</xdr:row>
      <xdr:rowOff>19050</xdr:rowOff>
    </xdr:to>
    <xdr:sp macro="" textlink="">
      <xdr:nvSpPr>
        <xdr:cNvPr id="377506" name="Text Box 684"/>
        <xdr:cNvSpPr txBox="1">
          <a:spLocks noChangeArrowheads="1"/>
        </xdr:cNvSpPr>
      </xdr:nvSpPr>
      <xdr:spPr bwMode="auto">
        <a:xfrm>
          <a:off x="1152525" y="11620500"/>
          <a:ext cx="76200" cy="209550"/>
        </a:xfrm>
        <a:prstGeom prst="rect">
          <a:avLst/>
        </a:prstGeom>
        <a:noFill/>
        <a:ln w="9525">
          <a:noFill/>
          <a:miter lim="800000"/>
          <a:headEnd/>
          <a:tailEnd/>
        </a:ln>
      </xdr:spPr>
    </xdr:sp>
    <xdr:clientData/>
  </xdr:twoCellAnchor>
  <xdr:twoCellAnchor editAs="oneCell">
    <xdr:from>
      <xdr:col>1</xdr:col>
      <xdr:colOff>0</xdr:colOff>
      <xdr:row>61</xdr:row>
      <xdr:rowOff>0</xdr:rowOff>
    </xdr:from>
    <xdr:to>
      <xdr:col>1</xdr:col>
      <xdr:colOff>76200</xdr:colOff>
      <xdr:row>62</xdr:row>
      <xdr:rowOff>19050</xdr:rowOff>
    </xdr:to>
    <xdr:sp macro="" textlink="">
      <xdr:nvSpPr>
        <xdr:cNvPr id="377507" name="Text Box 685"/>
        <xdr:cNvSpPr txBox="1">
          <a:spLocks noChangeArrowheads="1"/>
        </xdr:cNvSpPr>
      </xdr:nvSpPr>
      <xdr:spPr bwMode="auto">
        <a:xfrm>
          <a:off x="1152525" y="11620500"/>
          <a:ext cx="76200" cy="209550"/>
        </a:xfrm>
        <a:prstGeom prst="rect">
          <a:avLst/>
        </a:prstGeom>
        <a:noFill/>
        <a:ln w="9525">
          <a:noFill/>
          <a:miter lim="800000"/>
          <a:headEnd/>
          <a:tailEnd/>
        </a:ln>
      </xdr:spPr>
    </xdr:sp>
    <xdr:clientData/>
  </xdr:twoCellAnchor>
  <xdr:twoCellAnchor editAs="oneCell">
    <xdr:from>
      <xdr:col>1</xdr:col>
      <xdr:colOff>0</xdr:colOff>
      <xdr:row>61</xdr:row>
      <xdr:rowOff>0</xdr:rowOff>
    </xdr:from>
    <xdr:to>
      <xdr:col>1</xdr:col>
      <xdr:colOff>76200</xdr:colOff>
      <xdr:row>62</xdr:row>
      <xdr:rowOff>19050</xdr:rowOff>
    </xdr:to>
    <xdr:sp macro="" textlink="">
      <xdr:nvSpPr>
        <xdr:cNvPr id="377508" name="Text Box 686"/>
        <xdr:cNvSpPr txBox="1">
          <a:spLocks noChangeArrowheads="1"/>
        </xdr:cNvSpPr>
      </xdr:nvSpPr>
      <xdr:spPr bwMode="auto">
        <a:xfrm>
          <a:off x="1152525" y="11620500"/>
          <a:ext cx="76200" cy="209550"/>
        </a:xfrm>
        <a:prstGeom prst="rect">
          <a:avLst/>
        </a:prstGeom>
        <a:noFill/>
        <a:ln w="9525">
          <a:noFill/>
          <a:miter lim="800000"/>
          <a:headEnd/>
          <a:tailEnd/>
        </a:ln>
      </xdr:spPr>
    </xdr:sp>
    <xdr:clientData/>
  </xdr:twoCellAnchor>
  <xdr:twoCellAnchor editAs="oneCell">
    <xdr:from>
      <xdr:col>1</xdr:col>
      <xdr:colOff>0</xdr:colOff>
      <xdr:row>62</xdr:row>
      <xdr:rowOff>0</xdr:rowOff>
    </xdr:from>
    <xdr:to>
      <xdr:col>1</xdr:col>
      <xdr:colOff>76200</xdr:colOff>
      <xdr:row>63</xdr:row>
      <xdr:rowOff>19050</xdr:rowOff>
    </xdr:to>
    <xdr:sp macro="" textlink="">
      <xdr:nvSpPr>
        <xdr:cNvPr id="377509" name="Text Box 687"/>
        <xdr:cNvSpPr txBox="1">
          <a:spLocks noChangeArrowheads="1"/>
        </xdr:cNvSpPr>
      </xdr:nvSpPr>
      <xdr:spPr bwMode="auto">
        <a:xfrm>
          <a:off x="1152525" y="11811000"/>
          <a:ext cx="76200" cy="209550"/>
        </a:xfrm>
        <a:prstGeom prst="rect">
          <a:avLst/>
        </a:prstGeom>
        <a:noFill/>
        <a:ln w="9525">
          <a:noFill/>
          <a:miter lim="800000"/>
          <a:headEnd/>
          <a:tailEnd/>
        </a:ln>
      </xdr:spPr>
    </xdr:sp>
    <xdr:clientData/>
  </xdr:twoCellAnchor>
  <xdr:twoCellAnchor editAs="oneCell">
    <xdr:from>
      <xdr:col>1</xdr:col>
      <xdr:colOff>0</xdr:colOff>
      <xdr:row>62</xdr:row>
      <xdr:rowOff>0</xdr:rowOff>
    </xdr:from>
    <xdr:to>
      <xdr:col>1</xdr:col>
      <xdr:colOff>76200</xdr:colOff>
      <xdr:row>63</xdr:row>
      <xdr:rowOff>19050</xdr:rowOff>
    </xdr:to>
    <xdr:sp macro="" textlink="">
      <xdr:nvSpPr>
        <xdr:cNvPr id="377510" name="Text Box 688"/>
        <xdr:cNvSpPr txBox="1">
          <a:spLocks noChangeArrowheads="1"/>
        </xdr:cNvSpPr>
      </xdr:nvSpPr>
      <xdr:spPr bwMode="auto">
        <a:xfrm>
          <a:off x="1152525" y="11811000"/>
          <a:ext cx="76200" cy="209550"/>
        </a:xfrm>
        <a:prstGeom prst="rect">
          <a:avLst/>
        </a:prstGeom>
        <a:noFill/>
        <a:ln w="9525">
          <a:noFill/>
          <a:miter lim="800000"/>
          <a:headEnd/>
          <a:tailEnd/>
        </a:ln>
      </xdr:spPr>
    </xdr:sp>
    <xdr:clientData/>
  </xdr:twoCellAnchor>
  <xdr:twoCellAnchor editAs="oneCell">
    <xdr:from>
      <xdr:col>1</xdr:col>
      <xdr:colOff>0</xdr:colOff>
      <xdr:row>62</xdr:row>
      <xdr:rowOff>0</xdr:rowOff>
    </xdr:from>
    <xdr:to>
      <xdr:col>1</xdr:col>
      <xdr:colOff>76200</xdr:colOff>
      <xdr:row>63</xdr:row>
      <xdr:rowOff>19050</xdr:rowOff>
    </xdr:to>
    <xdr:sp macro="" textlink="">
      <xdr:nvSpPr>
        <xdr:cNvPr id="377511" name="Text Box 689"/>
        <xdr:cNvSpPr txBox="1">
          <a:spLocks noChangeArrowheads="1"/>
        </xdr:cNvSpPr>
      </xdr:nvSpPr>
      <xdr:spPr bwMode="auto">
        <a:xfrm>
          <a:off x="1152525" y="11811000"/>
          <a:ext cx="76200" cy="209550"/>
        </a:xfrm>
        <a:prstGeom prst="rect">
          <a:avLst/>
        </a:prstGeom>
        <a:noFill/>
        <a:ln w="9525">
          <a:noFill/>
          <a:miter lim="800000"/>
          <a:headEnd/>
          <a:tailEnd/>
        </a:ln>
      </xdr:spPr>
    </xdr:sp>
    <xdr:clientData/>
  </xdr:twoCellAnchor>
  <xdr:twoCellAnchor editAs="oneCell">
    <xdr:from>
      <xdr:col>1</xdr:col>
      <xdr:colOff>0</xdr:colOff>
      <xdr:row>62</xdr:row>
      <xdr:rowOff>0</xdr:rowOff>
    </xdr:from>
    <xdr:to>
      <xdr:col>1</xdr:col>
      <xdr:colOff>76200</xdr:colOff>
      <xdr:row>63</xdr:row>
      <xdr:rowOff>19050</xdr:rowOff>
    </xdr:to>
    <xdr:sp macro="" textlink="">
      <xdr:nvSpPr>
        <xdr:cNvPr id="377512" name="Text Box 690"/>
        <xdr:cNvSpPr txBox="1">
          <a:spLocks noChangeArrowheads="1"/>
        </xdr:cNvSpPr>
      </xdr:nvSpPr>
      <xdr:spPr bwMode="auto">
        <a:xfrm>
          <a:off x="1152525" y="11811000"/>
          <a:ext cx="76200" cy="209550"/>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19050</xdr:rowOff>
    </xdr:to>
    <xdr:sp macro="" textlink="">
      <xdr:nvSpPr>
        <xdr:cNvPr id="377513" name="Text Box 691"/>
        <xdr:cNvSpPr txBox="1">
          <a:spLocks noChangeArrowheads="1"/>
        </xdr:cNvSpPr>
      </xdr:nvSpPr>
      <xdr:spPr bwMode="auto">
        <a:xfrm>
          <a:off x="1152525" y="12001500"/>
          <a:ext cx="76200" cy="209550"/>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19050</xdr:rowOff>
    </xdr:to>
    <xdr:sp macro="" textlink="">
      <xdr:nvSpPr>
        <xdr:cNvPr id="377514" name="Text Box 692"/>
        <xdr:cNvSpPr txBox="1">
          <a:spLocks noChangeArrowheads="1"/>
        </xdr:cNvSpPr>
      </xdr:nvSpPr>
      <xdr:spPr bwMode="auto">
        <a:xfrm>
          <a:off x="1152525" y="12001500"/>
          <a:ext cx="76200" cy="209550"/>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19050</xdr:rowOff>
    </xdr:to>
    <xdr:sp macro="" textlink="">
      <xdr:nvSpPr>
        <xdr:cNvPr id="377515" name="Text Box 693"/>
        <xdr:cNvSpPr txBox="1">
          <a:spLocks noChangeArrowheads="1"/>
        </xdr:cNvSpPr>
      </xdr:nvSpPr>
      <xdr:spPr bwMode="auto">
        <a:xfrm>
          <a:off x="1152525" y="12001500"/>
          <a:ext cx="76200" cy="209550"/>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19050</xdr:rowOff>
    </xdr:to>
    <xdr:sp macro="" textlink="">
      <xdr:nvSpPr>
        <xdr:cNvPr id="377516" name="Text Box 694"/>
        <xdr:cNvSpPr txBox="1">
          <a:spLocks noChangeArrowheads="1"/>
        </xdr:cNvSpPr>
      </xdr:nvSpPr>
      <xdr:spPr bwMode="auto">
        <a:xfrm>
          <a:off x="1152525" y="12001500"/>
          <a:ext cx="76200" cy="209550"/>
        </a:xfrm>
        <a:prstGeom prst="rect">
          <a:avLst/>
        </a:prstGeom>
        <a:noFill/>
        <a:ln w="9525">
          <a:noFill/>
          <a:miter lim="800000"/>
          <a:headEnd/>
          <a:tailEnd/>
        </a:ln>
      </xdr:spPr>
    </xdr:sp>
    <xdr:clientData/>
  </xdr:twoCellAnchor>
  <xdr:twoCellAnchor editAs="oneCell">
    <xdr:from>
      <xdr:col>1</xdr:col>
      <xdr:colOff>0</xdr:colOff>
      <xdr:row>64</xdr:row>
      <xdr:rowOff>0</xdr:rowOff>
    </xdr:from>
    <xdr:to>
      <xdr:col>1</xdr:col>
      <xdr:colOff>76200</xdr:colOff>
      <xdr:row>65</xdr:row>
      <xdr:rowOff>19050</xdr:rowOff>
    </xdr:to>
    <xdr:sp macro="" textlink="">
      <xdr:nvSpPr>
        <xdr:cNvPr id="377517" name="Text Box 695"/>
        <xdr:cNvSpPr txBox="1">
          <a:spLocks noChangeArrowheads="1"/>
        </xdr:cNvSpPr>
      </xdr:nvSpPr>
      <xdr:spPr bwMode="auto">
        <a:xfrm>
          <a:off x="1152525" y="12192000"/>
          <a:ext cx="76200" cy="209550"/>
        </a:xfrm>
        <a:prstGeom prst="rect">
          <a:avLst/>
        </a:prstGeom>
        <a:noFill/>
        <a:ln w="9525">
          <a:noFill/>
          <a:miter lim="800000"/>
          <a:headEnd/>
          <a:tailEnd/>
        </a:ln>
      </xdr:spPr>
    </xdr:sp>
    <xdr:clientData/>
  </xdr:twoCellAnchor>
  <xdr:twoCellAnchor editAs="oneCell">
    <xdr:from>
      <xdr:col>1</xdr:col>
      <xdr:colOff>0</xdr:colOff>
      <xdr:row>64</xdr:row>
      <xdr:rowOff>0</xdr:rowOff>
    </xdr:from>
    <xdr:to>
      <xdr:col>1</xdr:col>
      <xdr:colOff>76200</xdr:colOff>
      <xdr:row>65</xdr:row>
      <xdr:rowOff>19050</xdr:rowOff>
    </xdr:to>
    <xdr:sp macro="" textlink="">
      <xdr:nvSpPr>
        <xdr:cNvPr id="377518" name="Text Box 696"/>
        <xdr:cNvSpPr txBox="1">
          <a:spLocks noChangeArrowheads="1"/>
        </xdr:cNvSpPr>
      </xdr:nvSpPr>
      <xdr:spPr bwMode="auto">
        <a:xfrm>
          <a:off x="1152525" y="12192000"/>
          <a:ext cx="76200" cy="209550"/>
        </a:xfrm>
        <a:prstGeom prst="rect">
          <a:avLst/>
        </a:prstGeom>
        <a:noFill/>
        <a:ln w="9525">
          <a:noFill/>
          <a:miter lim="800000"/>
          <a:headEnd/>
          <a:tailEnd/>
        </a:ln>
      </xdr:spPr>
    </xdr:sp>
    <xdr:clientData/>
  </xdr:twoCellAnchor>
  <xdr:twoCellAnchor editAs="oneCell">
    <xdr:from>
      <xdr:col>1</xdr:col>
      <xdr:colOff>0</xdr:colOff>
      <xdr:row>64</xdr:row>
      <xdr:rowOff>0</xdr:rowOff>
    </xdr:from>
    <xdr:to>
      <xdr:col>1</xdr:col>
      <xdr:colOff>76200</xdr:colOff>
      <xdr:row>65</xdr:row>
      <xdr:rowOff>19050</xdr:rowOff>
    </xdr:to>
    <xdr:sp macro="" textlink="">
      <xdr:nvSpPr>
        <xdr:cNvPr id="377519" name="Text Box 697"/>
        <xdr:cNvSpPr txBox="1">
          <a:spLocks noChangeArrowheads="1"/>
        </xdr:cNvSpPr>
      </xdr:nvSpPr>
      <xdr:spPr bwMode="auto">
        <a:xfrm>
          <a:off x="1152525" y="12192000"/>
          <a:ext cx="76200" cy="209550"/>
        </a:xfrm>
        <a:prstGeom prst="rect">
          <a:avLst/>
        </a:prstGeom>
        <a:noFill/>
        <a:ln w="9525">
          <a:noFill/>
          <a:miter lim="800000"/>
          <a:headEnd/>
          <a:tailEnd/>
        </a:ln>
      </xdr:spPr>
    </xdr:sp>
    <xdr:clientData/>
  </xdr:twoCellAnchor>
  <xdr:twoCellAnchor editAs="oneCell">
    <xdr:from>
      <xdr:col>1</xdr:col>
      <xdr:colOff>0</xdr:colOff>
      <xdr:row>64</xdr:row>
      <xdr:rowOff>0</xdr:rowOff>
    </xdr:from>
    <xdr:to>
      <xdr:col>1</xdr:col>
      <xdr:colOff>76200</xdr:colOff>
      <xdr:row>65</xdr:row>
      <xdr:rowOff>19050</xdr:rowOff>
    </xdr:to>
    <xdr:sp macro="" textlink="">
      <xdr:nvSpPr>
        <xdr:cNvPr id="377520" name="Text Box 698"/>
        <xdr:cNvSpPr txBox="1">
          <a:spLocks noChangeArrowheads="1"/>
        </xdr:cNvSpPr>
      </xdr:nvSpPr>
      <xdr:spPr bwMode="auto">
        <a:xfrm>
          <a:off x="1152525" y="12192000"/>
          <a:ext cx="76200" cy="209550"/>
        </a:xfrm>
        <a:prstGeom prst="rect">
          <a:avLst/>
        </a:prstGeom>
        <a:noFill/>
        <a:ln w="9525">
          <a:noFill/>
          <a:miter lim="800000"/>
          <a:headEnd/>
          <a:tailEnd/>
        </a:ln>
      </xdr:spPr>
    </xdr:sp>
    <xdr:clientData/>
  </xdr:twoCellAnchor>
  <xdr:twoCellAnchor editAs="oneCell">
    <xdr:from>
      <xdr:col>1</xdr:col>
      <xdr:colOff>0</xdr:colOff>
      <xdr:row>65</xdr:row>
      <xdr:rowOff>0</xdr:rowOff>
    </xdr:from>
    <xdr:to>
      <xdr:col>1</xdr:col>
      <xdr:colOff>76200</xdr:colOff>
      <xdr:row>66</xdr:row>
      <xdr:rowOff>19050</xdr:rowOff>
    </xdr:to>
    <xdr:sp macro="" textlink="">
      <xdr:nvSpPr>
        <xdr:cNvPr id="377521" name="Text Box 699"/>
        <xdr:cNvSpPr txBox="1">
          <a:spLocks noChangeArrowheads="1"/>
        </xdr:cNvSpPr>
      </xdr:nvSpPr>
      <xdr:spPr bwMode="auto">
        <a:xfrm>
          <a:off x="1152525" y="12382500"/>
          <a:ext cx="76200" cy="209550"/>
        </a:xfrm>
        <a:prstGeom prst="rect">
          <a:avLst/>
        </a:prstGeom>
        <a:noFill/>
        <a:ln w="9525">
          <a:noFill/>
          <a:miter lim="800000"/>
          <a:headEnd/>
          <a:tailEnd/>
        </a:ln>
      </xdr:spPr>
    </xdr:sp>
    <xdr:clientData/>
  </xdr:twoCellAnchor>
  <xdr:twoCellAnchor editAs="oneCell">
    <xdr:from>
      <xdr:col>1</xdr:col>
      <xdr:colOff>0</xdr:colOff>
      <xdr:row>65</xdr:row>
      <xdr:rowOff>0</xdr:rowOff>
    </xdr:from>
    <xdr:to>
      <xdr:col>1</xdr:col>
      <xdr:colOff>76200</xdr:colOff>
      <xdr:row>66</xdr:row>
      <xdr:rowOff>19050</xdr:rowOff>
    </xdr:to>
    <xdr:sp macro="" textlink="">
      <xdr:nvSpPr>
        <xdr:cNvPr id="377522" name="Text Box 700"/>
        <xdr:cNvSpPr txBox="1">
          <a:spLocks noChangeArrowheads="1"/>
        </xdr:cNvSpPr>
      </xdr:nvSpPr>
      <xdr:spPr bwMode="auto">
        <a:xfrm>
          <a:off x="1152525" y="12382500"/>
          <a:ext cx="76200" cy="209550"/>
        </a:xfrm>
        <a:prstGeom prst="rect">
          <a:avLst/>
        </a:prstGeom>
        <a:noFill/>
        <a:ln w="9525">
          <a:noFill/>
          <a:miter lim="800000"/>
          <a:headEnd/>
          <a:tailEnd/>
        </a:ln>
      </xdr:spPr>
    </xdr:sp>
    <xdr:clientData/>
  </xdr:twoCellAnchor>
  <xdr:twoCellAnchor editAs="oneCell">
    <xdr:from>
      <xdr:col>1</xdr:col>
      <xdr:colOff>0</xdr:colOff>
      <xdr:row>65</xdr:row>
      <xdr:rowOff>0</xdr:rowOff>
    </xdr:from>
    <xdr:to>
      <xdr:col>1</xdr:col>
      <xdr:colOff>76200</xdr:colOff>
      <xdr:row>66</xdr:row>
      <xdr:rowOff>19050</xdr:rowOff>
    </xdr:to>
    <xdr:sp macro="" textlink="">
      <xdr:nvSpPr>
        <xdr:cNvPr id="377523" name="Text Box 701"/>
        <xdr:cNvSpPr txBox="1">
          <a:spLocks noChangeArrowheads="1"/>
        </xdr:cNvSpPr>
      </xdr:nvSpPr>
      <xdr:spPr bwMode="auto">
        <a:xfrm>
          <a:off x="1152525" y="12382500"/>
          <a:ext cx="76200" cy="209550"/>
        </a:xfrm>
        <a:prstGeom prst="rect">
          <a:avLst/>
        </a:prstGeom>
        <a:noFill/>
        <a:ln w="9525">
          <a:noFill/>
          <a:miter lim="800000"/>
          <a:headEnd/>
          <a:tailEnd/>
        </a:ln>
      </xdr:spPr>
    </xdr:sp>
    <xdr:clientData/>
  </xdr:twoCellAnchor>
  <xdr:twoCellAnchor editAs="oneCell">
    <xdr:from>
      <xdr:col>1</xdr:col>
      <xdr:colOff>0</xdr:colOff>
      <xdr:row>65</xdr:row>
      <xdr:rowOff>0</xdr:rowOff>
    </xdr:from>
    <xdr:to>
      <xdr:col>1</xdr:col>
      <xdr:colOff>76200</xdr:colOff>
      <xdr:row>66</xdr:row>
      <xdr:rowOff>19050</xdr:rowOff>
    </xdr:to>
    <xdr:sp macro="" textlink="">
      <xdr:nvSpPr>
        <xdr:cNvPr id="377524" name="Text Box 702"/>
        <xdr:cNvSpPr txBox="1">
          <a:spLocks noChangeArrowheads="1"/>
        </xdr:cNvSpPr>
      </xdr:nvSpPr>
      <xdr:spPr bwMode="auto">
        <a:xfrm>
          <a:off x="1152525" y="12382500"/>
          <a:ext cx="76200" cy="209550"/>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76200</xdr:colOff>
      <xdr:row>67</xdr:row>
      <xdr:rowOff>19050</xdr:rowOff>
    </xdr:to>
    <xdr:sp macro="" textlink="">
      <xdr:nvSpPr>
        <xdr:cNvPr id="377525" name="Text Box 703"/>
        <xdr:cNvSpPr txBox="1">
          <a:spLocks noChangeArrowheads="1"/>
        </xdr:cNvSpPr>
      </xdr:nvSpPr>
      <xdr:spPr bwMode="auto">
        <a:xfrm>
          <a:off x="1152525" y="12573000"/>
          <a:ext cx="76200" cy="209550"/>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76200</xdr:colOff>
      <xdr:row>67</xdr:row>
      <xdr:rowOff>19050</xdr:rowOff>
    </xdr:to>
    <xdr:sp macro="" textlink="">
      <xdr:nvSpPr>
        <xdr:cNvPr id="377526" name="Text Box 704"/>
        <xdr:cNvSpPr txBox="1">
          <a:spLocks noChangeArrowheads="1"/>
        </xdr:cNvSpPr>
      </xdr:nvSpPr>
      <xdr:spPr bwMode="auto">
        <a:xfrm>
          <a:off x="1152525" y="12573000"/>
          <a:ext cx="76200" cy="209550"/>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76200</xdr:colOff>
      <xdr:row>67</xdr:row>
      <xdr:rowOff>19050</xdr:rowOff>
    </xdr:to>
    <xdr:sp macro="" textlink="">
      <xdr:nvSpPr>
        <xdr:cNvPr id="377527" name="Text Box 705"/>
        <xdr:cNvSpPr txBox="1">
          <a:spLocks noChangeArrowheads="1"/>
        </xdr:cNvSpPr>
      </xdr:nvSpPr>
      <xdr:spPr bwMode="auto">
        <a:xfrm>
          <a:off x="1152525" y="12573000"/>
          <a:ext cx="76200" cy="209550"/>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76200</xdr:colOff>
      <xdr:row>67</xdr:row>
      <xdr:rowOff>19050</xdr:rowOff>
    </xdr:to>
    <xdr:sp macro="" textlink="">
      <xdr:nvSpPr>
        <xdr:cNvPr id="377528" name="Text Box 706"/>
        <xdr:cNvSpPr txBox="1">
          <a:spLocks noChangeArrowheads="1"/>
        </xdr:cNvSpPr>
      </xdr:nvSpPr>
      <xdr:spPr bwMode="auto">
        <a:xfrm>
          <a:off x="1152525" y="12573000"/>
          <a:ext cx="76200" cy="209550"/>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76200</xdr:colOff>
      <xdr:row>68</xdr:row>
      <xdr:rowOff>19050</xdr:rowOff>
    </xdr:to>
    <xdr:sp macro="" textlink="">
      <xdr:nvSpPr>
        <xdr:cNvPr id="377529" name="Text Box 707"/>
        <xdr:cNvSpPr txBox="1">
          <a:spLocks noChangeArrowheads="1"/>
        </xdr:cNvSpPr>
      </xdr:nvSpPr>
      <xdr:spPr bwMode="auto">
        <a:xfrm>
          <a:off x="1152525" y="12763500"/>
          <a:ext cx="76200" cy="209550"/>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76200</xdr:colOff>
      <xdr:row>68</xdr:row>
      <xdr:rowOff>19050</xdr:rowOff>
    </xdr:to>
    <xdr:sp macro="" textlink="">
      <xdr:nvSpPr>
        <xdr:cNvPr id="377530" name="Text Box 708"/>
        <xdr:cNvSpPr txBox="1">
          <a:spLocks noChangeArrowheads="1"/>
        </xdr:cNvSpPr>
      </xdr:nvSpPr>
      <xdr:spPr bwMode="auto">
        <a:xfrm>
          <a:off x="1152525" y="12763500"/>
          <a:ext cx="76200" cy="209550"/>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76200</xdr:colOff>
      <xdr:row>68</xdr:row>
      <xdr:rowOff>19050</xdr:rowOff>
    </xdr:to>
    <xdr:sp macro="" textlink="">
      <xdr:nvSpPr>
        <xdr:cNvPr id="377531" name="Text Box 709"/>
        <xdr:cNvSpPr txBox="1">
          <a:spLocks noChangeArrowheads="1"/>
        </xdr:cNvSpPr>
      </xdr:nvSpPr>
      <xdr:spPr bwMode="auto">
        <a:xfrm>
          <a:off x="1152525" y="12763500"/>
          <a:ext cx="76200" cy="209550"/>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76200</xdr:colOff>
      <xdr:row>68</xdr:row>
      <xdr:rowOff>19050</xdr:rowOff>
    </xdr:to>
    <xdr:sp macro="" textlink="">
      <xdr:nvSpPr>
        <xdr:cNvPr id="377532" name="Text Box 710"/>
        <xdr:cNvSpPr txBox="1">
          <a:spLocks noChangeArrowheads="1"/>
        </xdr:cNvSpPr>
      </xdr:nvSpPr>
      <xdr:spPr bwMode="auto">
        <a:xfrm>
          <a:off x="1152525" y="12763500"/>
          <a:ext cx="76200" cy="209550"/>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76200</xdr:colOff>
      <xdr:row>69</xdr:row>
      <xdr:rowOff>19050</xdr:rowOff>
    </xdr:to>
    <xdr:sp macro="" textlink="">
      <xdr:nvSpPr>
        <xdr:cNvPr id="377533" name="Text Box 711"/>
        <xdr:cNvSpPr txBox="1">
          <a:spLocks noChangeArrowheads="1"/>
        </xdr:cNvSpPr>
      </xdr:nvSpPr>
      <xdr:spPr bwMode="auto">
        <a:xfrm>
          <a:off x="1152525" y="12954000"/>
          <a:ext cx="76200" cy="209550"/>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76200</xdr:colOff>
      <xdr:row>69</xdr:row>
      <xdr:rowOff>19050</xdr:rowOff>
    </xdr:to>
    <xdr:sp macro="" textlink="">
      <xdr:nvSpPr>
        <xdr:cNvPr id="377534" name="Text Box 712"/>
        <xdr:cNvSpPr txBox="1">
          <a:spLocks noChangeArrowheads="1"/>
        </xdr:cNvSpPr>
      </xdr:nvSpPr>
      <xdr:spPr bwMode="auto">
        <a:xfrm>
          <a:off x="1152525" y="12954000"/>
          <a:ext cx="76200" cy="209550"/>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76200</xdr:colOff>
      <xdr:row>69</xdr:row>
      <xdr:rowOff>19050</xdr:rowOff>
    </xdr:to>
    <xdr:sp macro="" textlink="">
      <xdr:nvSpPr>
        <xdr:cNvPr id="377535" name="Text Box 713"/>
        <xdr:cNvSpPr txBox="1">
          <a:spLocks noChangeArrowheads="1"/>
        </xdr:cNvSpPr>
      </xdr:nvSpPr>
      <xdr:spPr bwMode="auto">
        <a:xfrm>
          <a:off x="1152525" y="12954000"/>
          <a:ext cx="76200" cy="209550"/>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76200</xdr:colOff>
      <xdr:row>69</xdr:row>
      <xdr:rowOff>19050</xdr:rowOff>
    </xdr:to>
    <xdr:sp macro="" textlink="">
      <xdr:nvSpPr>
        <xdr:cNvPr id="377536" name="Text Box 714"/>
        <xdr:cNvSpPr txBox="1">
          <a:spLocks noChangeArrowheads="1"/>
        </xdr:cNvSpPr>
      </xdr:nvSpPr>
      <xdr:spPr bwMode="auto">
        <a:xfrm>
          <a:off x="1152525" y="12954000"/>
          <a:ext cx="76200" cy="209550"/>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76200</xdr:colOff>
      <xdr:row>70</xdr:row>
      <xdr:rowOff>19050</xdr:rowOff>
    </xdr:to>
    <xdr:sp macro="" textlink="">
      <xdr:nvSpPr>
        <xdr:cNvPr id="377537" name="Text Box 715"/>
        <xdr:cNvSpPr txBox="1">
          <a:spLocks noChangeArrowheads="1"/>
        </xdr:cNvSpPr>
      </xdr:nvSpPr>
      <xdr:spPr bwMode="auto">
        <a:xfrm>
          <a:off x="1152525" y="13144500"/>
          <a:ext cx="76200" cy="209550"/>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76200</xdr:colOff>
      <xdr:row>70</xdr:row>
      <xdr:rowOff>19050</xdr:rowOff>
    </xdr:to>
    <xdr:sp macro="" textlink="">
      <xdr:nvSpPr>
        <xdr:cNvPr id="377538" name="Text Box 716"/>
        <xdr:cNvSpPr txBox="1">
          <a:spLocks noChangeArrowheads="1"/>
        </xdr:cNvSpPr>
      </xdr:nvSpPr>
      <xdr:spPr bwMode="auto">
        <a:xfrm>
          <a:off x="1152525" y="13144500"/>
          <a:ext cx="76200" cy="209550"/>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76200</xdr:colOff>
      <xdr:row>70</xdr:row>
      <xdr:rowOff>19050</xdr:rowOff>
    </xdr:to>
    <xdr:sp macro="" textlink="">
      <xdr:nvSpPr>
        <xdr:cNvPr id="377539" name="Text Box 717"/>
        <xdr:cNvSpPr txBox="1">
          <a:spLocks noChangeArrowheads="1"/>
        </xdr:cNvSpPr>
      </xdr:nvSpPr>
      <xdr:spPr bwMode="auto">
        <a:xfrm>
          <a:off x="1152525" y="13144500"/>
          <a:ext cx="76200" cy="209550"/>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76200</xdr:colOff>
      <xdr:row>70</xdr:row>
      <xdr:rowOff>19050</xdr:rowOff>
    </xdr:to>
    <xdr:sp macro="" textlink="">
      <xdr:nvSpPr>
        <xdr:cNvPr id="377540" name="Text Box 718"/>
        <xdr:cNvSpPr txBox="1">
          <a:spLocks noChangeArrowheads="1"/>
        </xdr:cNvSpPr>
      </xdr:nvSpPr>
      <xdr:spPr bwMode="auto">
        <a:xfrm>
          <a:off x="1152525" y="13144500"/>
          <a:ext cx="76200" cy="209550"/>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76200</xdr:colOff>
      <xdr:row>71</xdr:row>
      <xdr:rowOff>19050</xdr:rowOff>
    </xdr:to>
    <xdr:sp macro="" textlink="">
      <xdr:nvSpPr>
        <xdr:cNvPr id="377541" name="Text Box 719"/>
        <xdr:cNvSpPr txBox="1">
          <a:spLocks noChangeArrowheads="1"/>
        </xdr:cNvSpPr>
      </xdr:nvSpPr>
      <xdr:spPr bwMode="auto">
        <a:xfrm>
          <a:off x="1152525" y="13335000"/>
          <a:ext cx="76200" cy="209550"/>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76200</xdr:colOff>
      <xdr:row>71</xdr:row>
      <xdr:rowOff>19050</xdr:rowOff>
    </xdr:to>
    <xdr:sp macro="" textlink="">
      <xdr:nvSpPr>
        <xdr:cNvPr id="377542" name="Text Box 720"/>
        <xdr:cNvSpPr txBox="1">
          <a:spLocks noChangeArrowheads="1"/>
        </xdr:cNvSpPr>
      </xdr:nvSpPr>
      <xdr:spPr bwMode="auto">
        <a:xfrm>
          <a:off x="1152525" y="13335000"/>
          <a:ext cx="76200" cy="209550"/>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76200</xdr:colOff>
      <xdr:row>71</xdr:row>
      <xdr:rowOff>19050</xdr:rowOff>
    </xdr:to>
    <xdr:sp macro="" textlink="">
      <xdr:nvSpPr>
        <xdr:cNvPr id="377543" name="Text Box 721"/>
        <xdr:cNvSpPr txBox="1">
          <a:spLocks noChangeArrowheads="1"/>
        </xdr:cNvSpPr>
      </xdr:nvSpPr>
      <xdr:spPr bwMode="auto">
        <a:xfrm>
          <a:off x="1152525" y="13335000"/>
          <a:ext cx="76200" cy="209550"/>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76200</xdr:colOff>
      <xdr:row>71</xdr:row>
      <xdr:rowOff>19050</xdr:rowOff>
    </xdr:to>
    <xdr:sp macro="" textlink="">
      <xdr:nvSpPr>
        <xdr:cNvPr id="377544" name="Text Box 722"/>
        <xdr:cNvSpPr txBox="1">
          <a:spLocks noChangeArrowheads="1"/>
        </xdr:cNvSpPr>
      </xdr:nvSpPr>
      <xdr:spPr bwMode="auto">
        <a:xfrm>
          <a:off x="1152525" y="13335000"/>
          <a:ext cx="76200" cy="209550"/>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76200</xdr:colOff>
      <xdr:row>72</xdr:row>
      <xdr:rowOff>19050</xdr:rowOff>
    </xdr:to>
    <xdr:sp macro="" textlink="">
      <xdr:nvSpPr>
        <xdr:cNvPr id="377545" name="Text Box 723"/>
        <xdr:cNvSpPr txBox="1">
          <a:spLocks noChangeArrowheads="1"/>
        </xdr:cNvSpPr>
      </xdr:nvSpPr>
      <xdr:spPr bwMode="auto">
        <a:xfrm>
          <a:off x="1152525" y="13525500"/>
          <a:ext cx="76200" cy="209550"/>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76200</xdr:colOff>
      <xdr:row>72</xdr:row>
      <xdr:rowOff>19050</xdr:rowOff>
    </xdr:to>
    <xdr:sp macro="" textlink="">
      <xdr:nvSpPr>
        <xdr:cNvPr id="377546" name="Text Box 724"/>
        <xdr:cNvSpPr txBox="1">
          <a:spLocks noChangeArrowheads="1"/>
        </xdr:cNvSpPr>
      </xdr:nvSpPr>
      <xdr:spPr bwMode="auto">
        <a:xfrm>
          <a:off x="1152525" y="13525500"/>
          <a:ext cx="76200" cy="209550"/>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76200</xdr:colOff>
      <xdr:row>72</xdr:row>
      <xdr:rowOff>19050</xdr:rowOff>
    </xdr:to>
    <xdr:sp macro="" textlink="">
      <xdr:nvSpPr>
        <xdr:cNvPr id="377547" name="Text Box 725"/>
        <xdr:cNvSpPr txBox="1">
          <a:spLocks noChangeArrowheads="1"/>
        </xdr:cNvSpPr>
      </xdr:nvSpPr>
      <xdr:spPr bwMode="auto">
        <a:xfrm>
          <a:off x="1152525" y="13525500"/>
          <a:ext cx="76200" cy="209550"/>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76200</xdr:colOff>
      <xdr:row>72</xdr:row>
      <xdr:rowOff>19050</xdr:rowOff>
    </xdr:to>
    <xdr:sp macro="" textlink="">
      <xdr:nvSpPr>
        <xdr:cNvPr id="377548" name="Text Box 726"/>
        <xdr:cNvSpPr txBox="1">
          <a:spLocks noChangeArrowheads="1"/>
        </xdr:cNvSpPr>
      </xdr:nvSpPr>
      <xdr:spPr bwMode="auto">
        <a:xfrm>
          <a:off x="1152525" y="13525500"/>
          <a:ext cx="76200" cy="209550"/>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76200</xdr:colOff>
      <xdr:row>73</xdr:row>
      <xdr:rowOff>19050</xdr:rowOff>
    </xdr:to>
    <xdr:sp macro="" textlink="">
      <xdr:nvSpPr>
        <xdr:cNvPr id="377549" name="Text Box 727"/>
        <xdr:cNvSpPr txBox="1">
          <a:spLocks noChangeArrowheads="1"/>
        </xdr:cNvSpPr>
      </xdr:nvSpPr>
      <xdr:spPr bwMode="auto">
        <a:xfrm>
          <a:off x="1152525" y="13716000"/>
          <a:ext cx="76200" cy="209550"/>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76200</xdr:colOff>
      <xdr:row>73</xdr:row>
      <xdr:rowOff>19050</xdr:rowOff>
    </xdr:to>
    <xdr:sp macro="" textlink="">
      <xdr:nvSpPr>
        <xdr:cNvPr id="377550" name="Text Box 728"/>
        <xdr:cNvSpPr txBox="1">
          <a:spLocks noChangeArrowheads="1"/>
        </xdr:cNvSpPr>
      </xdr:nvSpPr>
      <xdr:spPr bwMode="auto">
        <a:xfrm>
          <a:off x="1152525" y="13716000"/>
          <a:ext cx="76200" cy="209550"/>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76200</xdr:colOff>
      <xdr:row>73</xdr:row>
      <xdr:rowOff>19050</xdr:rowOff>
    </xdr:to>
    <xdr:sp macro="" textlink="">
      <xdr:nvSpPr>
        <xdr:cNvPr id="377551" name="Text Box 729"/>
        <xdr:cNvSpPr txBox="1">
          <a:spLocks noChangeArrowheads="1"/>
        </xdr:cNvSpPr>
      </xdr:nvSpPr>
      <xdr:spPr bwMode="auto">
        <a:xfrm>
          <a:off x="1152525" y="13716000"/>
          <a:ext cx="76200" cy="209550"/>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76200</xdr:colOff>
      <xdr:row>73</xdr:row>
      <xdr:rowOff>19050</xdr:rowOff>
    </xdr:to>
    <xdr:sp macro="" textlink="">
      <xdr:nvSpPr>
        <xdr:cNvPr id="377552" name="Text Box 730"/>
        <xdr:cNvSpPr txBox="1">
          <a:spLocks noChangeArrowheads="1"/>
        </xdr:cNvSpPr>
      </xdr:nvSpPr>
      <xdr:spPr bwMode="auto">
        <a:xfrm>
          <a:off x="1152525" y="13716000"/>
          <a:ext cx="76200" cy="209550"/>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76200</xdr:colOff>
      <xdr:row>74</xdr:row>
      <xdr:rowOff>19050</xdr:rowOff>
    </xdr:to>
    <xdr:sp macro="" textlink="">
      <xdr:nvSpPr>
        <xdr:cNvPr id="377553" name="Text Box 731"/>
        <xdr:cNvSpPr txBox="1">
          <a:spLocks noChangeArrowheads="1"/>
        </xdr:cNvSpPr>
      </xdr:nvSpPr>
      <xdr:spPr bwMode="auto">
        <a:xfrm>
          <a:off x="1152525" y="13906500"/>
          <a:ext cx="76200" cy="209550"/>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76200</xdr:colOff>
      <xdr:row>74</xdr:row>
      <xdr:rowOff>19050</xdr:rowOff>
    </xdr:to>
    <xdr:sp macro="" textlink="">
      <xdr:nvSpPr>
        <xdr:cNvPr id="377554" name="Text Box 732"/>
        <xdr:cNvSpPr txBox="1">
          <a:spLocks noChangeArrowheads="1"/>
        </xdr:cNvSpPr>
      </xdr:nvSpPr>
      <xdr:spPr bwMode="auto">
        <a:xfrm>
          <a:off x="1152525" y="13906500"/>
          <a:ext cx="76200" cy="209550"/>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76200</xdr:colOff>
      <xdr:row>74</xdr:row>
      <xdr:rowOff>19050</xdr:rowOff>
    </xdr:to>
    <xdr:sp macro="" textlink="">
      <xdr:nvSpPr>
        <xdr:cNvPr id="377555" name="Text Box 733"/>
        <xdr:cNvSpPr txBox="1">
          <a:spLocks noChangeArrowheads="1"/>
        </xdr:cNvSpPr>
      </xdr:nvSpPr>
      <xdr:spPr bwMode="auto">
        <a:xfrm>
          <a:off x="1152525" y="13906500"/>
          <a:ext cx="76200" cy="209550"/>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76200</xdr:colOff>
      <xdr:row>74</xdr:row>
      <xdr:rowOff>19050</xdr:rowOff>
    </xdr:to>
    <xdr:sp macro="" textlink="">
      <xdr:nvSpPr>
        <xdr:cNvPr id="377556" name="Text Box 734"/>
        <xdr:cNvSpPr txBox="1">
          <a:spLocks noChangeArrowheads="1"/>
        </xdr:cNvSpPr>
      </xdr:nvSpPr>
      <xdr:spPr bwMode="auto">
        <a:xfrm>
          <a:off x="1152525" y="13906500"/>
          <a:ext cx="76200" cy="209550"/>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76200</xdr:colOff>
      <xdr:row>75</xdr:row>
      <xdr:rowOff>19050</xdr:rowOff>
    </xdr:to>
    <xdr:sp macro="" textlink="">
      <xdr:nvSpPr>
        <xdr:cNvPr id="377557" name="Text Box 735"/>
        <xdr:cNvSpPr txBox="1">
          <a:spLocks noChangeArrowheads="1"/>
        </xdr:cNvSpPr>
      </xdr:nvSpPr>
      <xdr:spPr bwMode="auto">
        <a:xfrm>
          <a:off x="1152525" y="14097000"/>
          <a:ext cx="76200" cy="209550"/>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76200</xdr:colOff>
      <xdr:row>75</xdr:row>
      <xdr:rowOff>19050</xdr:rowOff>
    </xdr:to>
    <xdr:sp macro="" textlink="">
      <xdr:nvSpPr>
        <xdr:cNvPr id="377558" name="Text Box 736"/>
        <xdr:cNvSpPr txBox="1">
          <a:spLocks noChangeArrowheads="1"/>
        </xdr:cNvSpPr>
      </xdr:nvSpPr>
      <xdr:spPr bwMode="auto">
        <a:xfrm>
          <a:off x="1152525" y="14097000"/>
          <a:ext cx="76200" cy="209550"/>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76200</xdr:colOff>
      <xdr:row>75</xdr:row>
      <xdr:rowOff>19050</xdr:rowOff>
    </xdr:to>
    <xdr:sp macro="" textlink="">
      <xdr:nvSpPr>
        <xdr:cNvPr id="377559" name="Text Box 737"/>
        <xdr:cNvSpPr txBox="1">
          <a:spLocks noChangeArrowheads="1"/>
        </xdr:cNvSpPr>
      </xdr:nvSpPr>
      <xdr:spPr bwMode="auto">
        <a:xfrm>
          <a:off x="1152525" y="14097000"/>
          <a:ext cx="76200" cy="209550"/>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76200</xdr:colOff>
      <xdr:row>75</xdr:row>
      <xdr:rowOff>19050</xdr:rowOff>
    </xdr:to>
    <xdr:sp macro="" textlink="">
      <xdr:nvSpPr>
        <xdr:cNvPr id="377560" name="Text Box 738"/>
        <xdr:cNvSpPr txBox="1">
          <a:spLocks noChangeArrowheads="1"/>
        </xdr:cNvSpPr>
      </xdr:nvSpPr>
      <xdr:spPr bwMode="auto">
        <a:xfrm>
          <a:off x="1152525" y="14097000"/>
          <a:ext cx="76200" cy="209550"/>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76200</xdr:colOff>
      <xdr:row>76</xdr:row>
      <xdr:rowOff>19050</xdr:rowOff>
    </xdr:to>
    <xdr:sp macro="" textlink="">
      <xdr:nvSpPr>
        <xdr:cNvPr id="377561" name="Text Box 739"/>
        <xdr:cNvSpPr txBox="1">
          <a:spLocks noChangeArrowheads="1"/>
        </xdr:cNvSpPr>
      </xdr:nvSpPr>
      <xdr:spPr bwMode="auto">
        <a:xfrm>
          <a:off x="1152525" y="14287500"/>
          <a:ext cx="76200" cy="209550"/>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76200</xdr:colOff>
      <xdr:row>76</xdr:row>
      <xdr:rowOff>19050</xdr:rowOff>
    </xdr:to>
    <xdr:sp macro="" textlink="">
      <xdr:nvSpPr>
        <xdr:cNvPr id="377562" name="Text Box 740"/>
        <xdr:cNvSpPr txBox="1">
          <a:spLocks noChangeArrowheads="1"/>
        </xdr:cNvSpPr>
      </xdr:nvSpPr>
      <xdr:spPr bwMode="auto">
        <a:xfrm>
          <a:off x="1152525" y="14287500"/>
          <a:ext cx="76200" cy="209550"/>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76200</xdr:colOff>
      <xdr:row>76</xdr:row>
      <xdr:rowOff>19050</xdr:rowOff>
    </xdr:to>
    <xdr:sp macro="" textlink="">
      <xdr:nvSpPr>
        <xdr:cNvPr id="377563" name="Text Box 741"/>
        <xdr:cNvSpPr txBox="1">
          <a:spLocks noChangeArrowheads="1"/>
        </xdr:cNvSpPr>
      </xdr:nvSpPr>
      <xdr:spPr bwMode="auto">
        <a:xfrm>
          <a:off x="1152525" y="14287500"/>
          <a:ext cx="76200" cy="209550"/>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76200</xdr:colOff>
      <xdr:row>76</xdr:row>
      <xdr:rowOff>19050</xdr:rowOff>
    </xdr:to>
    <xdr:sp macro="" textlink="">
      <xdr:nvSpPr>
        <xdr:cNvPr id="377564" name="Text Box 742"/>
        <xdr:cNvSpPr txBox="1">
          <a:spLocks noChangeArrowheads="1"/>
        </xdr:cNvSpPr>
      </xdr:nvSpPr>
      <xdr:spPr bwMode="auto">
        <a:xfrm>
          <a:off x="1152525" y="14287500"/>
          <a:ext cx="76200" cy="209550"/>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76200</xdr:colOff>
      <xdr:row>77</xdr:row>
      <xdr:rowOff>19050</xdr:rowOff>
    </xdr:to>
    <xdr:sp macro="" textlink="">
      <xdr:nvSpPr>
        <xdr:cNvPr id="377565" name="Text Box 743"/>
        <xdr:cNvSpPr txBox="1">
          <a:spLocks noChangeArrowheads="1"/>
        </xdr:cNvSpPr>
      </xdr:nvSpPr>
      <xdr:spPr bwMode="auto">
        <a:xfrm>
          <a:off x="1152525" y="14478000"/>
          <a:ext cx="76200" cy="209550"/>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76200</xdr:colOff>
      <xdr:row>77</xdr:row>
      <xdr:rowOff>19050</xdr:rowOff>
    </xdr:to>
    <xdr:sp macro="" textlink="">
      <xdr:nvSpPr>
        <xdr:cNvPr id="377566" name="Text Box 744"/>
        <xdr:cNvSpPr txBox="1">
          <a:spLocks noChangeArrowheads="1"/>
        </xdr:cNvSpPr>
      </xdr:nvSpPr>
      <xdr:spPr bwMode="auto">
        <a:xfrm>
          <a:off x="1152525" y="14478000"/>
          <a:ext cx="76200" cy="209550"/>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76200</xdr:colOff>
      <xdr:row>77</xdr:row>
      <xdr:rowOff>19050</xdr:rowOff>
    </xdr:to>
    <xdr:sp macro="" textlink="">
      <xdr:nvSpPr>
        <xdr:cNvPr id="377567" name="Text Box 745"/>
        <xdr:cNvSpPr txBox="1">
          <a:spLocks noChangeArrowheads="1"/>
        </xdr:cNvSpPr>
      </xdr:nvSpPr>
      <xdr:spPr bwMode="auto">
        <a:xfrm>
          <a:off x="1152525" y="14478000"/>
          <a:ext cx="76200" cy="209550"/>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76200</xdr:colOff>
      <xdr:row>77</xdr:row>
      <xdr:rowOff>19050</xdr:rowOff>
    </xdr:to>
    <xdr:sp macro="" textlink="">
      <xdr:nvSpPr>
        <xdr:cNvPr id="377568" name="Text Box 746"/>
        <xdr:cNvSpPr txBox="1">
          <a:spLocks noChangeArrowheads="1"/>
        </xdr:cNvSpPr>
      </xdr:nvSpPr>
      <xdr:spPr bwMode="auto">
        <a:xfrm>
          <a:off x="1152525" y="14478000"/>
          <a:ext cx="76200" cy="209550"/>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76200</xdr:colOff>
      <xdr:row>78</xdr:row>
      <xdr:rowOff>19050</xdr:rowOff>
    </xdr:to>
    <xdr:sp macro="" textlink="">
      <xdr:nvSpPr>
        <xdr:cNvPr id="377569" name="Text Box 747"/>
        <xdr:cNvSpPr txBox="1">
          <a:spLocks noChangeArrowheads="1"/>
        </xdr:cNvSpPr>
      </xdr:nvSpPr>
      <xdr:spPr bwMode="auto">
        <a:xfrm>
          <a:off x="1152525" y="14668500"/>
          <a:ext cx="76200" cy="209550"/>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76200</xdr:colOff>
      <xdr:row>78</xdr:row>
      <xdr:rowOff>19050</xdr:rowOff>
    </xdr:to>
    <xdr:sp macro="" textlink="">
      <xdr:nvSpPr>
        <xdr:cNvPr id="377570" name="Text Box 748"/>
        <xdr:cNvSpPr txBox="1">
          <a:spLocks noChangeArrowheads="1"/>
        </xdr:cNvSpPr>
      </xdr:nvSpPr>
      <xdr:spPr bwMode="auto">
        <a:xfrm>
          <a:off x="1152525" y="14668500"/>
          <a:ext cx="76200" cy="209550"/>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76200</xdr:colOff>
      <xdr:row>78</xdr:row>
      <xdr:rowOff>19050</xdr:rowOff>
    </xdr:to>
    <xdr:sp macro="" textlink="">
      <xdr:nvSpPr>
        <xdr:cNvPr id="377571" name="Text Box 749"/>
        <xdr:cNvSpPr txBox="1">
          <a:spLocks noChangeArrowheads="1"/>
        </xdr:cNvSpPr>
      </xdr:nvSpPr>
      <xdr:spPr bwMode="auto">
        <a:xfrm>
          <a:off x="1152525" y="14668500"/>
          <a:ext cx="76200" cy="209550"/>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76200</xdr:colOff>
      <xdr:row>78</xdr:row>
      <xdr:rowOff>19050</xdr:rowOff>
    </xdr:to>
    <xdr:sp macro="" textlink="">
      <xdr:nvSpPr>
        <xdr:cNvPr id="377572" name="Text Box 750"/>
        <xdr:cNvSpPr txBox="1">
          <a:spLocks noChangeArrowheads="1"/>
        </xdr:cNvSpPr>
      </xdr:nvSpPr>
      <xdr:spPr bwMode="auto">
        <a:xfrm>
          <a:off x="1152525" y="14668500"/>
          <a:ext cx="76200" cy="209550"/>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76200</xdr:colOff>
      <xdr:row>79</xdr:row>
      <xdr:rowOff>19050</xdr:rowOff>
    </xdr:to>
    <xdr:sp macro="" textlink="">
      <xdr:nvSpPr>
        <xdr:cNvPr id="377573" name="Text Box 751"/>
        <xdr:cNvSpPr txBox="1">
          <a:spLocks noChangeArrowheads="1"/>
        </xdr:cNvSpPr>
      </xdr:nvSpPr>
      <xdr:spPr bwMode="auto">
        <a:xfrm>
          <a:off x="1152525" y="14859000"/>
          <a:ext cx="76200" cy="209550"/>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76200</xdr:colOff>
      <xdr:row>79</xdr:row>
      <xdr:rowOff>19050</xdr:rowOff>
    </xdr:to>
    <xdr:sp macro="" textlink="">
      <xdr:nvSpPr>
        <xdr:cNvPr id="377574" name="Text Box 752"/>
        <xdr:cNvSpPr txBox="1">
          <a:spLocks noChangeArrowheads="1"/>
        </xdr:cNvSpPr>
      </xdr:nvSpPr>
      <xdr:spPr bwMode="auto">
        <a:xfrm>
          <a:off x="1152525" y="14859000"/>
          <a:ext cx="76200" cy="209550"/>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76200</xdr:colOff>
      <xdr:row>79</xdr:row>
      <xdr:rowOff>19050</xdr:rowOff>
    </xdr:to>
    <xdr:sp macro="" textlink="">
      <xdr:nvSpPr>
        <xdr:cNvPr id="377575" name="Text Box 753"/>
        <xdr:cNvSpPr txBox="1">
          <a:spLocks noChangeArrowheads="1"/>
        </xdr:cNvSpPr>
      </xdr:nvSpPr>
      <xdr:spPr bwMode="auto">
        <a:xfrm>
          <a:off x="1152525" y="14859000"/>
          <a:ext cx="76200" cy="209550"/>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76200</xdr:colOff>
      <xdr:row>79</xdr:row>
      <xdr:rowOff>19050</xdr:rowOff>
    </xdr:to>
    <xdr:sp macro="" textlink="">
      <xdr:nvSpPr>
        <xdr:cNvPr id="377576" name="Text Box 754"/>
        <xdr:cNvSpPr txBox="1">
          <a:spLocks noChangeArrowheads="1"/>
        </xdr:cNvSpPr>
      </xdr:nvSpPr>
      <xdr:spPr bwMode="auto">
        <a:xfrm>
          <a:off x="1152525" y="14859000"/>
          <a:ext cx="76200" cy="209550"/>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76200</xdr:colOff>
      <xdr:row>80</xdr:row>
      <xdr:rowOff>19050</xdr:rowOff>
    </xdr:to>
    <xdr:sp macro="" textlink="">
      <xdr:nvSpPr>
        <xdr:cNvPr id="377577" name="Text Box 755"/>
        <xdr:cNvSpPr txBox="1">
          <a:spLocks noChangeArrowheads="1"/>
        </xdr:cNvSpPr>
      </xdr:nvSpPr>
      <xdr:spPr bwMode="auto">
        <a:xfrm>
          <a:off x="1152525" y="15049500"/>
          <a:ext cx="76200" cy="209550"/>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76200</xdr:colOff>
      <xdr:row>80</xdr:row>
      <xdr:rowOff>19050</xdr:rowOff>
    </xdr:to>
    <xdr:sp macro="" textlink="">
      <xdr:nvSpPr>
        <xdr:cNvPr id="377578" name="Text Box 756"/>
        <xdr:cNvSpPr txBox="1">
          <a:spLocks noChangeArrowheads="1"/>
        </xdr:cNvSpPr>
      </xdr:nvSpPr>
      <xdr:spPr bwMode="auto">
        <a:xfrm>
          <a:off x="1152525" y="15049500"/>
          <a:ext cx="76200" cy="209550"/>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76200</xdr:colOff>
      <xdr:row>80</xdr:row>
      <xdr:rowOff>19050</xdr:rowOff>
    </xdr:to>
    <xdr:sp macro="" textlink="">
      <xdr:nvSpPr>
        <xdr:cNvPr id="377579" name="Text Box 757"/>
        <xdr:cNvSpPr txBox="1">
          <a:spLocks noChangeArrowheads="1"/>
        </xdr:cNvSpPr>
      </xdr:nvSpPr>
      <xdr:spPr bwMode="auto">
        <a:xfrm>
          <a:off x="1152525" y="15049500"/>
          <a:ext cx="76200" cy="209550"/>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76200</xdr:colOff>
      <xdr:row>80</xdr:row>
      <xdr:rowOff>19050</xdr:rowOff>
    </xdr:to>
    <xdr:sp macro="" textlink="">
      <xdr:nvSpPr>
        <xdr:cNvPr id="377580" name="Text Box 758"/>
        <xdr:cNvSpPr txBox="1">
          <a:spLocks noChangeArrowheads="1"/>
        </xdr:cNvSpPr>
      </xdr:nvSpPr>
      <xdr:spPr bwMode="auto">
        <a:xfrm>
          <a:off x="1152525" y="15049500"/>
          <a:ext cx="76200" cy="209550"/>
        </a:xfrm>
        <a:prstGeom prst="rect">
          <a:avLst/>
        </a:prstGeom>
        <a:noFill/>
        <a:ln w="9525">
          <a:noFill/>
          <a:miter lim="800000"/>
          <a:headEnd/>
          <a:tailEnd/>
        </a:ln>
      </xdr:spPr>
    </xdr:sp>
    <xdr:clientData/>
  </xdr:twoCellAnchor>
  <xdr:twoCellAnchor editAs="oneCell">
    <xdr:from>
      <xdr:col>1</xdr:col>
      <xdr:colOff>0</xdr:colOff>
      <xdr:row>80</xdr:row>
      <xdr:rowOff>0</xdr:rowOff>
    </xdr:from>
    <xdr:to>
      <xdr:col>1</xdr:col>
      <xdr:colOff>76200</xdr:colOff>
      <xdr:row>81</xdr:row>
      <xdr:rowOff>19050</xdr:rowOff>
    </xdr:to>
    <xdr:sp macro="" textlink="">
      <xdr:nvSpPr>
        <xdr:cNvPr id="377581" name="Text Box 759"/>
        <xdr:cNvSpPr txBox="1">
          <a:spLocks noChangeArrowheads="1"/>
        </xdr:cNvSpPr>
      </xdr:nvSpPr>
      <xdr:spPr bwMode="auto">
        <a:xfrm>
          <a:off x="1152525" y="15240000"/>
          <a:ext cx="76200" cy="209550"/>
        </a:xfrm>
        <a:prstGeom prst="rect">
          <a:avLst/>
        </a:prstGeom>
        <a:noFill/>
        <a:ln w="9525">
          <a:noFill/>
          <a:miter lim="800000"/>
          <a:headEnd/>
          <a:tailEnd/>
        </a:ln>
      </xdr:spPr>
    </xdr:sp>
    <xdr:clientData/>
  </xdr:twoCellAnchor>
  <xdr:twoCellAnchor editAs="oneCell">
    <xdr:from>
      <xdr:col>1</xdr:col>
      <xdr:colOff>0</xdr:colOff>
      <xdr:row>80</xdr:row>
      <xdr:rowOff>0</xdr:rowOff>
    </xdr:from>
    <xdr:to>
      <xdr:col>1</xdr:col>
      <xdr:colOff>76200</xdr:colOff>
      <xdr:row>81</xdr:row>
      <xdr:rowOff>19050</xdr:rowOff>
    </xdr:to>
    <xdr:sp macro="" textlink="">
      <xdr:nvSpPr>
        <xdr:cNvPr id="377582" name="Text Box 760"/>
        <xdr:cNvSpPr txBox="1">
          <a:spLocks noChangeArrowheads="1"/>
        </xdr:cNvSpPr>
      </xdr:nvSpPr>
      <xdr:spPr bwMode="auto">
        <a:xfrm>
          <a:off x="1152525" y="15240000"/>
          <a:ext cx="76200" cy="209550"/>
        </a:xfrm>
        <a:prstGeom prst="rect">
          <a:avLst/>
        </a:prstGeom>
        <a:noFill/>
        <a:ln w="9525">
          <a:noFill/>
          <a:miter lim="800000"/>
          <a:headEnd/>
          <a:tailEnd/>
        </a:ln>
      </xdr:spPr>
    </xdr:sp>
    <xdr:clientData/>
  </xdr:twoCellAnchor>
  <xdr:twoCellAnchor editAs="oneCell">
    <xdr:from>
      <xdr:col>1</xdr:col>
      <xdr:colOff>0</xdr:colOff>
      <xdr:row>80</xdr:row>
      <xdr:rowOff>0</xdr:rowOff>
    </xdr:from>
    <xdr:to>
      <xdr:col>1</xdr:col>
      <xdr:colOff>76200</xdr:colOff>
      <xdr:row>81</xdr:row>
      <xdr:rowOff>19050</xdr:rowOff>
    </xdr:to>
    <xdr:sp macro="" textlink="">
      <xdr:nvSpPr>
        <xdr:cNvPr id="377583" name="Text Box 761"/>
        <xdr:cNvSpPr txBox="1">
          <a:spLocks noChangeArrowheads="1"/>
        </xdr:cNvSpPr>
      </xdr:nvSpPr>
      <xdr:spPr bwMode="auto">
        <a:xfrm>
          <a:off x="1152525" y="15240000"/>
          <a:ext cx="76200" cy="209550"/>
        </a:xfrm>
        <a:prstGeom prst="rect">
          <a:avLst/>
        </a:prstGeom>
        <a:noFill/>
        <a:ln w="9525">
          <a:noFill/>
          <a:miter lim="800000"/>
          <a:headEnd/>
          <a:tailEnd/>
        </a:ln>
      </xdr:spPr>
    </xdr:sp>
    <xdr:clientData/>
  </xdr:twoCellAnchor>
  <xdr:twoCellAnchor editAs="oneCell">
    <xdr:from>
      <xdr:col>1</xdr:col>
      <xdr:colOff>0</xdr:colOff>
      <xdr:row>80</xdr:row>
      <xdr:rowOff>0</xdr:rowOff>
    </xdr:from>
    <xdr:to>
      <xdr:col>1</xdr:col>
      <xdr:colOff>76200</xdr:colOff>
      <xdr:row>81</xdr:row>
      <xdr:rowOff>19050</xdr:rowOff>
    </xdr:to>
    <xdr:sp macro="" textlink="">
      <xdr:nvSpPr>
        <xdr:cNvPr id="377584" name="Text Box 762"/>
        <xdr:cNvSpPr txBox="1">
          <a:spLocks noChangeArrowheads="1"/>
        </xdr:cNvSpPr>
      </xdr:nvSpPr>
      <xdr:spPr bwMode="auto">
        <a:xfrm>
          <a:off x="1152525" y="15240000"/>
          <a:ext cx="76200" cy="209550"/>
        </a:xfrm>
        <a:prstGeom prst="rect">
          <a:avLst/>
        </a:prstGeom>
        <a:noFill/>
        <a:ln w="9525">
          <a:noFill/>
          <a:miter lim="800000"/>
          <a:headEnd/>
          <a:tailEnd/>
        </a:ln>
      </xdr:spPr>
    </xdr:sp>
    <xdr:clientData/>
  </xdr:twoCellAnchor>
  <xdr:twoCellAnchor editAs="oneCell">
    <xdr:from>
      <xdr:col>1</xdr:col>
      <xdr:colOff>0</xdr:colOff>
      <xdr:row>81</xdr:row>
      <xdr:rowOff>0</xdr:rowOff>
    </xdr:from>
    <xdr:to>
      <xdr:col>1</xdr:col>
      <xdr:colOff>76200</xdr:colOff>
      <xdr:row>82</xdr:row>
      <xdr:rowOff>19050</xdr:rowOff>
    </xdr:to>
    <xdr:sp macro="" textlink="">
      <xdr:nvSpPr>
        <xdr:cNvPr id="377585" name="Text Box 763"/>
        <xdr:cNvSpPr txBox="1">
          <a:spLocks noChangeArrowheads="1"/>
        </xdr:cNvSpPr>
      </xdr:nvSpPr>
      <xdr:spPr bwMode="auto">
        <a:xfrm>
          <a:off x="1152525" y="15430500"/>
          <a:ext cx="76200" cy="209550"/>
        </a:xfrm>
        <a:prstGeom prst="rect">
          <a:avLst/>
        </a:prstGeom>
        <a:noFill/>
        <a:ln w="9525">
          <a:noFill/>
          <a:miter lim="800000"/>
          <a:headEnd/>
          <a:tailEnd/>
        </a:ln>
      </xdr:spPr>
    </xdr:sp>
    <xdr:clientData/>
  </xdr:twoCellAnchor>
  <xdr:twoCellAnchor editAs="oneCell">
    <xdr:from>
      <xdr:col>1</xdr:col>
      <xdr:colOff>0</xdr:colOff>
      <xdr:row>81</xdr:row>
      <xdr:rowOff>0</xdr:rowOff>
    </xdr:from>
    <xdr:to>
      <xdr:col>1</xdr:col>
      <xdr:colOff>76200</xdr:colOff>
      <xdr:row>82</xdr:row>
      <xdr:rowOff>19050</xdr:rowOff>
    </xdr:to>
    <xdr:sp macro="" textlink="">
      <xdr:nvSpPr>
        <xdr:cNvPr id="377586" name="Text Box 764"/>
        <xdr:cNvSpPr txBox="1">
          <a:spLocks noChangeArrowheads="1"/>
        </xdr:cNvSpPr>
      </xdr:nvSpPr>
      <xdr:spPr bwMode="auto">
        <a:xfrm>
          <a:off x="1152525" y="15430500"/>
          <a:ext cx="76200" cy="209550"/>
        </a:xfrm>
        <a:prstGeom prst="rect">
          <a:avLst/>
        </a:prstGeom>
        <a:noFill/>
        <a:ln w="9525">
          <a:noFill/>
          <a:miter lim="800000"/>
          <a:headEnd/>
          <a:tailEnd/>
        </a:ln>
      </xdr:spPr>
    </xdr:sp>
    <xdr:clientData/>
  </xdr:twoCellAnchor>
  <xdr:twoCellAnchor editAs="oneCell">
    <xdr:from>
      <xdr:col>1</xdr:col>
      <xdr:colOff>0</xdr:colOff>
      <xdr:row>81</xdr:row>
      <xdr:rowOff>0</xdr:rowOff>
    </xdr:from>
    <xdr:to>
      <xdr:col>1</xdr:col>
      <xdr:colOff>76200</xdr:colOff>
      <xdr:row>82</xdr:row>
      <xdr:rowOff>19050</xdr:rowOff>
    </xdr:to>
    <xdr:sp macro="" textlink="">
      <xdr:nvSpPr>
        <xdr:cNvPr id="377587" name="Text Box 765"/>
        <xdr:cNvSpPr txBox="1">
          <a:spLocks noChangeArrowheads="1"/>
        </xdr:cNvSpPr>
      </xdr:nvSpPr>
      <xdr:spPr bwMode="auto">
        <a:xfrm>
          <a:off x="1152525" y="15430500"/>
          <a:ext cx="76200" cy="209550"/>
        </a:xfrm>
        <a:prstGeom prst="rect">
          <a:avLst/>
        </a:prstGeom>
        <a:noFill/>
        <a:ln w="9525">
          <a:noFill/>
          <a:miter lim="800000"/>
          <a:headEnd/>
          <a:tailEnd/>
        </a:ln>
      </xdr:spPr>
    </xdr:sp>
    <xdr:clientData/>
  </xdr:twoCellAnchor>
  <xdr:twoCellAnchor editAs="oneCell">
    <xdr:from>
      <xdr:col>1</xdr:col>
      <xdr:colOff>0</xdr:colOff>
      <xdr:row>81</xdr:row>
      <xdr:rowOff>0</xdr:rowOff>
    </xdr:from>
    <xdr:to>
      <xdr:col>1</xdr:col>
      <xdr:colOff>76200</xdr:colOff>
      <xdr:row>82</xdr:row>
      <xdr:rowOff>19050</xdr:rowOff>
    </xdr:to>
    <xdr:sp macro="" textlink="">
      <xdr:nvSpPr>
        <xdr:cNvPr id="377588" name="Text Box 766"/>
        <xdr:cNvSpPr txBox="1">
          <a:spLocks noChangeArrowheads="1"/>
        </xdr:cNvSpPr>
      </xdr:nvSpPr>
      <xdr:spPr bwMode="auto">
        <a:xfrm>
          <a:off x="1152525" y="15430500"/>
          <a:ext cx="76200" cy="209550"/>
        </a:xfrm>
        <a:prstGeom prst="rect">
          <a:avLst/>
        </a:prstGeom>
        <a:noFill/>
        <a:ln w="9525">
          <a:noFill/>
          <a:miter lim="800000"/>
          <a:headEnd/>
          <a:tailEnd/>
        </a:ln>
      </xdr:spPr>
    </xdr:sp>
    <xdr:clientData/>
  </xdr:twoCellAnchor>
  <xdr:twoCellAnchor editAs="oneCell">
    <xdr:from>
      <xdr:col>1</xdr:col>
      <xdr:colOff>0</xdr:colOff>
      <xdr:row>82</xdr:row>
      <xdr:rowOff>0</xdr:rowOff>
    </xdr:from>
    <xdr:to>
      <xdr:col>1</xdr:col>
      <xdr:colOff>76200</xdr:colOff>
      <xdr:row>83</xdr:row>
      <xdr:rowOff>19050</xdr:rowOff>
    </xdr:to>
    <xdr:sp macro="" textlink="">
      <xdr:nvSpPr>
        <xdr:cNvPr id="377589" name="Text Box 767"/>
        <xdr:cNvSpPr txBox="1">
          <a:spLocks noChangeArrowheads="1"/>
        </xdr:cNvSpPr>
      </xdr:nvSpPr>
      <xdr:spPr bwMode="auto">
        <a:xfrm>
          <a:off x="1152525" y="15621000"/>
          <a:ext cx="76200" cy="209550"/>
        </a:xfrm>
        <a:prstGeom prst="rect">
          <a:avLst/>
        </a:prstGeom>
        <a:noFill/>
        <a:ln w="9525">
          <a:noFill/>
          <a:miter lim="800000"/>
          <a:headEnd/>
          <a:tailEnd/>
        </a:ln>
      </xdr:spPr>
    </xdr:sp>
    <xdr:clientData/>
  </xdr:twoCellAnchor>
  <xdr:twoCellAnchor editAs="oneCell">
    <xdr:from>
      <xdr:col>1</xdr:col>
      <xdr:colOff>0</xdr:colOff>
      <xdr:row>82</xdr:row>
      <xdr:rowOff>0</xdr:rowOff>
    </xdr:from>
    <xdr:to>
      <xdr:col>1</xdr:col>
      <xdr:colOff>76200</xdr:colOff>
      <xdr:row>83</xdr:row>
      <xdr:rowOff>19050</xdr:rowOff>
    </xdr:to>
    <xdr:sp macro="" textlink="">
      <xdr:nvSpPr>
        <xdr:cNvPr id="377590" name="Text Box 768"/>
        <xdr:cNvSpPr txBox="1">
          <a:spLocks noChangeArrowheads="1"/>
        </xdr:cNvSpPr>
      </xdr:nvSpPr>
      <xdr:spPr bwMode="auto">
        <a:xfrm>
          <a:off x="1152525" y="15621000"/>
          <a:ext cx="76200" cy="209550"/>
        </a:xfrm>
        <a:prstGeom prst="rect">
          <a:avLst/>
        </a:prstGeom>
        <a:noFill/>
        <a:ln w="9525">
          <a:noFill/>
          <a:miter lim="800000"/>
          <a:headEnd/>
          <a:tailEnd/>
        </a:ln>
      </xdr:spPr>
    </xdr:sp>
    <xdr:clientData/>
  </xdr:twoCellAnchor>
  <xdr:twoCellAnchor editAs="oneCell">
    <xdr:from>
      <xdr:col>1</xdr:col>
      <xdr:colOff>0</xdr:colOff>
      <xdr:row>82</xdr:row>
      <xdr:rowOff>0</xdr:rowOff>
    </xdr:from>
    <xdr:to>
      <xdr:col>1</xdr:col>
      <xdr:colOff>76200</xdr:colOff>
      <xdr:row>83</xdr:row>
      <xdr:rowOff>19050</xdr:rowOff>
    </xdr:to>
    <xdr:sp macro="" textlink="">
      <xdr:nvSpPr>
        <xdr:cNvPr id="377591" name="Text Box 769"/>
        <xdr:cNvSpPr txBox="1">
          <a:spLocks noChangeArrowheads="1"/>
        </xdr:cNvSpPr>
      </xdr:nvSpPr>
      <xdr:spPr bwMode="auto">
        <a:xfrm>
          <a:off x="1152525" y="15621000"/>
          <a:ext cx="76200" cy="209550"/>
        </a:xfrm>
        <a:prstGeom prst="rect">
          <a:avLst/>
        </a:prstGeom>
        <a:noFill/>
        <a:ln w="9525">
          <a:noFill/>
          <a:miter lim="800000"/>
          <a:headEnd/>
          <a:tailEnd/>
        </a:ln>
      </xdr:spPr>
    </xdr:sp>
    <xdr:clientData/>
  </xdr:twoCellAnchor>
  <xdr:twoCellAnchor editAs="oneCell">
    <xdr:from>
      <xdr:col>1</xdr:col>
      <xdr:colOff>0</xdr:colOff>
      <xdr:row>82</xdr:row>
      <xdr:rowOff>0</xdr:rowOff>
    </xdr:from>
    <xdr:to>
      <xdr:col>1</xdr:col>
      <xdr:colOff>76200</xdr:colOff>
      <xdr:row>83</xdr:row>
      <xdr:rowOff>19050</xdr:rowOff>
    </xdr:to>
    <xdr:sp macro="" textlink="">
      <xdr:nvSpPr>
        <xdr:cNvPr id="377592" name="Text Box 770"/>
        <xdr:cNvSpPr txBox="1">
          <a:spLocks noChangeArrowheads="1"/>
        </xdr:cNvSpPr>
      </xdr:nvSpPr>
      <xdr:spPr bwMode="auto">
        <a:xfrm>
          <a:off x="1152525" y="15621000"/>
          <a:ext cx="76200" cy="209550"/>
        </a:xfrm>
        <a:prstGeom prst="rect">
          <a:avLst/>
        </a:prstGeom>
        <a:noFill/>
        <a:ln w="9525">
          <a:noFill/>
          <a:miter lim="800000"/>
          <a:headEnd/>
          <a:tailEnd/>
        </a:ln>
      </xdr:spPr>
    </xdr:sp>
    <xdr:clientData/>
  </xdr:twoCellAnchor>
  <xdr:twoCellAnchor editAs="oneCell">
    <xdr:from>
      <xdr:col>1</xdr:col>
      <xdr:colOff>0</xdr:colOff>
      <xdr:row>83</xdr:row>
      <xdr:rowOff>0</xdr:rowOff>
    </xdr:from>
    <xdr:to>
      <xdr:col>1</xdr:col>
      <xdr:colOff>76200</xdr:colOff>
      <xdr:row>84</xdr:row>
      <xdr:rowOff>19050</xdr:rowOff>
    </xdr:to>
    <xdr:sp macro="" textlink="">
      <xdr:nvSpPr>
        <xdr:cNvPr id="377593" name="Text Box 771"/>
        <xdr:cNvSpPr txBox="1">
          <a:spLocks noChangeArrowheads="1"/>
        </xdr:cNvSpPr>
      </xdr:nvSpPr>
      <xdr:spPr bwMode="auto">
        <a:xfrm>
          <a:off x="1152525" y="15811500"/>
          <a:ext cx="76200" cy="209550"/>
        </a:xfrm>
        <a:prstGeom prst="rect">
          <a:avLst/>
        </a:prstGeom>
        <a:noFill/>
        <a:ln w="9525">
          <a:noFill/>
          <a:miter lim="800000"/>
          <a:headEnd/>
          <a:tailEnd/>
        </a:ln>
      </xdr:spPr>
    </xdr:sp>
    <xdr:clientData/>
  </xdr:twoCellAnchor>
  <xdr:twoCellAnchor editAs="oneCell">
    <xdr:from>
      <xdr:col>1</xdr:col>
      <xdr:colOff>0</xdr:colOff>
      <xdr:row>83</xdr:row>
      <xdr:rowOff>0</xdr:rowOff>
    </xdr:from>
    <xdr:to>
      <xdr:col>1</xdr:col>
      <xdr:colOff>76200</xdr:colOff>
      <xdr:row>84</xdr:row>
      <xdr:rowOff>19050</xdr:rowOff>
    </xdr:to>
    <xdr:sp macro="" textlink="">
      <xdr:nvSpPr>
        <xdr:cNvPr id="377594" name="Text Box 772"/>
        <xdr:cNvSpPr txBox="1">
          <a:spLocks noChangeArrowheads="1"/>
        </xdr:cNvSpPr>
      </xdr:nvSpPr>
      <xdr:spPr bwMode="auto">
        <a:xfrm>
          <a:off x="1152525" y="15811500"/>
          <a:ext cx="76200" cy="209550"/>
        </a:xfrm>
        <a:prstGeom prst="rect">
          <a:avLst/>
        </a:prstGeom>
        <a:noFill/>
        <a:ln w="9525">
          <a:noFill/>
          <a:miter lim="800000"/>
          <a:headEnd/>
          <a:tailEnd/>
        </a:ln>
      </xdr:spPr>
    </xdr:sp>
    <xdr:clientData/>
  </xdr:twoCellAnchor>
  <xdr:twoCellAnchor editAs="oneCell">
    <xdr:from>
      <xdr:col>1</xdr:col>
      <xdr:colOff>0</xdr:colOff>
      <xdr:row>83</xdr:row>
      <xdr:rowOff>0</xdr:rowOff>
    </xdr:from>
    <xdr:to>
      <xdr:col>1</xdr:col>
      <xdr:colOff>76200</xdr:colOff>
      <xdr:row>84</xdr:row>
      <xdr:rowOff>19050</xdr:rowOff>
    </xdr:to>
    <xdr:sp macro="" textlink="">
      <xdr:nvSpPr>
        <xdr:cNvPr id="377595" name="Text Box 773"/>
        <xdr:cNvSpPr txBox="1">
          <a:spLocks noChangeArrowheads="1"/>
        </xdr:cNvSpPr>
      </xdr:nvSpPr>
      <xdr:spPr bwMode="auto">
        <a:xfrm>
          <a:off x="1152525" y="15811500"/>
          <a:ext cx="76200" cy="209550"/>
        </a:xfrm>
        <a:prstGeom prst="rect">
          <a:avLst/>
        </a:prstGeom>
        <a:noFill/>
        <a:ln w="9525">
          <a:noFill/>
          <a:miter lim="800000"/>
          <a:headEnd/>
          <a:tailEnd/>
        </a:ln>
      </xdr:spPr>
    </xdr:sp>
    <xdr:clientData/>
  </xdr:twoCellAnchor>
  <xdr:twoCellAnchor editAs="oneCell">
    <xdr:from>
      <xdr:col>1</xdr:col>
      <xdr:colOff>0</xdr:colOff>
      <xdr:row>83</xdr:row>
      <xdr:rowOff>0</xdr:rowOff>
    </xdr:from>
    <xdr:to>
      <xdr:col>1</xdr:col>
      <xdr:colOff>76200</xdr:colOff>
      <xdr:row>84</xdr:row>
      <xdr:rowOff>19050</xdr:rowOff>
    </xdr:to>
    <xdr:sp macro="" textlink="">
      <xdr:nvSpPr>
        <xdr:cNvPr id="377596" name="Text Box 774"/>
        <xdr:cNvSpPr txBox="1">
          <a:spLocks noChangeArrowheads="1"/>
        </xdr:cNvSpPr>
      </xdr:nvSpPr>
      <xdr:spPr bwMode="auto">
        <a:xfrm>
          <a:off x="1152525" y="15811500"/>
          <a:ext cx="76200" cy="209550"/>
        </a:xfrm>
        <a:prstGeom prst="rect">
          <a:avLst/>
        </a:prstGeom>
        <a:noFill/>
        <a:ln w="9525">
          <a:noFill/>
          <a:miter lim="800000"/>
          <a:headEnd/>
          <a:tailEnd/>
        </a:ln>
      </xdr:spPr>
    </xdr:sp>
    <xdr:clientData/>
  </xdr:twoCellAnchor>
  <xdr:twoCellAnchor editAs="oneCell">
    <xdr:from>
      <xdr:col>1</xdr:col>
      <xdr:colOff>0</xdr:colOff>
      <xdr:row>84</xdr:row>
      <xdr:rowOff>0</xdr:rowOff>
    </xdr:from>
    <xdr:to>
      <xdr:col>1</xdr:col>
      <xdr:colOff>76200</xdr:colOff>
      <xdr:row>85</xdr:row>
      <xdr:rowOff>19050</xdr:rowOff>
    </xdr:to>
    <xdr:sp macro="" textlink="">
      <xdr:nvSpPr>
        <xdr:cNvPr id="377597" name="Text Box 775"/>
        <xdr:cNvSpPr txBox="1">
          <a:spLocks noChangeArrowheads="1"/>
        </xdr:cNvSpPr>
      </xdr:nvSpPr>
      <xdr:spPr bwMode="auto">
        <a:xfrm>
          <a:off x="1152525" y="16002000"/>
          <a:ext cx="76200" cy="209550"/>
        </a:xfrm>
        <a:prstGeom prst="rect">
          <a:avLst/>
        </a:prstGeom>
        <a:noFill/>
        <a:ln w="9525">
          <a:noFill/>
          <a:miter lim="800000"/>
          <a:headEnd/>
          <a:tailEnd/>
        </a:ln>
      </xdr:spPr>
    </xdr:sp>
    <xdr:clientData/>
  </xdr:twoCellAnchor>
  <xdr:twoCellAnchor editAs="oneCell">
    <xdr:from>
      <xdr:col>1</xdr:col>
      <xdr:colOff>0</xdr:colOff>
      <xdr:row>84</xdr:row>
      <xdr:rowOff>0</xdr:rowOff>
    </xdr:from>
    <xdr:to>
      <xdr:col>1</xdr:col>
      <xdr:colOff>76200</xdr:colOff>
      <xdr:row>85</xdr:row>
      <xdr:rowOff>19050</xdr:rowOff>
    </xdr:to>
    <xdr:sp macro="" textlink="">
      <xdr:nvSpPr>
        <xdr:cNvPr id="377598" name="Text Box 776"/>
        <xdr:cNvSpPr txBox="1">
          <a:spLocks noChangeArrowheads="1"/>
        </xdr:cNvSpPr>
      </xdr:nvSpPr>
      <xdr:spPr bwMode="auto">
        <a:xfrm>
          <a:off x="1152525" y="16002000"/>
          <a:ext cx="76200" cy="209550"/>
        </a:xfrm>
        <a:prstGeom prst="rect">
          <a:avLst/>
        </a:prstGeom>
        <a:noFill/>
        <a:ln w="9525">
          <a:noFill/>
          <a:miter lim="800000"/>
          <a:headEnd/>
          <a:tailEnd/>
        </a:ln>
      </xdr:spPr>
    </xdr:sp>
    <xdr:clientData/>
  </xdr:twoCellAnchor>
  <xdr:twoCellAnchor editAs="oneCell">
    <xdr:from>
      <xdr:col>1</xdr:col>
      <xdr:colOff>0</xdr:colOff>
      <xdr:row>84</xdr:row>
      <xdr:rowOff>0</xdr:rowOff>
    </xdr:from>
    <xdr:to>
      <xdr:col>1</xdr:col>
      <xdr:colOff>76200</xdr:colOff>
      <xdr:row>85</xdr:row>
      <xdr:rowOff>19050</xdr:rowOff>
    </xdr:to>
    <xdr:sp macro="" textlink="">
      <xdr:nvSpPr>
        <xdr:cNvPr id="377599" name="Text Box 777"/>
        <xdr:cNvSpPr txBox="1">
          <a:spLocks noChangeArrowheads="1"/>
        </xdr:cNvSpPr>
      </xdr:nvSpPr>
      <xdr:spPr bwMode="auto">
        <a:xfrm>
          <a:off x="1152525" y="16002000"/>
          <a:ext cx="76200" cy="209550"/>
        </a:xfrm>
        <a:prstGeom prst="rect">
          <a:avLst/>
        </a:prstGeom>
        <a:noFill/>
        <a:ln w="9525">
          <a:noFill/>
          <a:miter lim="800000"/>
          <a:headEnd/>
          <a:tailEnd/>
        </a:ln>
      </xdr:spPr>
    </xdr:sp>
    <xdr:clientData/>
  </xdr:twoCellAnchor>
  <xdr:twoCellAnchor editAs="oneCell">
    <xdr:from>
      <xdr:col>1</xdr:col>
      <xdr:colOff>0</xdr:colOff>
      <xdr:row>84</xdr:row>
      <xdr:rowOff>0</xdr:rowOff>
    </xdr:from>
    <xdr:to>
      <xdr:col>1</xdr:col>
      <xdr:colOff>76200</xdr:colOff>
      <xdr:row>85</xdr:row>
      <xdr:rowOff>19050</xdr:rowOff>
    </xdr:to>
    <xdr:sp macro="" textlink="">
      <xdr:nvSpPr>
        <xdr:cNvPr id="377600" name="Text Box 778"/>
        <xdr:cNvSpPr txBox="1">
          <a:spLocks noChangeArrowheads="1"/>
        </xdr:cNvSpPr>
      </xdr:nvSpPr>
      <xdr:spPr bwMode="auto">
        <a:xfrm>
          <a:off x="1152525" y="16002000"/>
          <a:ext cx="76200" cy="209550"/>
        </a:xfrm>
        <a:prstGeom prst="rect">
          <a:avLst/>
        </a:prstGeom>
        <a:noFill/>
        <a:ln w="9525">
          <a:noFill/>
          <a:miter lim="800000"/>
          <a:headEnd/>
          <a:tailEnd/>
        </a:ln>
      </xdr:spPr>
    </xdr:sp>
    <xdr:clientData/>
  </xdr:twoCellAnchor>
  <xdr:twoCellAnchor editAs="oneCell">
    <xdr:from>
      <xdr:col>1</xdr:col>
      <xdr:colOff>0</xdr:colOff>
      <xdr:row>85</xdr:row>
      <xdr:rowOff>0</xdr:rowOff>
    </xdr:from>
    <xdr:to>
      <xdr:col>1</xdr:col>
      <xdr:colOff>76200</xdr:colOff>
      <xdr:row>86</xdr:row>
      <xdr:rowOff>19050</xdr:rowOff>
    </xdr:to>
    <xdr:sp macro="" textlink="">
      <xdr:nvSpPr>
        <xdr:cNvPr id="377601" name="Text Box 779"/>
        <xdr:cNvSpPr txBox="1">
          <a:spLocks noChangeArrowheads="1"/>
        </xdr:cNvSpPr>
      </xdr:nvSpPr>
      <xdr:spPr bwMode="auto">
        <a:xfrm>
          <a:off x="1152525" y="16192500"/>
          <a:ext cx="76200" cy="209550"/>
        </a:xfrm>
        <a:prstGeom prst="rect">
          <a:avLst/>
        </a:prstGeom>
        <a:noFill/>
        <a:ln w="9525">
          <a:noFill/>
          <a:miter lim="800000"/>
          <a:headEnd/>
          <a:tailEnd/>
        </a:ln>
      </xdr:spPr>
    </xdr:sp>
    <xdr:clientData/>
  </xdr:twoCellAnchor>
  <xdr:twoCellAnchor editAs="oneCell">
    <xdr:from>
      <xdr:col>1</xdr:col>
      <xdr:colOff>0</xdr:colOff>
      <xdr:row>85</xdr:row>
      <xdr:rowOff>0</xdr:rowOff>
    </xdr:from>
    <xdr:to>
      <xdr:col>1</xdr:col>
      <xdr:colOff>76200</xdr:colOff>
      <xdr:row>86</xdr:row>
      <xdr:rowOff>19050</xdr:rowOff>
    </xdr:to>
    <xdr:sp macro="" textlink="">
      <xdr:nvSpPr>
        <xdr:cNvPr id="377602" name="Text Box 780"/>
        <xdr:cNvSpPr txBox="1">
          <a:spLocks noChangeArrowheads="1"/>
        </xdr:cNvSpPr>
      </xdr:nvSpPr>
      <xdr:spPr bwMode="auto">
        <a:xfrm>
          <a:off x="1152525" y="16192500"/>
          <a:ext cx="76200" cy="209550"/>
        </a:xfrm>
        <a:prstGeom prst="rect">
          <a:avLst/>
        </a:prstGeom>
        <a:noFill/>
        <a:ln w="9525">
          <a:noFill/>
          <a:miter lim="800000"/>
          <a:headEnd/>
          <a:tailEnd/>
        </a:ln>
      </xdr:spPr>
    </xdr:sp>
    <xdr:clientData/>
  </xdr:twoCellAnchor>
  <xdr:twoCellAnchor editAs="oneCell">
    <xdr:from>
      <xdr:col>1</xdr:col>
      <xdr:colOff>0</xdr:colOff>
      <xdr:row>85</xdr:row>
      <xdr:rowOff>0</xdr:rowOff>
    </xdr:from>
    <xdr:to>
      <xdr:col>1</xdr:col>
      <xdr:colOff>76200</xdr:colOff>
      <xdr:row>86</xdr:row>
      <xdr:rowOff>19050</xdr:rowOff>
    </xdr:to>
    <xdr:sp macro="" textlink="">
      <xdr:nvSpPr>
        <xdr:cNvPr id="377603" name="Text Box 781"/>
        <xdr:cNvSpPr txBox="1">
          <a:spLocks noChangeArrowheads="1"/>
        </xdr:cNvSpPr>
      </xdr:nvSpPr>
      <xdr:spPr bwMode="auto">
        <a:xfrm>
          <a:off x="1152525" y="16192500"/>
          <a:ext cx="76200" cy="209550"/>
        </a:xfrm>
        <a:prstGeom prst="rect">
          <a:avLst/>
        </a:prstGeom>
        <a:noFill/>
        <a:ln w="9525">
          <a:noFill/>
          <a:miter lim="800000"/>
          <a:headEnd/>
          <a:tailEnd/>
        </a:ln>
      </xdr:spPr>
    </xdr:sp>
    <xdr:clientData/>
  </xdr:twoCellAnchor>
  <xdr:twoCellAnchor editAs="oneCell">
    <xdr:from>
      <xdr:col>1</xdr:col>
      <xdr:colOff>0</xdr:colOff>
      <xdr:row>85</xdr:row>
      <xdr:rowOff>0</xdr:rowOff>
    </xdr:from>
    <xdr:to>
      <xdr:col>1</xdr:col>
      <xdr:colOff>76200</xdr:colOff>
      <xdr:row>86</xdr:row>
      <xdr:rowOff>19050</xdr:rowOff>
    </xdr:to>
    <xdr:sp macro="" textlink="">
      <xdr:nvSpPr>
        <xdr:cNvPr id="377604" name="Text Box 782"/>
        <xdr:cNvSpPr txBox="1">
          <a:spLocks noChangeArrowheads="1"/>
        </xdr:cNvSpPr>
      </xdr:nvSpPr>
      <xdr:spPr bwMode="auto">
        <a:xfrm>
          <a:off x="1152525" y="16192500"/>
          <a:ext cx="76200" cy="209550"/>
        </a:xfrm>
        <a:prstGeom prst="rect">
          <a:avLst/>
        </a:prstGeom>
        <a:noFill/>
        <a:ln w="9525">
          <a:noFill/>
          <a:miter lim="800000"/>
          <a:headEnd/>
          <a:tailEnd/>
        </a:ln>
      </xdr:spPr>
    </xdr:sp>
    <xdr:clientData/>
  </xdr:twoCellAnchor>
  <xdr:twoCellAnchor editAs="oneCell">
    <xdr:from>
      <xdr:col>1</xdr:col>
      <xdr:colOff>0</xdr:colOff>
      <xdr:row>86</xdr:row>
      <xdr:rowOff>0</xdr:rowOff>
    </xdr:from>
    <xdr:to>
      <xdr:col>1</xdr:col>
      <xdr:colOff>76200</xdr:colOff>
      <xdr:row>87</xdr:row>
      <xdr:rowOff>19050</xdr:rowOff>
    </xdr:to>
    <xdr:sp macro="" textlink="">
      <xdr:nvSpPr>
        <xdr:cNvPr id="377605" name="Text Box 783"/>
        <xdr:cNvSpPr txBox="1">
          <a:spLocks noChangeArrowheads="1"/>
        </xdr:cNvSpPr>
      </xdr:nvSpPr>
      <xdr:spPr bwMode="auto">
        <a:xfrm>
          <a:off x="1152525" y="16383000"/>
          <a:ext cx="76200" cy="209550"/>
        </a:xfrm>
        <a:prstGeom prst="rect">
          <a:avLst/>
        </a:prstGeom>
        <a:noFill/>
        <a:ln w="9525">
          <a:noFill/>
          <a:miter lim="800000"/>
          <a:headEnd/>
          <a:tailEnd/>
        </a:ln>
      </xdr:spPr>
    </xdr:sp>
    <xdr:clientData/>
  </xdr:twoCellAnchor>
  <xdr:twoCellAnchor editAs="oneCell">
    <xdr:from>
      <xdr:col>1</xdr:col>
      <xdr:colOff>0</xdr:colOff>
      <xdr:row>86</xdr:row>
      <xdr:rowOff>0</xdr:rowOff>
    </xdr:from>
    <xdr:to>
      <xdr:col>1</xdr:col>
      <xdr:colOff>76200</xdr:colOff>
      <xdr:row>87</xdr:row>
      <xdr:rowOff>19050</xdr:rowOff>
    </xdr:to>
    <xdr:sp macro="" textlink="">
      <xdr:nvSpPr>
        <xdr:cNvPr id="377606" name="Text Box 784"/>
        <xdr:cNvSpPr txBox="1">
          <a:spLocks noChangeArrowheads="1"/>
        </xdr:cNvSpPr>
      </xdr:nvSpPr>
      <xdr:spPr bwMode="auto">
        <a:xfrm>
          <a:off x="1152525" y="16383000"/>
          <a:ext cx="76200" cy="209550"/>
        </a:xfrm>
        <a:prstGeom prst="rect">
          <a:avLst/>
        </a:prstGeom>
        <a:noFill/>
        <a:ln w="9525">
          <a:noFill/>
          <a:miter lim="800000"/>
          <a:headEnd/>
          <a:tailEnd/>
        </a:ln>
      </xdr:spPr>
    </xdr:sp>
    <xdr:clientData/>
  </xdr:twoCellAnchor>
  <xdr:twoCellAnchor editAs="oneCell">
    <xdr:from>
      <xdr:col>1</xdr:col>
      <xdr:colOff>0</xdr:colOff>
      <xdr:row>86</xdr:row>
      <xdr:rowOff>0</xdr:rowOff>
    </xdr:from>
    <xdr:to>
      <xdr:col>1</xdr:col>
      <xdr:colOff>76200</xdr:colOff>
      <xdr:row>87</xdr:row>
      <xdr:rowOff>19050</xdr:rowOff>
    </xdr:to>
    <xdr:sp macro="" textlink="">
      <xdr:nvSpPr>
        <xdr:cNvPr id="377607" name="Text Box 785"/>
        <xdr:cNvSpPr txBox="1">
          <a:spLocks noChangeArrowheads="1"/>
        </xdr:cNvSpPr>
      </xdr:nvSpPr>
      <xdr:spPr bwMode="auto">
        <a:xfrm>
          <a:off x="1152525" y="16383000"/>
          <a:ext cx="76200" cy="209550"/>
        </a:xfrm>
        <a:prstGeom prst="rect">
          <a:avLst/>
        </a:prstGeom>
        <a:noFill/>
        <a:ln w="9525">
          <a:noFill/>
          <a:miter lim="800000"/>
          <a:headEnd/>
          <a:tailEnd/>
        </a:ln>
      </xdr:spPr>
    </xdr:sp>
    <xdr:clientData/>
  </xdr:twoCellAnchor>
  <xdr:twoCellAnchor editAs="oneCell">
    <xdr:from>
      <xdr:col>1</xdr:col>
      <xdr:colOff>0</xdr:colOff>
      <xdr:row>86</xdr:row>
      <xdr:rowOff>0</xdr:rowOff>
    </xdr:from>
    <xdr:to>
      <xdr:col>1</xdr:col>
      <xdr:colOff>76200</xdr:colOff>
      <xdr:row>87</xdr:row>
      <xdr:rowOff>19050</xdr:rowOff>
    </xdr:to>
    <xdr:sp macro="" textlink="">
      <xdr:nvSpPr>
        <xdr:cNvPr id="377608" name="Text Box 786"/>
        <xdr:cNvSpPr txBox="1">
          <a:spLocks noChangeArrowheads="1"/>
        </xdr:cNvSpPr>
      </xdr:nvSpPr>
      <xdr:spPr bwMode="auto">
        <a:xfrm>
          <a:off x="1152525" y="16383000"/>
          <a:ext cx="76200" cy="209550"/>
        </a:xfrm>
        <a:prstGeom prst="rect">
          <a:avLst/>
        </a:prstGeom>
        <a:noFill/>
        <a:ln w="9525">
          <a:noFill/>
          <a:miter lim="800000"/>
          <a:headEnd/>
          <a:tailEnd/>
        </a:ln>
      </xdr:spPr>
    </xdr:sp>
    <xdr:clientData/>
  </xdr:twoCellAnchor>
  <xdr:twoCellAnchor editAs="oneCell">
    <xdr:from>
      <xdr:col>1</xdr:col>
      <xdr:colOff>0</xdr:colOff>
      <xdr:row>87</xdr:row>
      <xdr:rowOff>0</xdr:rowOff>
    </xdr:from>
    <xdr:to>
      <xdr:col>1</xdr:col>
      <xdr:colOff>76200</xdr:colOff>
      <xdr:row>88</xdr:row>
      <xdr:rowOff>19050</xdr:rowOff>
    </xdr:to>
    <xdr:sp macro="" textlink="">
      <xdr:nvSpPr>
        <xdr:cNvPr id="377609" name="Text Box 787"/>
        <xdr:cNvSpPr txBox="1">
          <a:spLocks noChangeArrowheads="1"/>
        </xdr:cNvSpPr>
      </xdr:nvSpPr>
      <xdr:spPr bwMode="auto">
        <a:xfrm>
          <a:off x="1152525" y="16573500"/>
          <a:ext cx="76200" cy="209550"/>
        </a:xfrm>
        <a:prstGeom prst="rect">
          <a:avLst/>
        </a:prstGeom>
        <a:noFill/>
        <a:ln w="9525">
          <a:noFill/>
          <a:miter lim="800000"/>
          <a:headEnd/>
          <a:tailEnd/>
        </a:ln>
      </xdr:spPr>
    </xdr:sp>
    <xdr:clientData/>
  </xdr:twoCellAnchor>
  <xdr:twoCellAnchor editAs="oneCell">
    <xdr:from>
      <xdr:col>1</xdr:col>
      <xdr:colOff>0</xdr:colOff>
      <xdr:row>87</xdr:row>
      <xdr:rowOff>0</xdr:rowOff>
    </xdr:from>
    <xdr:to>
      <xdr:col>1</xdr:col>
      <xdr:colOff>76200</xdr:colOff>
      <xdr:row>88</xdr:row>
      <xdr:rowOff>19050</xdr:rowOff>
    </xdr:to>
    <xdr:sp macro="" textlink="">
      <xdr:nvSpPr>
        <xdr:cNvPr id="377610" name="Text Box 788"/>
        <xdr:cNvSpPr txBox="1">
          <a:spLocks noChangeArrowheads="1"/>
        </xdr:cNvSpPr>
      </xdr:nvSpPr>
      <xdr:spPr bwMode="auto">
        <a:xfrm>
          <a:off x="1152525" y="16573500"/>
          <a:ext cx="76200" cy="209550"/>
        </a:xfrm>
        <a:prstGeom prst="rect">
          <a:avLst/>
        </a:prstGeom>
        <a:noFill/>
        <a:ln w="9525">
          <a:noFill/>
          <a:miter lim="800000"/>
          <a:headEnd/>
          <a:tailEnd/>
        </a:ln>
      </xdr:spPr>
    </xdr:sp>
    <xdr:clientData/>
  </xdr:twoCellAnchor>
  <xdr:twoCellAnchor editAs="oneCell">
    <xdr:from>
      <xdr:col>1</xdr:col>
      <xdr:colOff>0</xdr:colOff>
      <xdr:row>87</xdr:row>
      <xdr:rowOff>0</xdr:rowOff>
    </xdr:from>
    <xdr:to>
      <xdr:col>1</xdr:col>
      <xdr:colOff>76200</xdr:colOff>
      <xdr:row>88</xdr:row>
      <xdr:rowOff>19050</xdr:rowOff>
    </xdr:to>
    <xdr:sp macro="" textlink="">
      <xdr:nvSpPr>
        <xdr:cNvPr id="377611" name="Text Box 789"/>
        <xdr:cNvSpPr txBox="1">
          <a:spLocks noChangeArrowheads="1"/>
        </xdr:cNvSpPr>
      </xdr:nvSpPr>
      <xdr:spPr bwMode="auto">
        <a:xfrm>
          <a:off x="1152525" y="16573500"/>
          <a:ext cx="76200" cy="209550"/>
        </a:xfrm>
        <a:prstGeom prst="rect">
          <a:avLst/>
        </a:prstGeom>
        <a:noFill/>
        <a:ln w="9525">
          <a:noFill/>
          <a:miter lim="800000"/>
          <a:headEnd/>
          <a:tailEnd/>
        </a:ln>
      </xdr:spPr>
    </xdr:sp>
    <xdr:clientData/>
  </xdr:twoCellAnchor>
  <xdr:twoCellAnchor editAs="oneCell">
    <xdr:from>
      <xdr:col>1</xdr:col>
      <xdr:colOff>0</xdr:colOff>
      <xdr:row>87</xdr:row>
      <xdr:rowOff>0</xdr:rowOff>
    </xdr:from>
    <xdr:to>
      <xdr:col>1</xdr:col>
      <xdr:colOff>76200</xdr:colOff>
      <xdr:row>88</xdr:row>
      <xdr:rowOff>19050</xdr:rowOff>
    </xdr:to>
    <xdr:sp macro="" textlink="">
      <xdr:nvSpPr>
        <xdr:cNvPr id="377612" name="Text Box 790"/>
        <xdr:cNvSpPr txBox="1">
          <a:spLocks noChangeArrowheads="1"/>
        </xdr:cNvSpPr>
      </xdr:nvSpPr>
      <xdr:spPr bwMode="auto">
        <a:xfrm>
          <a:off x="1152525" y="16573500"/>
          <a:ext cx="76200" cy="209550"/>
        </a:xfrm>
        <a:prstGeom prst="rect">
          <a:avLst/>
        </a:prstGeom>
        <a:noFill/>
        <a:ln w="9525">
          <a:noFill/>
          <a:miter lim="800000"/>
          <a:headEnd/>
          <a:tailEnd/>
        </a:ln>
      </xdr:spPr>
    </xdr:sp>
    <xdr:clientData/>
  </xdr:twoCellAnchor>
  <xdr:twoCellAnchor editAs="oneCell">
    <xdr:from>
      <xdr:col>1</xdr:col>
      <xdr:colOff>0</xdr:colOff>
      <xdr:row>88</xdr:row>
      <xdr:rowOff>0</xdr:rowOff>
    </xdr:from>
    <xdr:to>
      <xdr:col>1</xdr:col>
      <xdr:colOff>76200</xdr:colOff>
      <xdr:row>89</xdr:row>
      <xdr:rowOff>19050</xdr:rowOff>
    </xdr:to>
    <xdr:sp macro="" textlink="">
      <xdr:nvSpPr>
        <xdr:cNvPr id="377613" name="Text Box 791"/>
        <xdr:cNvSpPr txBox="1">
          <a:spLocks noChangeArrowheads="1"/>
        </xdr:cNvSpPr>
      </xdr:nvSpPr>
      <xdr:spPr bwMode="auto">
        <a:xfrm>
          <a:off x="1152525" y="16764000"/>
          <a:ext cx="76200" cy="209550"/>
        </a:xfrm>
        <a:prstGeom prst="rect">
          <a:avLst/>
        </a:prstGeom>
        <a:noFill/>
        <a:ln w="9525">
          <a:noFill/>
          <a:miter lim="800000"/>
          <a:headEnd/>
          <a:tailEnd/>
        </a:ln>
      </xdr:spPr>
    </xdr:sp>
    <xdr:clientData/>
  </xdr:twoCellAnchor>
  <xdr:twoCellAnchor editAs="oneCell">
    <xdr:from>
      <xdr:col>1</xdr:col>
      <xdr:colOff>0</xdr:colOff>
      <xdr:row>88</xdr:row>
      <xdr:rowOff>0</xdr:rowOff>
    </xdr:from>
    <xdr:to>
      <xdr:col>1</xdr:col>
      <xdr:colOff>76200</xdr:colOff>
      <xdr:row>89</xdr:row>
      <xdr:rowOff>19050</xdr:rowOff>
    </xdr:to>
    <xdr:sp macro="" textlink="">
      <xdr:nvSpPr>
        <xdr:cNvPr id="377614" name="Text Box 792"/>
        <xdr:cNvSpPr txBox="1">
          <a:spLocks noChangeArrowheads="1"/>
        </xdr:cNvSpPr>
      </xdr:nvSpPr>
      <xdr:spPr bwMode="auto">
        <a:xfrm>
          <a:off x="1152525" y="16764000"/>
          <a:ext cx="76200" cy="209550"/>
        </a:xfrm>
        <a:prstGeom prst="rect">
          <a:avLst/>
        </a:prstGeom>
        <a:noFill/>
        <a:ln w="9525">
          <a:noFill/>
          <a:miter lim="800000"/>
          <a:headEnd/>
          <a:tailEnd/>
        </a:ln>
      </xdr:spPr>
    </xdr:sp>
    <xdr:clientData/>
  </xdr:twoCellAnchor>
  <xdr:twoCellAnchor editAs="oneCell">
    <xdr:from>
      <xdr:col>1</xdr:col>
      <xdr:colOff>0</xdr:colOff>
      <xdr:row>88</xdr:row>
      <xdr:rowOff>0</xdr:rowOff>
    </xdr:from>
    <xdr:to>
      <xdr:col>1</xdr:col>
      <xdr:colOff>76200</xdr:colOff>
      <xdr:row>89</xdr:row>
      <xdr:rowOff>19050</xdr:rowOff>
    </xdr:to>
    <xdr:sp macro="" textlink="">
      <xdr:nvSpPr>
        <xdr:cNvPr id="377615" name="Text Box 793"/>
        <xdr:cNvSpPr txBox="1">
          <a:spLocks noChangeArrowheads="1"/>
        </xdr:cNvSpPr>
      </xdr:nvSpPr>
      <xdr:spPr bwMode="auto">
        <a:xfrm>
          <a:off x="1152525" y="16764000"/>
          <a:ext cx="76200" cy="209550"/>
        </a:xfrm>
        <a:prstGeom prst="rect">
          <a:avLst/>
        </a:prstGeom>
        <a:noFill/>
        <a:ln w="9525">
          <a:noFill/>
          <a:miter lim="800000"/>
          <a:headEnd/>
          <a:tailEnd/>
        </a:ln>
      </xdr:spPr>
    </xdr:sp>
    <xdr:clientData/>
  </xdr:twoCellAnchor>
  <xdr:twoCellAnchor editAs="oneCell">
    <xdr:from>
      <xdr:col>1</xdr:col>
      <xdr:colOff>0</xdr:colOff>
      <xdr:row>88</xdr:row>
      <xdr:rowOff>0</xdr:rowOff>
    </xdr:from>
    <xdr:to>
      <xdr:col>1</xdr:col>
      <xdr:colOff>76200</xdr:colOff>
      <xdr:row>89</xdr:row>
      <xdr:rowOff>19050</xdr:rowOff>
    </xdr:to>
    <xdr:sp macro="" textlink="">
      <xdr:nvSpPr>
        <xdr:cNvPr id="377616" name="Text Box 794"/>
        <xdr:cNvSpPr txBox="1">
          <a:spLocks noChangeArrowheads="1"/>
        </xdr:cNvSpPr>
      </xdr:nvSpPr>
      <xdr:spPr bwMode="auto">
        <a:xfrm>
          <a:off x="1152525" y="16764000"/>
          <a:ext cx="76200" cy="209550"/>
        </a:xfrm>
        <a:prstGeom prst="rect">
          <a:avLst/>
        </a:prstGeom>
        <a:noFill/>
        <a:ln w="9525">
          <a:noFill/>
          <a:miter lim="800000"/>
          <a:headEnd/>
          <a:tailEnd/>
        </a:ln>
      </xdr:spPr>
    </xdr:sp>
    <xdr:clientData/>
  </xdr:twoCellAnchor>
  <xdr:twoCellAnchor editAs="oneCell">
    <xdr:from>
      <xdr:col>1</xdr:col>
      <xdr:colOff>0</xdr:colOff>
      <xdr:row>89</xdr:row>
      <xdr:rowOff>0</xdr:rowOff>
    </xdr:from>
    <xdr:to>
      <xdr:col>1</xdr:col>
      <xdr:colOff>76200</xdr:colOff>
      <xdr:row>90</xdr:row>
      <xdr:rowOff>19050</xdr:rowOff>
    </xdr:to>
    <xdr:sp macro="" textlink="">
      <xdr:nvSpPr>
        <xdr:cNvPr id="377617" name="Text Box 795"/>
        <xdr:cNvSpPr txBox="1">
          <a:spLocks noChangeArrowheads="1"/>
        </xdr:cNvSpPr>
      </xdr:nvSpPr>
      <xdr:spPr bwMode="auto">
        <a:xfrm>
          <a:off x="1152525" y="16954500"/>
          <a:ext cx="76200" cy="209550"/>
        </a:xfrm>
        <a:prstGeom prst="rect">
          <a:avLst/>
        </a:prstGeom>
        <a:noFill/>
        <a:ln w="9525">
          <a:noFill/>
          <a:miter lim="800000"/>
          <a:headEnd/>
          <a:tailEnd/>
        </a:ln>
      </xdr:spPr>
    </xdr:sp>
    <xdr:clientData/>
  </xdr:twoCellAnchor>
  <xdr:twoCellAnchor editAs="oneCell">
    <xdr:from>
      <xdr:col>1</xdr:col>
      <xdr:colOff>0</xdr:colOff>
      <xdr:row>89</xdr:row>
      <xdr:rowOff>0</xdr:rowOff>
    </xdr:from>
    <xdr:to>
      <xdr:col>1</xdr:col>
      <xdr:colOff>76200</xdr:colOff>
      <xdr:row>90</xdr:row>
      <xdr:rowOff>19050</xdr:rowOff>
    </xdr:to>
    <xdr:sp macro="" textlink="">
      <xdr:nvSpPr>
        <xdr:cNvPr id="377618" name="Text Box 796"/>
        <xdr:cNvSpPr txBox="1">
          <a:spLocks noChangeArrowheads="1"/>
        </xdr:cNvSpPr>
      </xdr:nvSpPr>
      <xdr:spPr bwMode="auto">
        <a:xfrm>
          <a:off x="1152525" y="16954500"/>
          <a:ext cx="76200" cy="209550"/>
        </a:xfrm>
        <a:prstGeom prst="rect">
          <a:avLst/>
        </a:prstGeom>
        <a:noFill/>
        <a:ln w="9525">
          <a:noFill/>
          <a:miter lim="800000"/>
          <a:headEnd/>
          <a:tailEnd/>
        </a:ln>
      </xdr:spPr>
    </xdr:sp>
    <xdr:clientData/>
  </xdr:twoCellAnchor>
  <xdr:twoCellAnchor editAs="oneCell">
    <xdr:from>
      <xdr:col>1</xdr:col>
      <xdr:colOff>0</xdr:colOff>
      <xdr:row>89</xdr:row>
      <xdr:rowOff>0</xdr:rowOff>
    </xdr:from>
    <xdr:to>
      <xdr:col>1</xdr:col>
      <xdr:colOff>76200</xdr:colOff>
      <xdr:row>90</xdr:row>
      <xdr:rowOff>19050</xdr:rowOff>
    </xdr:to>
    <xdr:sp macro="" textlink="">
      <xdr:nvSpPr>
        <xdr:cNvPr id="377619" name="Text Box 797"/>
        <xdr:cNvSpPr txBox="1">
          <a:spLocks noChangeArrowheads="1"/>
        </xdr:cNvSpPr>
      </xdr:nvSpPr>
      <xdr:spPr bwMode="auto">
        <a:xfrm>
          <a:off x="1152525" y="16954500"/>
          <a:ext cx="76200" cy="209550"/>
        </a:xfrm>
        <a:prstGeom prst="rect">
          <a:avLst/>
        </a:prstGeom>
        <a:noFill/>
        <a:ln w="9525">
          <a:noFill/>
          <a:miter lim="800000"/>
          <a:headEnd/>
          <a:tailEnd/>
        </a:ln>
      </xdr:spPr>
    </xdr:sp>
    <xdr:clientData/>
  </xdr:twoCellAnchor>
  <xdr:twoCellAnchor editAs="oneCell">
    <xdr:from>
      <xdr:col>1</xdr:col>
      <xdr:colOff>0</xdr:colOff>
      <xdr:row>89</xdr:row>
      <xdr:rowOff>0</xdr:rowOff>
    </xdr:from>
    <xdr:to>
      <xdr:col>1</xdr:col>
      <xdr:colOff>76200</xdr:colOff>
      <xdr:row>90</xdr:row>
      <xdr:rowOff>19050</xdr:rowOff>
    </xdr:to>
    <xdr:sp macro="" textlink="">
      <xdr:nvSpPr>
        <xdr:cNvPr id="377620" name="Text Box 798"/>
        <xdr:cNvSpPr txBox="1">
          <a:spLocks noChangeArrowheads="1"/>
        </xdr:cNvSpPr>
      </xdr:nvSpPr>
      <xdr:spPr bwMode="auto">
        <a:xfrm>
          <a:off x="1152525" y="16954500"/>
          <a:ext cx="76200" cy="209550"/>
        </a:xfrm>
        <a:prstGeom prst="rect">
          <a:avLst/>
        </a:prstGeom>
        <a:noFill/>
        <a:ln w="9525">
          <a:noFill/>
          <a:miter lim="800000"/>
          <a:headEnd/>
          <a:tailEnd/>
        </a:ln>
      </xdr:spPr>
    </xdr:sp>
    <xdr:clientData/>
  </xdr:twoCellAnchor>
  <xdr:twoCellAnchor editAs="oneCell">
    <xdr:from>
      <xdr:col>1</xdr:col>
      <xdr:colOff>0</xdr:colOff>
      <xdr:row>90</xdr:row>
      <xdr:rowOff>0</xdr:rowOff>
    </xdr:from>
    <xdr:to>
      <xdr:col>1</xdr:col>
      <xdr:colOff>76200</xdr:colOff>
      <xdr:row>91</xdr:row>
      <xdr:rowOff>19050</xdr:rowOff>
    </xdr:to>
    <xdr:sp macro="" textlink="">
      <xdr:nvSpPr>
        <xdr:cNvPr id="377621" name="Text Box 799"/>
        <xdr:cNvSpPr txBox="1">
          <a:spLocks noChangeArrowheads="1"/>
        </xdr:cNvSpPr>
      </xdr:nvSpPr>
      <xdr:spPr bwMode="auto">
        <a:xfrm>
          <a:off x="1152525" y="17145000"/>
          <a:ext cx="76200" cy="209550"/>
        </a:xfrm>
        <a:prstGeom prst="rect">
          <a:avLst/>
        </a:prstGeom>
        <a:noFill/>
        <a:ln w="9525">
          <a:noFill/>
          <a:miter lim="800000"/>
          <a:headEnd/>
          <a:tailEnd/>
        </a:ln>
      </xdr:spPr>
    </xdr:sp>
    <xdr:clientData/>
  </xdr:twoCellAnchor>
  <xdr:twoCellAnchor editAs="oneCell">
    <xdr:from>
      <xdr:col>1</xdr:col>
      <xdr:colOff>0</xdr:colOff>
      <xdr:row>90</xdr:row>
      <xdr:rowOff>0</xdr:rowOff>
    </xdr:from>
    <xdr:to>
      <xdr:col>1</xdr:col>
      <xdr:colOff>76200</xdr:colOff>
      <xdr:row>91</xdr:row>
      <xdr:rowOff>19050</xdr:rowOff>
    </xdr:to>
    <xdr:sp macro="" textlink="">
      <xdr:nvSpPr>
        <xdr:cNvPr id="377622" name="Text Box 800"/>
        <xdr:cNvSpPr txBox="1">
          <a:spLocks noChangeArrowheads="1"/>
        </xdr:cNvSpPr>
      </xdr:nvSpPr>
      <xdr:spPr bwMode="auto">
        <a:xfrm>
          <a:off x="1152525" y="17145000"/>
          <a:ext cx="76200" cy="209550"/>
        </a:xfrm>
        <a:prstGeom prst="rect">
          <a:avLst/>
        </a:prstGeom>
        <a:noFill/>
        <a:ln w="9525">
          <a:noFill/>
          <a:miter lim="800000"/>
          <a:headEnd/>
          <a:tailEnd/>
        </a:ln>
      </xdr:spPr>
    </xdr:sp>
    <xdr:clientData/>
  </xdr:twoCellAnchor>
  <xdr:twoCellAnchor editAs="oneCell">
    <xdr:from>
      <xdr:col>1</xdr:col>
      <xdr:colOff>0</xdr:colOff>
      <xdr:row>90</xdr:row>
      <xdr:rowOff>0</xdr:rowOff>
    </xdr:from>
    <xdr:to>
      <xdr:col>1</xdr:col>
      <xdr:colOff>76200</xdr:colOff>
      <xdr:row>91</xdr:row>
      <xdr:rowOff>19050</xdr:rowOff>
    </xdr:to>
    <xdr:sp macro="" textlink="">
      <xdr:nvSpPr>
        <xdr:cNvPr id="377623" name="Text Box 801"/>
        <xdr:cNvSpPr txBox="1">
          <a:spLocks noChangeArrowheads="1"/>
        </xdr:cNvSpPr>
      </xdr:nvSpPr>
      <xdr:spPr bwMode="auto">
        <a:xfrm>
          <a:off x="1152525" y="17145000"/>
          <a:ext cx="76200" cy="209550"/>
        </a:xfrm>
        <a:prstGeom prst="rect">
          <a:avLst/>
        </a:prstGeom>
        <a:noFill/>
        <a:ln w="9525">
          <a:noFill/>
          <a:miter lim="800000"/>
          <a:headEnd/>
          <a:tailEnd/>
        </a:ln>
      </xdr:spPr>
    </xdr:sp>
    <xdr:clientData/>
  </xdr:twoCellAnchor>
  <xdr:twoCellAnchor editAs="oneCell">
    <xdr:from>
      <xdr:col>1</xdr:col>
      <xdr:colOff>0</xdr:colOff>
      <xdr:row>90</xdr:row>
      <xdr:rowOff>0</xdr:rowOff>
    </xdr:from>
    <xdr:to>
      <xdr:col>1</xdr:col>
      <xdr:colOff>76200</xdr:colOff>
      <xdr:row>91</xdr:row>
      <xdr:rowOff>19050</xdr:rowOff>
    </xdr:to>
    <xdr:sp macro="" textlink="">
      <xdr:nvSpPr>
        <xdr:cNvPr id="377624" name="Text Box 802"/>
        <xdr:cNvSpPr txBox="1">
          <a:spLocks noChangeArrowheads="1"/>
        </xdr:cNvSpPr>
      </xdr:nvSpPr>
      <xdr:spPr bwMode="auto">
        <a:xfrm>
          <a:off x="1152525" y="17145000"/>
          <a:ext cx="76200" cy="209550"/>
        </a:xfrm>
        <a:prstGeom prst="rect">
          <a:avLst/>
        </a:prstGeom>
        <a:noFill/>
        <a:ln w="9525">
          <a:noFill/>
          <a:miter lim="800000"/>
          <a:headEnd/>
          <a:tailEnd/>
        </a:ln>
      </xdr:spPr>
    </xdr:sp>
    <xdr:clientData/>
  </xdr:twoCellAnchor>
  <xdr:twoCellAnchor editAs="oneCell">
    <xdr:from>
      <xdr:col>1</xdr:col>
      <xdr:colOff>0</xdr:colOff>
      <xdr:row>91</xdr:row>
      <xdr:rowOff>0</xdr:rowOff>
    </xdr:from>
    <xdr:to>
      <xdr:col>1</xdr:col>
      <xdr:colOff>76200</xdr:colOff>
      <xdr:row>92</xdr:row>
      <xdr:rowOff>19050</xdr:rowOff>
    </xdr:to>
    <xdr:sp macro="" textlink="">
      <xdr:nvSpPr>
        <xdr:cNvPr id="377625" name="Text Box 803"/>
        <xdr:cNvSpPr txBox="1">
          <a:spLocks noChangeArrowheads="1"/>
        </xdr:cNvSpPr>
      </xdr:nvSpPr>
      <xdr:spPr bwMode="auto">
        <a:xfrm>
          <a:off x="1152525" y="17335500"/>
          <a:ext cx="76200" cy="209550"/>
        </a:xfrm>
        <a:prstGeom prst="rect">
          <a:avLst/>
        </a:prstGeom>
        <a:noFill/>
        <a:ln w="9525">
          <a:noFill/>
          <a:miter lim="800000"/>
          <a:headEnd/>
          <a:tailEnd/>
        </a:ln>
      </xdr:spPr>
    </xdr:sp>
    <xdr:clientData/>
  </xdr:twoCellAnchor>
  <xdr:twoCellAnchor editAs="oneCell">
    <xdr:from>
      <xdr:col>1</xdr:col>
      <xdr:colOff>0</xdr:colOff>
      <xdr:row>91</xdr:row>
      <xdr:rowOff>0</xdr:rowOff>
    </xdr:from>
    <xdr:to>
      <xdr:col>1</xdr:col>
      <xdr:colOff>76200</xdr:colOff>
      <xdr:row>92</xdr:row>
      <xdr:rowOff>19050</xdr:rowOff>
    </xdr:to>
    <xdr:sp macro="" textlink="">
      <xdr:nvSpPr>
        <xdr:cNvPr id="377626" name="Text Box 804"/>
        <xdr:cNvSpPr txBox="1">
          <a:spLocks noChangeArrowheads="1"/>
        </xdr:cNvSpPr>
      </xdr:nvSpPr>
      <xdr:spPr bwMode="auto">
        <a:xfrm>
          <a:off x="1152525" y="17335500"/>
          <a:ext cx="76200" cy="209550"/>
        </a:xfrm>
        <a:prstGeom prst="rect">
          <a:avLst/>
        </a:prstGeom>
        <a:noFill/>
        <a:ln w="9525">
          <a:noFill/>
          <a:miter lim="800000"/>
          <a:headEnd/>
          <a:tailEnd/>
        </a:ln>
      </xdr:spPr>
    </xdr:sp>
    <xdr:clientData/>
  </xdr:twoCellAnchor>
  <xdr:twoCellAnchor editAs="oneCell">
    <xdr:from>
      <xdr:col>1</xdr:col>
      <xdr:colOff>0</xdr:colOff>
      <xdr:row>91</xdr:row>
      <xdr:rowOff>0</xdr:rowOff>
    </xdr:from>
    <xdr:to>
      <xdr:col>1</xdr:col>
      <xdr:colOff>76200</xdr:colOff>
      <xdr:row>92</xdr:row>
      <xdr:rowOff>19050</xdr:rowOff>
    </xdr:to>
    <xdr:sp macro="" textlink="">
      <xdr:nvSpPr>
        <xdr:cNvPr id="377627" name="Text Box 805"/>
        <xdr:cNvSpPr txBox="1">
          <a:spLocks noChangeArrowheads="1"/>
        </xdr:cNvSpPr>
      </xdr:nvSpPr>
      <xdr:spPr bwMode="auto">
        <a:xfrm>
          <a:off x="1152525" y="17335500"/>
          <a:ext cx="76200" cy="209550"/>
        </a:xfrm>
        <a:prstGeom prst="rect">
          <a:avLst/>
        </a:prstGeom>
        <a:noFill/>
        <a:ln w="9525">
          <a:noFill/>
          <a:miter lim="800000"/>
          <a:headEnd/>
          <a:tailEnd/>
        </a:ln>
      </xdr:spPr>
    </xdr:sp>
    <xdr:clientData/>
  </xdr:twoCellAnchor>
  <xdr:twoCellAnchor editAs="oneCell">
    <xdr:from>
      <xdr:col>1</xdr:col>
      <xdr:colOff>0</xdr:colOff>
      <xdr:row>91</xdr:row>
      <xdr:rowOff>0</xdr:rowOff>
    </xdr:from>
    <xdr:to>
      <xdr:col>1</xdr:col>
      <xdr:colOff>76200</xdr:colOff>
      <xdr:row>92</xdr:row>
      <xdr:rowOff>19050</xdr:rowOff>
    </xdr:to>
    <xdr:sp macro="" textlink="">
      <xdr:nvSpPr>
        <xdr:cNvPr id="377628" name="Text Box 806"/>
        <xdr:cNvSpPr txBox="1">
          <a:spLocks noChangeArrowheads="1"/>
        </xdr:cNvSpPr>
      </xdr:nvSpPr>
      <xdr:spPr bwMode="auto">
        <a:xfrm>
          <a:off x="1152525" y="17335500"/>
          <a:ext cx="76200" cy="209550"/>
        </a:xfrm>
        <a:prstGeom prst="rect">
          <a:avLst/>
        </a:prstGeom>
        <a:noFill/>
        <a:ln w="9525">
          <a:noFill/>
          <a:miter lim="800000"/>
          <a:headEnd/>
          <a:tailEnd/>
        </a:ln>
      </xdr:spPr>
    </xdr:sp>
    <xdr:clientData/>
  </xdr:twoCellAnchor>
  <xdr:twoCellAnchor editAs="oneCell">
    <xdr:from>
      <xdr:col>1</xdr:col>
      <xdr:colOff>0</xdr:colOff>
      <xdr:row>92</xdr:row>
      <xdr:rowOff>0</xdr:rowOff>
    </xdr:from>
    <xdr:to>
      <xdr:col>1</xdr:col>
      <xdr:colOff>76200</xdr:colOff>
      <xdr:row>93</xdr:row>
      <xdr:rowOff>19050</xdr:rowOff>
    </xdr:to>
    <xdr:sp macro="" textlink="">
      <xdr:nvSpPr>
        <xdr:cNvPr id="377629" name="Text Box 807"/>
        <xdr:cNvSpPr txBox="1">
          <a:spLocks noChangeArrowheads="1"/>
        </xdr:cNvSpPr>
      </xdr:nvSpPr>
      <xdr:spPr bwMode="auto">
        <a:xfrm>
          <a:off x="1152525" y="17526000"/>
          <a:ext cx="76200" cy="209550"/>
        </a:xfrm>
        <a:prstGeom prst="rect">
          <a:avLst/>
        </a:prstGeom>
        <a:noFill/>
        <a:ln w="9525">
          <a:noFill/>
          <a:miter lim="800000"/>
          <a:headEnd/>
          <a:tailEnd/>
        </a:ln>
      </xdr:spPr>
    </xdr:sp>
    <xdr:clientData/>
  </xdr:twoCellAnchor>
  <xdr:twoCellAnchor editAs="oneCell">
    <xdr:from>
      <xdr:col>1</xdr:col>
      <xdr:colOff>0</xdr:colOff>
      <xdr:row>92</xdr:row>
      <xdr:rowOff>0</xdr:rowOff>
    </xdr:from>
    <xdr:to>
      <xdr:col>1</xdr:col>
      <xdr:colOff>76200</xdr:colOff>
      <xdr:row>93</xdr:row>
      <xdr:rowOff>19050</xdr:rowOff>
    </xdr:to>
    <xdr:sp macro="" textlink="">
      <xdr:nvSpPr>
        <xdr:cNvPr id="377630" name="Text Box 808"/>
        <xdr:cNvSpPr txBox="1">
          <a:spLocks noChangeArrowheads="1"/>
        </xdr:cNvSpPr>
      </xdr:nvSpPr>
      <xdr:spPr bwMode="auto">
        <a:xfrm>
          <a:off x="1152525" y="17526000"/>
          <a:ext cx="76200" cy="209550"/>
        </a:xfrm>
        <a:prstGeom prst="rect">
          <a:avLst/>
        </a:prstGeom>
        <a:noFill/>
        <a:ln w="9525">
          <a:noFill/>
          <a:miter lim="800000"/>
          <a:headEnd/>
          <a:tailEnd/>
        </a:ln>
      </xdr:spPr>
    </xdr:sp>
    <xdr:clientData/>
  </xdr:twoCellAnchor>
  <xdr:twoCellAnchor editAs="oneCell">
    <xdr:from>
      <xdr:col>1</xdr:col>
      <xdr:colOff>0</xdr:colOff>
      <xdr:row>92</xdr:row>
      <xdr:rowOff>0</xdr:rowOff>
    </xdr:from>
    <xdr:to>
      <xdr:col>1</xdr:col>
      <xdr:colOff>76200</xdr:colOff>
      <xdr:row>93</xdr:row>
      <xdr:rowOff>19050</xdr:rowOff>
    </xdr:to>
    <xdr:sp macro="" textlink="">
      <xdr:nvSpPr>
        <xdr:cNvPr id="377631" name="Text Box 809"/>
        <xdr:cNvSpPr txBox="1">
          <a:spLocks noChangeArrowheads="1"/>
        </xdr:cNvSpPr>
      </xdr:nvSpPr>
      <xdr:spPr bwMode="auto">
        <a:xfrm>
          <a:off x="1152525" y="17526000"/>
          <a:ext cx="76200" cy="209550"/>
        </a:xfrm>
        <a:prstGeom prst="rect">
          <a:avLst/>
        </a:prstGeom>
        <a:noFill/>
        <a:ln w="9525">
          <a:noFill/>
          <a:miter lim="800000"/>
          <a:headEnd/>
          <a:tailEnd/>
        </a:ln>
      </xdr:spPr>
    </xdr:sp>
    <xdr:clientData/>
  </xdr:twoCellAnchor>
  <xdr:twoCellAnchor editAs="oneCell">
    <xdr:from>
      <xdr:col>1</xdr:col>
      <xdr:colOff>0</xdr:colOff>
      <xdr:row>92</xdr:row>
      <xdr:rowOff>0</xdr:rowOff>
    </xdr:from>
    <xdr:to>
      <xdr:col>1</xdr:col>
      <xdr:colOff>76200</xdr:colOff>
      <xdr:row>93</xdr:row>
      <xdr:rowOff>19050</xdr:rowOff>
    </xdr:to>
    <xdr:sp macro="" textlink="">
      <xdr:nvSpPr>
        <xdr:cNvPr id="377632" name="Text Box 810"/>
        <xdr:cNvSpPr txBox="1">
          <a:spLocks noChangeArrowheads="1"/>
        </xdr:cNvSpPr>
      </xdr:nvSpPr>
      <xdr:spPr bwMode="auto">
        <a:xfrm>
          <a:off x="1152525" y="17526000"/>
          <a:ext cx="76200" cy="209550"/>
        </a:xfrm>
        <a:prstGeom prst="rect">
          <a:avLst/>
        </a:prstGeom>
        <a:noFill/>
        <a:ln w="9525">
          <a:noFill/>
          <a:miter lim="800000"/>
          <a:headEnd/>
          <a:tailEnd/>
        </a:ln>
      </xdr:spPr>
    </xdr:sp>
    <xdr:clientData/>
  </xdr:twoCellAnchor>
  <xdr:twoCellAnchor editAs="oneCell">
    <xdr:from>
      <xdr:col>1</xdr:col>
      <xdr:colOff>0</xdr:colOff>
      <xdr:row>93</xdr:row>
      <xdr:rowOff>0</xdr:rowOff>
    </xdr:from>
    <xdr:to>
      <xdr:col>1</xdr:col>
      <xdr:colOff>76200</xdr:colOff>
      <xdr:row>94</xdr:row>
      <xdr:rowOff>19050</xdr:rowOff>
    </xdr:to>
    <xdr:sp macro="" textlink="">
      <xdr:nvSpPr>
        <xdr:cNvPr id="377633" name="Text Box 811"/>
        <xdr:cNvSpPr txBox="1">
          <a:spLocks noChangeArrowheads="1"/>
        </xdr:cNvSpPr>
      </xdr:nvSpPr>
      <xdr:spPr bwMode="auto">
        <a:xfrm>
          <a:off x="1152525" y="17716500"/>
          <a:ext cx="76200" cy="209550"/>
        </a:xfrm>
        <a:prstGeom prst="rect">
          <a:avLst/>
        </a:prstGeom>
        <a:noFill/>
        <a:ln w="9525">
          <a:noFill/>
          <a:miter lim="800000"/>
          <a:headEnd/>
          <a:tailEnd/>
        </a:ln>
      </xdr:spPr>
    </xdr:sp>
    <xdr:clientData/>
  </xdr:twoCellAnchor>
  <xdr:twoCellAnchor editAs="oneCell">
    <xdr:from>
      <xdr:col>1</xdr:col>
      <xdr:colOff>0</xdr:colOff>
      <xdr:row>93</xdr:row>
      <xdr:rowOff>0</xdr:rowOff>
    </xdr:from>
    <xdr:to>
      <xdr:col>1</xdr:col>
      <xdr:colOff>76200</xdr:colOff>
      <xdr:row>94</xdr:row>
      <xdr:rowOff>19050</xdr:rowOff>
    </xdr:to>
    <xdr:sp macro="" textlink="">
      <xdr:nvSpPr>
        <xdr:cNvPr id="377634" name="Text Box 812"/>
        <xdr:cNvSpPr txBox="1">
          <a:spLocks noChangeArrowheads="1"/>
        </xdr:cNvSpPr>
      </xdr:nvSpPr>
      <xdr:spPr bwMode="auto">
        <a:xfrm>
          <a:off x="1152525" y="17716500"/>
          <a:ext cx="76200" cy="209550"/>
        </a:xfrm>
        <a:prstGeom prst="rect">
          <a:avLst/>
        </a:prstGeom>
        <a:noFill/>
        <a:ln w="9525">
          <a:noFill/>
          <a:miter lim="800000"/>
          <a:headEnd/>
          <a:tailEnd/>
        </a:ln>
      </xdr:spPr>
    </xdr:sp>
    <xdr:clientData/>
  </xdr:twoCellAnchor>
  <xdr:twoCellAnchor editAs="oneCell">
    <xdr:from>
      <xdr:col>1</xdr:col>
      <xdr:colOff>0</xdr:colOff>
      <xdr:row>93</xdr:row>
      <xdr:rowOff>0</xdr:rowOff>
    </xdr:from>
    <xdr:to>
      <xdr:col>1</xdr:col>
      <xdr:colOff>76200</xdr:colOff>
      <xdr:row>94</xdr:row>
      <xdr:rowOff>19050</xdr:rowOff>
    </xdr:to>
    <xdr:sp macro="" textlink="">
      <xdr:nvSpPr>
        <xdr:cNvPr id="377635" name="Text Box 813"/>
        <xdr:cNvSpPr txBox="1">
          <a:spLocks noChangeArrowheads="1"/>
        </xdr:cNvSpPr>
      </xdr:nvSpPr>
      <xdr:spPr bwMode="auto">
        <a:xfrm>
          <a:off x="1152525" y="17716500"/>
          <a:ext cx="76200" cy="209550"/>
        </a:xfrm>
        <a:prstGeom prst="rect">
          <a:avLst/>
        </a:prstGeom>
        <a:noFill/>
        <a:ln w="9525">
          <a:noFill/>
          <a:miter lim="800000"/>
          <a:headEnd/>
          <a:tailEnd/>
        </a:ln>
      </xdr:spPr>
    </xdr:sp>
    <xdr:clientData/>
  </xdr:twoCellAnchor>
  <xdr:twoCellAnchor editAs="oneCell">
    <xdr:from>
      <xdr:col>1</xdr:col>
      <xdr:colOff>0</xdr:colOff>
      <xdr:row>93</xdr:row>
      <xdr:rowOff>0</xdr:rowOff>
    </xdr:from>
    <xdr:to>
      <xdr:col>1</xdr:col>
      <xdr:colOff>76200</xdr:colOff>
      <xdr:row>94</xdr:row>
      <xdr:rowOff>19050</xdr:rowOff>
    </xdr:to>
    <xdr:sp macro="" textlink="">
      <xdr:nvSpPr>
        <xdr:cNvPr id="377636" name="Text Box 814"/>
        <xdr:cNvSpPr txBox="1">
          <a:spLocks noChangeArrowheads="1"/>
        </xdr:cNvSpPr>
      </xdr:nvSpPr>
      <xdr:spPr bwMode="auto">
        <a:xfrm>
          <a:off x="1152525" y="17716500"/>
          <a:ext cx="76200" cy="209550"/>
        </a:xfrm>
        <a:prstGeom prst="rect">
          <a:avLst/>
        </a:prstGeom>
        <a:noFill/>
        <a:ln w="9525">
          <a:noFill/>
          <a:miter lim="800000"/>
          <a:headEnd/>
          <a:tailEnd/>
        </a:ln>
      </xdr:spPr>
    </xdr:sp>
    <xdr:clientData/>
  </xdr:twoCellAnchor>
  <xdr:twoCellAnchor editAs="oneCell">
    <xdr:from>
      <xdr:col>1</xdr:col>
      <xdr:colOff>0</xdr:colOff>
      <xdr:row>94</xdr:row>
      <xdr:rowOff>0</xdr:rowOff>
    </xdr:from>
    <xdr:to>
      <xdr:col>1</xdr:col>
      <xdr:colOff>76200</xdr:colOff>
      <xdr:row>95</xdr:row>
      <xdr:rowOff>19050</xdr:rowOff>
    </xdr:to>
    <xdr:sp macro="" textlink="">
      <xdr:nvSpPr>
        <xdr:cNvPr id="377637" name="Text Box 815"/>
        <xdr:cNvSpPr txBox="1">
          <a:spLocks noChangeArrowheads="1"/>
        </xdr:cNvSpPr>
      </xdr:nvSpPr>
      <xdr:spPr bwMode="auto">
        <a:xfrm>
          <a:off x="1152525" y="17907000"/>
          <a:ext cx="76200" cy="209550"/>
        </a:xfrm>
        <a:prstGeom prst="rect">
          <a:avLst/>
        </a:prstGeom>
        <a:noFill/>
        <a:ln w="9525">
          <a:noFill/>
          <a:miter lim="800000"/>
          <a:headEnd/>
          <a:tailEnd/>
        </a:ln>
      </xdr:spPr>
    </xdr:sp>
    <xdr:clientData/>
  </xdr:twoCellAnchor>
  <xdr:twoCellAnchor editAs="oneCell">
    <xdr:from>
      <xdr:col>1</xdr:col>
      <xdr:colOff>0</xdr:colOff>
      <xdr:row>94</xdr:row>
      <xdr:rowOff>0</xdr:rowOff>
    </xdr:from>
    <xdr:to>
      <xdr:col>1</xdr:col>
      <xdr:colOff>76200</xdr:colOff>
      <xdr:row>95</xdr:row>
      <xdr:rowOff>19050</xdr:rowOff>
    </xdr:to>
    <xdr:sp macro="" textlink="">
      <xdr:nvSpPr>
        <xdr:cNvPr id="377638" name="Text Box 816"/>
        <xdr:cNvSpPr txBox="1">
          <a:spLocks noChangeArrowheads="1"/>
        </xdr:cNvSpPr>
      </xdr:nvSpPr>
      <xdr:spPr bwMode="auto">
        <a:xfrm>
          <a:off x="1152525" y="17907000"/>
          <a:ext cx="76200" cy="209550"/>
        </a:xfrm>
        <a:prstGeom prst="rect">
          <a:avLst/>
        </a:prstGeom>
        <a:noFill/>
        <a:ln w="9525">
          <a:noFill/>
          <a:miter lim="800000"/>
          <a:headEnd/>
          <a:tailEnd/>
        </a:ln>
      </xdr:spPr>
    </xdr:sp>
    <xdr:clientData/>
  </xdr:twoCellAnchor>
  <xdr:twoCellAnchor editAs="oneCell">
    <xdr:from>
      <xdr:col>1</xdr:col>
      <xdr:colOff>0</xdr:colOff>
      <xdr:row>94</xdr:row>
      <xdr:rowOff>0</xdr:rowOff>
    </xdr:from>
    <xdr:to>
      <xdr:col>1</xdr:col>
      <xdr:colOff>76200</xdr:colOff>
      <xdr:row>95</xdr:row>
      <xdr:rowOff>19050</xdr:rowOff>
    </xdr:to>
    <xdr:sp macro="" textlink="">
      <xdr:nvSpPr>
        <xdr:cNvPr id="377639" name="Text Box 817"/>
        <xdr:cNvSpPr txBox="1">
          <a:spLocks noChangeArrowheads="1"/>
        </xdr:cNvSpPr>
      </xdr:nvSpPr>
      <xdr:spPr bwMode="auto">
        <a:xfrm>
          <a:off x="1152525" y="17907000"/>
          <a:ext cx="76200" cy="209550"/>
        </a:xfrm>
        <a:prstGeom prst="rect">
          <a:avLst/>
        </a:prstGeom>
        <a:noFill/>
        <a:ln w="9525">
          <a:noFill/>
          <a:miter lim="800000"/>
          <a:headEnd/>
          <a:tailEnd/>
        </a:ln>
      </xdr:spPr>
    </xdr:sp>
    <xdr:clientData/>
  </xdr:twoCellAnchor>
  <xdr:twoCellAnchor editAs="oneCell">
    <xdr:from>
      <xdr:col>1</xdr:col>
      <xdr:colOff>0</xdr:colOff>
      <xdr:row>94</xdr:row>
      <xdr:rowOff>0</xdr:rowOff>
    </xdr:from>
    <xdr:to>
      <xdr:col>1</xdr:col>
      <xdr:colOff>76200</xdr:colOff>
      <xdr:row>95</xdr:row>
      <xdr:rowOff>19050</xdr:rowOff>
    </xdr:to>
    <xdr:sp macro="" textlink="">
      <xdr:nvSpPr>
        <xdr:cNvPr id="377640" name="Text Box 818"/>
        <xdr:cNvSpPr txBox="1">
          <a:spLocks noChangeArrowheads="1"/>
        </xdr:cNvSpPr>
      </xdr:nvSpPr>
      <xdr:spPr bwMode="auto">
        <a:xfrm>
          <a:off x="1152525" y="17907000"/>
          <a:ext cx="76200" cy="209550"/>
        </a:xfrm>
        <a:prstGeom prst="rect">
          <a:avLst/>
        </a:prstGeom>
        <a:noFill/>
        <a:ln w="9525">
          <a:noFill/>
          <a:miter lim="800000"/>
          <a:headEnd/>
          <a:tailEnd/>
        </a:ln>
      </xdr:spPr>
    </xdr:sp>
    <xdr:clientData/>
  </xdr:twoCellAnchor>
  <xdr:twoCellAnchor editAs="oneCell">
    <xdr:from>
      <xdr:col>1</xdr:col>
      <xdr:colOff>0</xdr:colOff>
      <xdr:row>95</xdr:row>
      <xdr:rowOff>0</xdr:rowOff>
    </xdr:from>
    <xdr:to>
      <xdr:col>1</xdr:col>
      <xdr:colOff>76200</xdr:colOff>
      <xdr:row>96</xdr:row>
      <xdr:rowOff>19050</xdr:rowOff>
    </xdr:to>
    <xdr:sp macro="" textlink="">
      <xdr:nvSpPr>
        <xdr:cNvPr id="377641" name="Text Box 819"/>
        <xdr:cNvSpPr txBox="1">
          <a:spLocks noChangeArrowheads="1"/>
        </xdr:cNvSpPr>
      </xdr:nvSpPr>
      <xdr:spPr bwMode="auto">
        <a:xfrm>
          <a:off x="1152525" y="18097500"/>
          <a:ext cx="76200" cy="209550"/>
        </a:xfrm>
        <a:prstGeom prst="rect">
          <a:avLst/>
        </a:prstGeom>
        <a:noFill/>
        <a:ln w="9525">
          <a:noFill/>
          <a:miter lim="800000"/>
          <a:headEnd/>
          <a:tailEnd/>
        </a:ln>
      </xdr:spPr>
    </xdr:sp>
    <xdr:clientData/>
  </xdr:twoCellAnchor>
  <xdr:twoCellAnchor editAs="oneCell">
    <xdr:from>
      <xdr:col>1</xdr:col>
      <xdr:colOff>0</xdr:colOff>
      <xdr:row>95</xdr:row>
      <xdr:rowOff>0</xdr:rowOff>
    </xdr:from>
    <xdr:to>
      <xdr:col>1</xdr:col>
      <xdr:colOff>76200</xdr:colOff>
      <xdr:row>96</xdr:row>
      <xdr:rowOff>19050</xdr:rowOff>
    </xdr:to>
    <xdr:sp macro="" textlink="">
      <xdr:nvSpPr>
        <xdr:cNvPr id="377642" name="Text Box 820"/>
        <xdr:cNvSpPr txBox="1">
          <a:spLocks noChangeArrowheads="1"/>
        </xdr:cNvSpPr>
      </xdr:nvSpPr>
      <xdr:spPr bwMode="auto">
        <a:xfrm>
          <a:off x="1152525" y="18097500"/>
          <a:ext cx="76200" cy="209550"/>
        </a:xfrm>
        <a:prstGeom prst="rect">
          <a:avLst/>
        </a:prstGeom>
        <a:noFill/>
        <a:ln w="9525">
          <a:noFill/>
          <a:miter lim="800000"/>
          <a:headEnd/>
          <a:tailEnd/>
        </a:ln>
      </xdr:spPr>
    </xdr:sp>
    <xdr:clientData/>
  </xdr:twoCellAnchor>
  <xdr:twoCellAnchor editAs="oneCell">
    <xdr:from>
      <xdr:col>1</xdr:col>
      <xdr:colOff>0</xdr:colOff>
      <xdr:row>95</xdr:row>
      <xdr:rowOff>0</xdr:rowOff>
    </xdr:from>
    <xdr:to>
      <xdr:col>1</xdr:col>
      <xdr:colOff>76200</xdr:colOff>
      <xdr:row>96</xdr:row>
      <xdr:rowOff>19050</xdr:rowOff>
    </xdr:to>
    <xdr:sp macro="" textlink="">
      <xdr:nvSpPr>
        <xdr:cNvPr id="377643" name="Text Box 821"/>
        <xdr:cNvSpPr txBox="1">
          <a:spLocks noChangeArrowheads="1"/>
        </xdr:cNvSpPr>
      </xdr:nvSpPr>
      <xdr:spPr bwMode="auto">
        <a:xfrm>
          <a:off x="1152525" y="18097500"/>
          <a:ext cx="76200" cy="209550"/>
        </a:xfrm>
        <a:prstGeom prst="rect">
          <a:avLst/>
        </a:prstGeom>
        <a:noFill/>
        <a:ln w="9525">
          <a:noFill/>
          <a:miter lim="800000"/>
          <a:headEnd/>
          <a:tailEnd/>
        </a:ln>
      </xdr:spPr>
    </xdr:sp>
    <xdr:clientData/>
  </xdr:twoCellAnchor>
  <xdr:twoCellAnchor editAs="oneCell">
    <xdr:from>
      <xdr:col>1</xdr:col>
      <xdr:colOff>0</xdr:colOff>
      <xdr:row>95</xdr:row>
      <xdr:rowOff>0</xdr:rowOff>
    </xdr:from>
    <xdr:to>
      <xdr:col>1</xdr:col>
      <xdr:colOff>76200</xdr:colOff>
      <xdr:row>96</xdr:row>
      <xdr:rowOff>19050</xdr:rowOff>
    </xdr:to>
    <xdr:sp macro="" textlink="">
      <xdr:nvSpPr>
        <xdr:cNvPr id="377644" name="Text Box 822"/>
        <xdr:cNvSpPr txBox="1">
          <a:spLocks noChangeArrowheads="1"/>
        </xdr:cNvSpPr>
      </xdr:nvSpPr>
      <xdr:spPr bwMode="auto">
        <a:xfrm>
          <a:off x="1152525" y="18097500"/>
          <a:ext cx="76200" cy="209550"/>
        </a:xfrm>
        <a:prstGeom prst="rect">
          <a:avLst/>
        </a:prstGeom>
        <a:noFill/>
        <a:ln w="9525">
          <a:noFill/>
          <a:miter lim="800000"/>
          <a:headEnd/>
          <a:tailEnd/>
        </a:ln>
      </xdr:spPr>
    </xdr:sp>
    <xdr:clientData/>
  </xdr:twoCellAnchor>
  <xdr:twoCellAnchor editAs="oneCell">
    <xdr:from>
      <xdr:col>1</xdr:col>
      <xdr:colOff>0</xdr:colOff>
      <xdr:row>96</xdr:row>
      <xdr:rowOff>0</xdr:rowOff>
    </xdr:from>
    <xdr:to>
      <xdr:col>1</xdr:col>
      <xdr:colOff>76200</xdr:colOff>
      <xdr:row>97</xdr:row>
      <xdr:rowOff>19050</xdr:rowOff>
    </xdr:to>
    <xdr:sp macro="" textlink="">
      <xdr:nvSpPr>
        <xdr:cNvPr id="377645" name="Text Box 823"/>
        <xdr:cNvSpPr txBox="1">
          <a:spLocks noChangeArrowheads="1"/>
        </xdr:cNvSpPr>
      </xdr:nvSpPr>
      <xdr:spPr bwMode="auto">
        <a:xfrm>
          <a:off x="1152525" y="18288000"/>
          <a:ext cx="76200" cy="209550"/>
        </a:xfrm>
        <a:prstGeom prst="rect">
          <a:avLst/>
        </a:prstGeom>
        <a:noFill/>
        <a:ln w="9525">
          <a:noFill/>
          <a:miter lim="800000"/>
          <a:headEnd/>
          <a:tailEnd/>
        </a:ln>
      </xdr:spPr>
    </xdr:sp>
    <xdr:clientData/>
  </xdr:twoCellAnchor>
  <xdr:twoCellAnchor editAs="oneCell">
    <xdr:from>
      <xdr:col>1</xdr:col>
      <xdr:colOff>0</xdr:colOff>
      <xdr:row>96</xdr:row>
      <xdr:rowOff>0</xdr:rowOff>
    </xdr:from>
    <xdr:to>
      <xdr:col>1</xdr:col>
      <xdr:colOff>76200</xdr:colOff>
      <xdr:row>97</xdr:row>
      <xdr:rowOff>19050</xdr:rowOff>
    </xdr:to>
    <xdr:sp macro="" textlink="">
      <xdr:nvSpPr>
        <xdr:cNvPr id="377646" name="Text Box 824"/>
        <xdr:cNvSpPr txBox="1">
          <a:spLocks noChangeArrowheads="1"/>
        </xdr:cNvSpPr>
      </xdr:nvSpPr>
      <xdr:spPr bwMode="auto">
        <a:xfrm>
          <a:off x="1152525" y="18288000"/>
          <a:ext cx="76200" cy="209550"/>
        </a:xfrm>
        <a:prstGeom prst="rect">
          <a:avLst/>
        </a:prstGeom>
        <a:noFill/>
        <a:ln w="9525">
          <a:noFill/>
          <a:miter lim="800000"/>
          <a:headEnd/>
          <a:tailEnd/>
        </a:ln>
      </xdr:spPr>
    </xdr:sp>
    <xdr:clientData/>
  </xdr:twoCellAnchor>
  <xdr:twoCellAnchor editAs="oneCell">
    <xdr:from>
      <xdr:col>1</xdr:col>
      <xdr:colOff>0</xdr:colOff>
      <xdr:row>96</xdr:row>
      <xdr:rowOff>0</xdr:rowOff>
    </xdr:from>
    <xdr:to>
      <xdr:col>1</xdr:col>
      <xdr:colOff>76200</xdr:colOff>
      <xdr:row>97</xdr:row>
      <xdr:rowOff>19050</xdr:rowOff>
    </xdr:to>
    <xdr:sp macro="" textlink="">
      <xdr:nvSpPr>
        <xdr:cNvPr id="377647" name="Text Box 825"/>
        <xdr:cNvSpPr txBox="1">
          <a:spLocks noChangeArrowheads="1"/>
        </xdr:cNvSpPr>
      </xdr:nvSpPr>
      <xdr:spPr bwMode="auto">
        <a:xfrm>
          <a:off x="1152525" y="18288000"/>
          <a:ext cx="76200" cy="209550"/>
        </a:xfrm>
        <a:prstGeom prst="rect">
          <a:avLst/>
        </a:prstGeom>
        <a:noFill/>
        <a:ln w="9525">
          <a:noFill/>
          <a:miter lim="800000"/>
          <a:headEnd/>
          <a:tailEnd/>
        </a:ln>
      </xdr:spPr>
    </xdr:sp>
    <xdr:clientData/>
  </xdr:twoCellAnchor>
  <xdr:twoCellAnchor editAs="oneCell">
    <xdr:from>
      <xdr:col>1</xdr:col>
      <xdr:colOff>0</xdr:colOff>
      <xdr:row>96</xdr:row>
      <xdr:rowOff>0</xdr:rowOff>
    </xdr:from>
    <xdr:to>
      <xdr:col>1</xdr:col>
      <xdr:colOff>76200</xdr:colOff>
      <xdr:row>97</xdr:row>
      <xdr:rowOff>19050</xdr:rowOff>
    </xdr:to>
    <xdr:sp macro="" textlink="">
      <xdr:nvSpPr>
        <xdr:cNvPr id="377648" name="Text Box 826"/>
        <xdr:cNvSpPr txBox="1">
          <a:spLocks noChangeArrowheads="1"/>
        </xdr:cNvSpPr>
      </xdr:nvSpPr>
      <xdr:spPr bwMode="auto">
        <a:xfrm>
          <a:off x="1152525" y="18288000"/>
          <a:ext cx="76200" cy="209550"/>
        </a:xfrm>
        <a:prstGeom prst="rect">
          <a:avLst/>
        </a:prstGeom>
        <a:noFill/>
        <a:ln w="9525">
          <a:noFill/>
          <a:miter lim="800000"/>
          <a:headEnd/>
          <a:tailEnd/>
        </a:ln>
      </xdr:spPr>
    </xdr:sp>
    <xdr:clientData/>
  </xdr:twoCellAnchor>
  <xdr:twoCellAnchor editAs="oneCell">
    <xdr:from>
      <xdr:col>1</xdr:col>
      <xdr:colOff>0</xdr:colOff>
      <xdr:row>97</xdr:row>
      <xdr:rowOff>0</xdr:rowOff>
    </xdr:from>
    <xdr:to>
      <xdr:col>1</xdr:col>
      <xdr:colOff>76200</xdr:colOff>
      <xdr:row>98</xdr:row>
      <xdr:rowOff>19050</xdr:rowOff>
    </xdr:to>
    <xdr:sp macro="" textlink="">
      <xdr:nvSpPr>
        <xdr:cNvPr id="377649" name="Text Box 827"/>
        <xdr:cNvSpPr txBox="1">
          <a:spLocks noChangeArrowheads="1"/>
        </xdr:cNvSpPr>
      </xdr:nvSpPr>
      <xdr:spPr bwMode="auto">
        <a:xfrm>
          <a:off x="1152525" y="18478500"/>
          <a:ext cx="76200" cy="209550"/>
        </a:xfrm>
        <a:prstGeom prst="rect">
          <a:avLst/>
        </a:prstGeom>
        <a:noFill/>
        <a:ln w="9525">
          <a:noFill/>
          <a:miter lim="800000"/>
          <a:headEnd/>
          <a:tailEnd/>
        </a:ln>
      </xdr:spPr>
    </xdr:sp>
    <xdr:clientData/>
  </xdr:twoCellAnchor>
  <xdr:twoCellAnchor editAs="oneCell">
    <xdr:from>
      <xdr:col>1</xdr:col>
      <xdr:colOff>0</xdr:colOff>
      <xdr:row>97</xdr:row>
      <xdr:rowOff>0</xdr:rowOff>
    </xdr:from>
    <xdr:to>
      <xdr:col>1</xdr:col>
      <xdr:colOff>76200</xdr:colOff>
      <xdr:row>98</xdr:row>
      <xdr:rowOff>19050</xdr:rowOff>
    </xdr:to>
    <xdr:sp macro="" textlink="">
      <xdr:nvSpPr>
        <xdr:cNvPr id="377650" name="Text Box 828"/>
        <xdr:cNvSpPr txBox="1">
          <a:spLocks noChangeArrowheads="1"/>
        </xdr:cNvSpPr>
      </xdr:nvSpPr>
      <xdr:spPr bwMode="auto">
        <a:xfrm>
          <a:off x="1152525" y="18478500"/>
          <a:ext cx="76200" cy="209550"/>
        </a:xfrm>
        <a:prstGeom prst="rect">
          <a:avLst/>
        </a:prstGeom>
        <a:noFill/>
        <a:ln w="9525">
          <a:noFill/>
          <a:miter lim="800000"/>
          <a:headEnd/>
          <a:tailEnd/>
        </a:ln>
      </xdr:spPr>
    </xdr:sp>
    <xdr:clientData/>
  </xdr:twoCellAnchor>
  <xdr:twoCellAnchor editAs="oneCell">
    <xdr:from>
      <xdr:col>1</xdr:col>
      <xdr:colOff>0</xdr:colOff>
      <xdr:row>97</xdr:row>
      <xdr:rowOff>0</xdr:rowOff>
    </xdr:from>
    <xdr:to>
      <xdr:col>1</xdr:col>
      <xdr:colOff>76200</xdr:colOff>
      <xdr:row>98</xdr:row>
      <xdr:rowOff>19050</xdr:rowOff>
    </xdr:to>
    <xdr:sp macro="" textlink="">
      <xdr:nvSpPr>
        <xdr:cNvPr id="377651" name="Text Box 829"/>
        <xdr:cNvSpPr txBox="1">
          <a:spLocks noChangeArrowheads="1"/>
        </xdr:cNvSpPr>
      </xdr:nvSpPr>
      <xdr:spPr bwMode="auto">
        <a:xfrm>
          <a:off x="1152525" y="18478500"/>
          <a:ext cx="76200" cy="209550"/>
        </a:xfrm>
        <a:prstGeom prst="rect">
          <a:avLst/>
        </a:prstGeom>
        <a:noFill/>
        <a:ln w="9525">
          <a:noFill/>
          <a:miter lim="800000"/>
          <a:headEnd/>
          <a:tailEnd/>
        </a:ln>
      </xdr:spPr>
    </xdr:sp>
    <xdr:clientData/>
  </xdr:twoCellAnchor>
  <xdr:twoCellAnchor editAs="oneCell">
    <xdr:from>
      <xdr:col>1</xdr:col>
      <xdr:colOff>0</xdr:colOff>
      <xdr:row>97</xdr:row>
      <xdr:rowOff>0</xdr:rowOff>
    </xdr:from>
    <xdr:to>
      <xdr:col>1</xdr:col>
      <xdr:colOff>76200</xdr:colOff>
      <xdr:row>98</xdr:row>
      <xdr:rowOff>19050</xdr:rowOff>
    </xdr:to>
    <xdr:sp macro="" textlink="">
      <xdr:nvSpPr>
        <xdr:cNvPr id="377652" name="Text Box 830"/>
        <xdr:cNvSpPr txBox="1">
          <a:spLocks noChangeArrowheads="1"/>
        </xdr:cNvSpPr>
      </xdr:nvSpPr>
      <xdr:spPr bwMode="auto">
        <a:xfrm>
          <a:off x="1152525" y="18478500"/>
          <a:ext cx="76200" cy="209550"/>
        </a:xfrm>
        <a:prstGeom prst="rect">
          <a:avLst/>
        </a:prstGeom>
        <a:noFill/>
        <a:ln w="9525">
          <a:noFill/>
          <a:miter lim="800000"/>
          <a:headEnd/>
          <a:tailEnd/>
        </a:ln>
      </xdr:spPr>
    </xdr:sp>
    <xdr:clientData/>
  </xdr:twoCellAnchor>
  <xdr:twoCellAnchor editAs="oneCell">
    <xdr:from>
      <xdr:col>1</xdr:col>
      <xdr:colOff>0</xdr:colOff>
      <xdr:row>98</xdr:row>
      <xdr:rowOff>0</xdr:rowOff>
    </xdr:from>
    <xdr:to>
      <xdr:col>1</xdr:col>
      <xdr:colOff>76200</xdr:colOff>
      <xdr:row>99</xdr:row>
      <xdr:rowOff>19050</xdr:rowOff>
    </xdr:to>
    <xdr:sp macro="" textlink="">
      <xdr:nvSpPr>
        <xdr:cNvPr id="377653" name="Text Box 831"/>
        <xdr:cNvSpPr txBox="1">
          <a:spLocks noChangeArrowheads="1"/>
        </xdr:cNvSpPr>
      </xdr:nvSpPr>
      <xdr:spPr bwMode="auto">
        <a:xfrm>
          <a:off x="1152525" y="18669000"/>
          <a:ext cx="76200" cy="209550"/>
        </a:xfrm>
        <a:prstGeom prst="rect">
          <a:avLst/>
        </a:prstGeom>
        <a:noFill/>
        <a:ln w="9525">
          <a:noFill/>
          <a:miter lim="800000"/>
          <a:headEnd/>
          <a:tailEnd/>
        </a:ln>
      </xdr:spPr>
    </xdr:sp>
    <xdr:clientData/>
  </xdr:twoCellAnchor>
  <xdr:twoCellAnchor editAs="oneCell">
    <xdr:from>
      <xdr:col>1</xdr:col>
      <xdr:colOff>0</xdr:colOff>
      <xdr:row>98</xdr:row>
      <xdr:rowOff>0</xdr:rowOff>
    </xdr:from>
    <xdr:to>
      <xdr:col>1</xdr:col>
      <xdr:colOff>76200</xdr:colOff>
      <xdr:row>99</xdr:row>
      <xdr:rowOff>19050</xdr:rowOff>
    </xdr:to>
    <xdr:sp macro="" textlink="">
      <xdr:nvSpPr>
        <xdr:cNvPr id="377654" name="Text Box 832"/>
        <xdr:cNvSpPr txBox="1">
          <a:spLocks noChangeArrowheads="1"/>
        </xdr:cNvSpPr>
      </xdr:nvSpPr>
      <xdr:spPr bwMode="auto">
        <a:xfrm>
          <a:off x="1152525" y="18669000"/>
          <a:ext cx="76200" cy="209550"/>
        </a:xfrm>
        <a:prstGeom prst="rect">
          <a:avLst/>
        </a:prstGeom>
        <a:noFill/>
        <a:ln w="9525">
          <a:noFill/>
          <a:miter lim="800000"/>
          <a:headEnd/>
          <a:tailEnd/>
        </a:ln>
      </xdr:spPr>
    </xdr:sp>
    <xdr:clientData/>
  </xdr:twoCellAnchor>
  <xdr:twoCellAnchor editAs="oneCell">
    <xdr:from>
      <xdr:col>1</xdr:col>
      <xdr:colOff>0</xdr:colOff>
      <xdr:row>98</xdr:row>
      <xdr:rowOff>0</xdr:rowOff>
    </xdr:from>
    <xdr:to>
      <xdr:col>1</xdr:col>
      <xdr:colOff>76200</xdr:colOff>
      <xdr:row>99</xdr:row>
      <xdr:rowOff>19050</xdr:rowOff>
    </xdr:to>
    <xdr:sp macro="" textlink="">
      <xdr:nvSpPr>
        <xdr:cNvPr id="377655" name="Text Box 833"/>
        <xdr:cNvSpPr txBox="1">
          <a:spLocks noChangeArrowheads="1"/>
        </xdr:cNvSpPr>
      </xdr:nvSpPr>
      <xdr:spPr bwMode="auto">
        <a:xfrm>
          <a:off x="1152525" y="18669000"/>
          <a:ext cx="76200" cy="209550"/>
        </a:xfrm>
        <a:prstGeom prst="rect">
          <a:avLst/>
        </a:prstGeom>
        <a:noFill/>
        <a:ln w="9525">
          <a:noFill/>
          <a:miter lim="800000"/>
          <a:headEnd/>
          <a:tailEnd/>
        </a:ln>
      </xdr:spPr>
    </xdr:sp>
    <xdr:clientData/>
  </xdr:twoCellAnchor>
  <xdr:twoCellAnchor editAs="oneCell">
    <xdr:from>
      <xdr:col>1</xdr:col>
      <xdr:colOff>0</xdr:colOff>
      <xdr:row>98</xdr:row>
      <xdr:rowOff>0</xdr:rowOff>
    </xdr:from>
    <xdr:to>
      <xdr:col>1</xdr:col>
      <xdr:colOff>76200</xdr:colOff>
      <xdr:row>99</xdr:row>
      <xdr:rowOff>19050</xdr:rowOff>
    </xdr:to>
    <xdr:sp macro="" textlink="">
      <xdr:nvSpPr>
        <xdr:cNvPr id="377656" name="Text Box 834"/>
        <xdr:cNvSpPr txBox="1">
          <a:spLocks noChangeArrowheads="1"/>
        </xdr:cNvSpPr>
      </xdr:nvSpPr>
      <xdr:spPr bwMode="auto">
        <a:xfrm>
          <a:off x="1152525" y="18669000"/>
          <a:ext cx="76200" cy="209550"/>
        </a:xfrm>
        <a:prstGeom prst="rect">
          <a:avLst/>
        </a:prstGeom>
        <a:noFill/>
        <a:ln w="9525">
          <a:noFill/>
          <a:miter lim="800000"/>
          <a:headEnd/>
          <a:tailEnd/>
        </a:ln>
      </xdr:spPr>
    </xdr:sp>
    <xdr:clientData/>
  </xdr:twoCellAnchor>
  <xdr:twoCellAnchor editAs="oneCell">
    <xdr:from>
      <xdr:col>1</xdr:col>
      <xdr:colOff>0</xdr:colOff>
      <xdr:row>99</xdr:row>
      <xdr:rowOff>0</xdr:rowOff>
    </xdr:from>
    <xdr:to>
      <xdr:col>1</xdr:col>
      <xdr:colOff>76200</xdr:colOff>
      <xdr:row>100</xdr:row>
      <xdr:rowOff>19050</xdr:rowOff>
    </xdr:to>
    <xdr:sp macro="" textlink="">
      <xdr:nvSpPr>
        <xdr:cNvPr id="377657" name="Text Box 835"/>
        <xdr:cNvSpPr txBox="1">
          <a:spLocks noChangeArrowheads="1"/>
        </xdr:cNvSpPr>
      </xdr:nvSpPr>
      <xdr:spPr bwMode="auto">
        <a:xfrm>
          <a:off x="1152525" y="18859500"/>
          <a:ext cx="76200" cy="209550"/>
        </a:xfrm>
        <a:prstGeom prst="rect">
          <a:avLst/>
        </a:prstGeom>
        <a:noFill/>
        <a:ln w="9525">
          <a:noFill/>
          <a:miter lim="800000"/>
          <a:headEnd/>
          <a:tailEnd/>
        </a:ln>
      </xdr:spPr>
    </xdr:sp>
    <xdr:clientData/>
  </xdr:twoCellAnchor>
  <xdr:twoCellAnchor editAs="oneCell">
    <xdr:from>
      <xdr:col>1</xdr:col>
      <xdr:colOff>0</xdr:colOff>
      <xdr:row>99</xdr:row>
      <xdr:rowOff>0</xdr:rowOff>
    </xdr:from>
    <xdr:to>
      <xdr:col>1</xdr:col>
      <xdr:colOff>76200</xdr:colOff>
      <xdr:row>100</xdr:row>
      <xdr:rowOff>19050</xdr:rowOff>
    </xdr:to>
    <xdr:sp macro="" textlink="">
      <xdr:nvSpPr>
        <xdr:cNvPr id="377658" name="Text Box 836"/>
        <xdr:cNvSpPr txBox="1">
          <a:spLocks noChangeArrowheads="1"/>
        </xdr:cNvSpPr>
      </xdr:nvSpPr>
      <xdr:spPr bwMode="auto">
        <a:xfrm>
          <a:off x="1152525" y="18859500"/>
          <a:ext cx="76200" cy="209550"/>
        </a:xfrm>
        <a:prstGeom prst="rect">
          <a:avLst/>
        </a:prstGeom>
        <a:noFill/>
        <a:ln w="9525">
          <a:noFill/>
          <a:miter lim="800000"/>
          <a:headEnd/>
          <a:tailEnd/>
        </a:ln>
      </xdr:spPr>
    </xdr:sp>
    <xdr:clientData/>
  </xdr:twoCellAnchor>
  <xdr:twoCellAnchor editAs="oneCell">
    <xdr:from>
      <xdr:col>1</xdr:col>
      <xdr:colOff>0</xdr:colOff>
      <xdr:row>99</xdr:row>
      <xdr:rowOff>0</xdr:rowOff>
    </xdr:from>
    <xdr:to>
      <xdr:col>1</xdr:col>
      <xdr:colOff>76200</xdr:colOff>
      <xdr:row>100</xdr:row>
      <xdr:rowOff>19050</xdr:rowOff>
    </xdr:to>
    <xdr:sp macro="" textlink="">
      <xdr:nvSpPr>
        <xdr:cNvPr id="377659" name="Text Box 837"/>
        <xdr:cNvSpPr txBox="1">
          <a:spLocks noChangeArrowheads="1"/>
        </xdr:cNvSpPr>
      </xdr:nvSpPr>
      <xdr:spPr bwMode="auto">
        <a:xfrm>
          <a:off x="1152525" y="18859500"/>
          <a:ext cx="76200" cy="209550"/>
        </a:xfrm>
        <a:prstGeom prst="rect">
          <a:avLst/>
        </a:prstGeom>
        <a:noFill/>
        <a:ln w="9525">
          <a:noFill/>
          <a:miter lim="800000"/>
          <a:headEnd/>
          <a:tailEnd/>
        </a:ln>
      </xdr:spPr>
    </xdr:sp>
    <xdr:clientData/>
  </xdr:twoCellAnchor>
  <xdr:twoCellAnchor editAs="oneCell">
    <xdr:from>
      <xdr:col>1</xdr:col>
      <xdr:colOff>0</xdr:colOff>
      <xdr:row>99</xdr:row>
      <xdr:rowOff>0</xdr:rowOff>
    </xdr:from>
    <xdr:to>
      <xdr:col>1</xdr:col>
      <xdr:colOff>76200</xdr:colOff>
      <xdr:row>100</xdr:row>
      <xdr:rowOff>19050</xdr:rowOff>
    </xdr:to>
    <xdr:sp macro="" textlink="">
      <xdr:nvSpPr>
        <xdr:cNvPr id="377660" name="Text Box 838"/>
        <xdr:cNvSpPr txBox="1">
          <a:spLocks noChangeArrowheads="1"/>
        </xdr:cNvSpPr>
      </xdr:nvSpPr>
      <xdr:spPr bwMode="auto">
        <a:xfrm>
          <a:off x="1152525" y="18859500"/>
          <a:ext cx="76200" cy="209550"/>
        </a:xfrm>
        <a:prstGeom prst="rect">
          <a:avLst/>
        </a:prstGeom>
        <a:noFill/>
        <a:ln w="9525">
          <a:noFill/>
          <a:miter lim="800000"/>
          <a:headEnd/>
          <a:tailEnd/>
        </a:ln>
      </xdr:spPr>
    </xdr:sp>
    <xdr:clientData/>
  </xdr:twoCellAnchor>
  <xdr:twoCellAnchor editAs="oneCell">
    <xdr:from>
      <xdr:col>1</xdr:col>
      <xdr:colOff>0</xdr:colOff>
      <xdr:row>100</xdr:row>
      <xdr:rowOff>0</xdr:rowOff>
    </xdr:from>
    <xdr:to>
      <xdr:col>1</xdr:col>
      <xdr:colOff>76200</xdr:colOff>
      <xdr:row>101</xdr:row>
      <xdr:rowOff>19050</xdr:rowOff>
    </xdr:to>
    <xdr:sp macro="" textlink="">
      <xdr:nvSpPr>
        <xdr:cNvPr id="377661" name="Text Box 839"/>
        <xdr:cNvSpPr txBox="1">
          <a:spLocks noChangeArrowheads="1"/>
        </xdr:cNvSpPr>
      </xdr:nvSpPr>
      <xdr:spPr bwMode="auto">
        <a:xfrm>
          <a:off x="1152525" y="19050000"/>
          <a:ext cx="76200" cy="209550"/>
        </a:xfrm>
        <a:prstGeom prst="rect">
          <a:avLst/>
        </a:prstGeom>
        <a:noFill/>
        <a:ln w="9525">
          <a:noFill/>
          <a:miter lim="800000"/>
          <a:headEnd/>
          <a:tailEnd/>
        </a:ln>
      </xdr:spPr>
    </xdr:sp>
    <xdr:clientData/>
  </xdr:twoCellAnchor>
  <xdr:twoCellAnchor editAs="oneCell">
    <xdr:from>
      <xdr:col>1</xdr:col>
      <xdr:colOff>0</xdr:colOff>
      <xdr:row>100</xdr:row>
      <xdr:rowOff>0</xdr:rowOff>
    </xdr:from>
    <xdr:to>
      <xdr:col>1</xdr:col>
      <xdr:colOff>76200</xdr:colOff>
      <xdr:row>101</xdr:row>
      <xdr:rowOff>19050</xdr:rowOff>
    </xdr:to>
    <xdr:sp macro="" textlink="">
      <xdr:nvSpPr>
        <xdr:cNvPr id="377662" name="Text Box 840"/>
        <xdr:cNvSpPr txBox="1">
          <a:spLocks noChangeArrowheads="1"/>
        </xdr:cNvSpPr>
      </xdr:nvSpPr>
      <xdr:spPr bwMode="auto">
        <a:xfrm>
          <a:off x="1152525" y="19050000"/>
          <a:ext cx="76200" cy="209550"/>
        </a:xfrm>
        <a:prstGeom prst="rect">
          <a:avLst/>
        </a:prstGeom>
        <a:noFill/>
        <a:ln w="9525">
          <a:noFill/>
          <a:miter lim="800000"/>
          <a:headEnd/>
          <a:tailEnd/>
        </a:ln>
      </xdr:spPr>
    </xdr:sp>
    <xdr:clientData/>
  </xdr:twoCellAnchor>
  <xdr:twoCellAnchor editAs="oneCell">
    <xdr:from>
      <xdr:col>1</xdr:col>
      <xdr:colOff>0</xdr:colOff>
      <xdr:row>100</xdr:row>
      <xdr:rowOff>0</xdr:rowOff>
    </xdr:from>
    <xdr:to>
      <xdr:col>1</xdr:col>
      <xdr:colOff>76200</xdr:colOff>
      <xdr:row>101</xdr:row>
      <xdr:rowOff>19050</xdr:rowOff>
    </xdr:to>
    <xdr:sp macro="" textlink="">
      <xdr:nvSpPr>
        <xdr:cNvPr id="377663" name="Text Box 841"/>
        <xdr:cNvSpPr txBox="1">
          <a:spLocks noChangeArrowheads="1"/>
        </xdr:cNvSpPr>
      </xdr:nvSpPr>
      <xdr:spPr bwMode="auto">
        <a:xfrm>
          <a:off x="1152525" y="19050000"/>
          <a:ext cx="76200" cy="209550"/>
        </a:xfrm>
        <a:prstGeom prst="rect">
          <a:avLst/>
        </a:prstGeom>
        <a:noFill/>
        <a:ln w="9525">
          <a:noFill/>
          <a:miter lim="800000"/>
          <a:headEnd/>
          <a:tailEnd/>
        </a:ln>
      </xdr:spPr>
    </xdr:sp>
    <xdr:clientData/>
  </xdr:twoCellAnchor>
  <xdr:twoCellAnchor editAs="oneCell">
    <xdr:from>
      <xdr:col>1</xdr:col>
      <xdr:colOff>0</xdr:colOff>
      <xdr:row>100</xdr:row>
      <xdr:rowOff>0</xdr:rowOff>
    </xdr:from>
    <xdr:to>
      <xdr:col>1</xdr:col>
      <xdr:colOff>76200</xdr:colOff>
      <xdr:row>101</xdr:row>
      <xdr:rowOff>19050</xdr:rowOff>
    </xdr:to>
    <xdr:sp macro="" textlink="">
      <xdr:nvSpPr>
        <xdr:cNvPr id="377664" name="Text Box 842"/>
        <xdr:cNvSpPr txBox="1">
          <a:spLocks noChangeArrowheads="1"/>
        </xdr:cNvSpPr>
      </xdr:nvSpPr>
      <xdr:spPr bwMode="auto">
        <a:xfrm>
          <a:off x="1152525" y="19050000"/>
          <a:ext cx="76200" cy="209550"/>
        </a:xfrm>
        <a:prstGeom prst="rect">
          <a:avLst/>
        </a:prstGeom>
        <a:noFill/>
        <a:ln w="9525">
          <a:noFill/>
          <a:miter lim="800000"/>
          <a:headEnd/>
          <a:tailEnd/>
        </a:ln>
      </xdr:spPr>
    </xdr:sp>
    <xdr:clientData/>
  </xdr:twoCellAnchor>
  <xdr:twoCellAnchor editAs="oneCell">
    <xdr:from>
      <xdr:col>1</xdr:col>
      <xdr:colOff>0</xdr:colOff>
      <xdr:row>101</xdr:row>
      <xdr:rowOff>0</xdr:rowOff>
    </xdr:from>
    <xdr:to>
      <xdr:col>1</xdr:col>
      <xdr:colOff>76200</xdr:colOff>
      <xdr:row>102</xdr:row>
      <xdr:rowOff>19050</xdr:rowOff>
    </xdr:to>
    <xdr:sp macro="" textlink="">
      <xdr:nvSpPr>
        <xdr:cNvPr id="377665" name="Text Box 843"/>
        <xdr:cNvSpPr txBox="1">
          <a:spLocks noChangeArrowheads="1"/>
        </xdr:cNvSpPr>
      </xdr:nvSpPr>
      <xdr:spPr bwMode="auto">
        <a:xfrm>
          <a:off x="1152525" y="19240500"/>
          <a:ext cx="76200" cy="209550"/>
        </a:xfrm>
        <a:prstGeom prst="rect">
          <a:avLst/>
        </a:prstGeom>
        <a:noFill/>
        <a:ln w="9525">
          <a:noFill/>
          <a:miter lim="800000"/>
          <a:headEnd/>
          <a:tailEnd/>
        </a:ln>
      </xdr:spPr>
    </xdr:sp>
    <xdr:clientData/>
  </xdr:twoCellAnchor>
  <xdr:twoCellAnchor editAs="oneCell">
    <xdr:from>
      <xdr:col>1</xdr:col>
      <xdr:colOff>0</xdr:colOff>
      <xdr:row>101</xdr:row>
      <xdr:rowOff>0</xdr:rowOff>
    </xdr:from>
    <xdr:to>
      <xdr:col>1</xdr:col>
      <xdr:colOff>76200</xdr:colOff>
      <xdr:row>102</xdr:row>
      <xdr:rowOff>19050</xdr:rowOff>
    </xdr:to>
    <xdr:sp macro="" textlink="">
      <xdr:nvSpPr>
        <xdr:cNvPr id="377666" name="Text Box 844"/>
        <xdr:cNvSpPr txBox="1">
          <a:spLocks noChangeArrowheads="1"/>
        </xdr:cNvSpPr>
      </xdr:nvSpPr>
      <xdr:spPr bwMode="auto">
        <a:xfrm>
          <a:off x="1152525" y="19240500"/>
          <a:ext cx="76200" cy="209550"/>
        </a:xfrm>
        <a:prstGeom prst="rect">
          <a:avLst/>
        </a:prstGeom>
        <a:noFill/>
        <a:ln w="9525">
          <a:noFill/>
          <a:miter lim="800000"/>
          <a:headEnd/>
          <a:tailEnd/>
        </a:ln>
      </xdr:spPr>
    </xdr:sp>
    <xdr:clientData/>
  </xdr:twoCellAnchor>
  <xdr:twoCellAnchor editAs="oneCell">
    <xdr:from>
      <xdr:col>1</xdr:col>
      <xdr:colOff>0</xdr:colOff>
      <xdr:row>101</xdr:row>
      <xdr:rowOff>0</xdr:rowOff>
    </xdr:from>
    <xdr:to>
      <xdr:col>1</xdr:col>
      <xdr:colOff>76200</xdr:colOff>
      <xdr:row>102</xdr:row>
      <xdr:rowOff>19050</xdr:rowOff>
    </xdr:to>
    <xdr:sp macro="" textlink="">
      <xdr:nvSpPr>
        <xdr:cNvPr id="377667" name="Text Box 845"/>
        <xdr:cNvSpPr txBox="1">
          <a:spLocks noChangeArrowheads="1"/>
        </xdr:cNvSpPr>
      </xdr:nvSpPr>
      <xdr:spPr bwMode="auto">
        <a:xfrm>
          <a:off x="1152525" y="19240500"/>
          <a:ext cx="76200" cy="209550"/>
        </a:xfrm>
        <a:prstGeom prst="rect">
          <a:avLst/>
        </a:prstGeom>
        <a:noFill/>
        <a:ln w="9525">
          <a:noFill/>
          <a:miter lim="800000"/>
          <a:headEnd/>
          <a:tailEnd/>
        </a:ln>
      </xdr:spPr>
    </xdr:sp>
    <xdr:clientData/>
  </xdr:twoCellAnchor>
  <xdr:twoCellAnchor editAs="oneCell">
    <xdr:from>
      <xdr:col>1</xdr:col>
      <xdr:colOff>0</xdr:colOff>
      <xdr:row>101</xdr:row>
      <xdr:rowOff>0</xdr:rowOff>
    </xdr:from>
    <xdr:to>
      <xdr:col>1</xdr:col>
      <xdr:colOff>76200</xdr:colOff>
      <xdr:row>102</xdr:row>
      <xdr:rowOff>19050</xdr:rowOff>
    </xdr:to>
    <xdr:sp macro="" textlink="">
      <xdr:nvSpPr>
        <xdr:cNvPr id="377668" name="Text Box 846"/>
        <xdr:cNvSpPr txBox="1">
          <a:spLocks noChangeArrowheads="1"/>
        </xdr:cNvSpPr>
      </xdr:nvSpPr>
      <xdr:spPr bwMode="auto">
        <a:xfrm>
          <a:off x="1152525" y="19240500"/>
          <a:ext cx="76200" cy="209550"/>
        </a:xfrm>
        <a:prstGeom prst="rect">
          <a:avLst/>
        </a:prstGeom>
        <a:noFill/>
        <a:ln w="9525">
          <a:noFill/>
          <a:miter lim="800000"/>
          <a:headEnd/>
          <a:tailEnd/>
        </a:ln>
      </xdr:spPr>
    </xdr:sp>
    <xdr:clientData/>
  </xdr:twoCellAnchor>
  <xdr:twoCellAnchor editAs="oneCell">
    <xdr:from>
      <xdr:col>1</xdr:col>
      <xdr:colOff>0</xdr:colOff>
      <xdr:row>102</xdr:row>
      <xdr:rowOff>0</xdr:rowOff>
    </xdr:from>
    <xdr:to>
      <xdr:col>1</xdr:col>
      <xdr:colOff>76200</xdr:colOff>
      <xdr:row>103</xdr:row>
      <xdr:rowOff>19050</xdr:rowOff>
    </xdr:to>
    <xdr:sp macro="" textlink="">
      <xdr:nvSpPr>
        <xdr:cNvPr id="377669" name="Text Box 847"/>
        <xdr:cNvSpPr txBox="1">
          <a:spLocks noChangeArrowheads="1"/>
        </xdr:cNvSpPr>
      </xdr:nvSpPr>
      <xdr:spPr bwMode="auto">
        <a:xfrm>
          <a:off x="1152525" y="19431000"/>
          <a:ext cx="76200" cy="209550"/>
        </a:xfrm>
        <a:prstGeom prst="rect">
          <a:avLst/>
        </a:prstGeom>
        <a:noFill/>
        <a:ln w="9525">
          <a:noFill/>
          <a:miter lim="800000"/>
          <a:headEnd/>
          <a:tailEnd/>
        </a:ln>
      </xdr:spPr>
    </xdr:sp>
    <xdr:clientData/>
  </xdr:twoCellAnchor>
  <xdr:twoCellAnchor editAs="oneCell">
    <xdr:from>
      <xdr:col>1</xdr:col>
      <xdr:colOff>0</xdr:colOff>
      <xdr:row>102</xdr:row>
      <xdr:rowOff>0</xdr:rowOff>
    </xdr:from>
    <xdr:to>
      <xdr:col>1</xdr:col>
      <xdr:colOff>76200</xdr:colOff>
      <xdr:row>103</xdr:row>
      <xdr:rowOff>19050</xdr:rowOff>
    </xdr:to>
    <xdr:sp macro="" textlink="">
      <xdr:nvSpPr>
        <xdr:cNvPr id="377670" name="Text Box 848"/>
        <xdr:cNvSpPr txBox="1">
          <a:spLocks noChangeArrowheads="1"/>
        </xdr:cNvSpPr>
      </xdr:nvSpPr>
      <xdr:spPr bwMode="auto">
        <a:xfrm>
          <a:off x="1152525" y="19431000"/>
          <a:ext cx="76200" cy="209550"/>
        </a:xfrm>
        <a:prstGeom prst="rect">
          <a:avLst/>
        </a:prstGeom>
        <a:noFill/>
        <a:ln w="9525">
          <a:noFill/>
          <a:miter lim="800000"/>
          <a:headEnd/>
          <a:tailEnd/>
        </a:ln>
      </xdr:spPr>
    </xdr:sp>
    <xdr:clientData/>
  </xdr:twoCellAnchor>
  <xdr:twoCellAnchor editAs="oneCell">
    <xdr:from>
      <xdr:col>1</xdr:col>
      <xdr:colOff>0</xdr:colOff>
      <xdr:row>102</xdr:row>
      <xdr:rowOff>0</xdr:rowOff>
    </xdr:from>
    <xdr:to>
      <xdr:col>1</xdr:col>
      <xdr:colOff>76200</xdr:colOff>
      <xdr:row>103</xdr:row>
      <xdr:rowOff>19050</xdr:rowOff>
    </xdr:to>
    <xdr:sp macro="" textlink="">
      <xdr:nvSpPr>
        <xdr:cNvPr id="377671" name="Text Box 849"/>
        <xdr:cNvSpPr txBox="1">
          <a:spLocks noChangeArrowheads="1"/>
        </xdr:cNvSpPr>
      </xdr:nvSpPr>
      <xdr:spPr bwMode="auto">
        <a:xfrm>
          <a:off x="1152525" y="19431000"/>
          <a:ext cx="76200" cy="209550"/>
        </a:xfrm>
        <a:prstGeom prst="rect">
          <a:avLst/>
        </a:prstGeom>
        <a:noFill/>
        <a:ln w="9525">
          <a:noFill/>
          <a:miter lim="800000"/>
          <a:headEnd/>
          <a:tailEnd/>
        </a:ln>
      </xdr:spPr>
    </xdr:sp>
    <xdr:clientData/>
  </xdr:twoCellAnchor>
  <xdr:twoCellAnchor editAs="oneCell">
    <xdr:from>
      <xdr:col>1</xdr:col>
      <xdr:colOff>0</xdr:colOff>
      <xdr:row>102</xdr:row>
      <xdr:rowOff>0</xdr:rowOff>
    </xdr:from>
    <xdr:to>
      <xdr:col>1</xdr:col>
      <xdr:colOff>76200</xdr:colOff>
      <xdr:row>103</xdr:row>
      <xdr:rowOff>19050</xdr:rowOff>
    </xdr:to>
    <xdr:sp macro="" textlink="">
      <xdr:nvSpPr>
        <xdr:cNvPr id="377672" name="Text Box 850"/>
        <xdr:cNvSpPr txBox="1">
          <a:spLocks noChangeArrowheads="1"/>
        </xdr:cNvSpPr>
      </xdr:nvSpPr>
      <xdr:spPr bwMode="auto">
        <a:xfrm>
          <a:off x="1152525" y="19431000"/>
          <a:ext cx="76200" cy="209550"/>
        </a:xfrm>
        <a:prstGeom prst="rect">
          <a:avLst/>
        </a:prstGeom>
        <a:noFill/>
        <a:ln w="9525">
          <a:noFill/>
          <a:miter lim="800000"/>
          <a:headEnd/>
          <a:tailEnd/>
        </a:ln>
      </xdr:spPr>
    </xdr:sp>
    <xdr:clientData/>
  </xdr:twoCellAnchor>
  <xdr:twoCellAnchor editAs="oneCell">
    <xdr:from>
      <xdr:col>1</xdr:col>
      <xdr:colOff>0</xdr:colOff>
      <xdr:row>103</xdr:row>
      <xdr:rowOff>0</xdr:rowOff>
    </xdr:from>
    <xdr:to>
      <xdr:col>1</xdr:col>
      <xdr:colOff>76200</xdr:colOff>
      <xdr:row>104</xdr:row>
      <xdr:rowOff>19050</xdr:rowOff>
    </xdr:to>
    <xdr:sp macro="" textlink="">
      <xdr:nvSpPr>
        <xdr:cNvPr id="377673" name="Text Box 851"/>
        <xdr:cNvSpPr txBox="1">
          <a:spLocks noChangeArrowheads="1"/>
        </xdr:cNvSpPr>
      </xdr:nvSpPr>
      <xdr:spPr bwMode="auto">
        <a:xfrm>
          <a:off x="1152525" y="19621500"/>
          <a:ext cx="76200" cy="209550"/>
        </a:xfrm>
        <a:prstGeom prst="rect">
          <a:avLst/>
        </a:prstGeom>
        <a:noFill/>
        <a:ln w="9525">
          <a:noFill/>
          <a:miter lim="800000"/>
          <a:headEnd/>
          <a:tailEnd/>
        </a:ln>
      </xdr:spPr>
    </xdr:sp>
    <xdr:clientData/>
  </xdr:twoCellAnchor>
  <xdr:twoCellAnchor editAs="oneCell">
    <xdr:from>
      <xdr:col>1</xdr:col>
      <xdr:colOff>0</xdr:colOff>
      <xdr:row>103</xdr:row>
      <xdr:rowOff>0</xdr:rowOff>
    </xdr:from>
    <xdr:to>
      <xdr:col>1</xdr:col>
      <xdr:colOff>76200</xdr:colOff>
      <xdr:row>104</xdr:row>
      <xdr:rowOff>19050</xdr:rowOff>
    </xdr:to>
    <xdr:sp macro="" textlink="">
      <xdr:nvSpPr>
        <xdr:cNvPr id="377674" name="Text Box 852"/>
        <xdr:cNvSpPr txBox="1">
          <a:spLocks noChangeArrowheads="1"/>
        </xdr:cNvSpPr>
      </xdr:nvSpPr>
      <xdr:spPr bwMode="auto">
        <a:xfrm>
          <a:off x="1152525" y="19621500"/>
          <a:ext cx="76200" cy="209550"/>
        </a:xfrm>
        <a:prstGeom prst="rect">
          <a:avLst/>
        </a:prstGeom>
        <a:noFill/>
        <a:ln w="9525">
          <a:noFill/>
          <a:miter lim="800000"/>
          <a:headEnd/>
          <a:tailEnd/>
        </a:ln>
      </xdr:spPr>
    </xdr:sp>
    <xdr:clientData/>
  </xdr:twoCellAnchor>
  <xdr:twoCellAnchor editAs="oneCell">
    <xdr:from>
      <xdr:col>1</xdr:col>
      <xdr:colOff>0</xdr:colOff>
      <xdr:row>103</xdr:row>
      <xdr:rowOff>0</xdr:rowOff>
    </xdr:from>
    <xdr:to>
      <xdr:col>1</xdr:col>
      <xdr:colOff>76200</xdr:colOff>
      <xdr:row>104</xdr:row>
      <xdr:rowOff>19050</xdr:rowOff>
    </xdr:to>
    <xdr:sp macro="" textlink="">
      <xdr:nvSpPr>
        <xdr:cNvPr id="377675" name="Text Box 853"/>
        <xdr:cNvSpPr txBox="1">
          <a:spLocks noChangeArrowheads="1"/>
        </xdr:cNvSpPr>
      </xdr:nvSpPr>
      <xdr:spPr bwMode="auto">
        <a:xfrm>
          <a:off x="1152525" y="19621500"/>
          <a:ext cx="76200" cy="209550"/>
        </a:xfrm>
        <a:prstGeom prst="rect">
          <a:avLst/>
        </a:prstGeom>
        <a:noFill/>
        <a:ln w="9525">
          <a:noFill/>
          <a:miter lim="800000"/>
          <a:headEnd/>
          <a:tailEnd/>
        </a:ln>
      </xdr:spPr>
    </xdr:sp>
    <xdr:clientData/>
  </xdr:twoCellAnchor>
  <xdr:twoCellAnchor editAs="oneCell">
    <xdr:from>
      <xdr:col>1</xdr:col>
      <xdr:colOff>0</xdr:colOff>
      <xdr:row>103</xdr:row>
      <xdr:rowOff>0</xdr:rowOff>
    </xdr:from>
    <xdr:to>
      <xdr:col>1</xdr:col>
      <xdr:colOff>76200</xdr:colOff>
      <xdr:row>104</xdr:row>
      <xdr:rowOff>19050</xdr:rowOff>
    </xdr:to>
    <xdr:sp macro="" textlink="">
      <xdr:nvSpPr>
        <xdr:cNvPr id="377676" name="Text Box 854"/>
        <xdr:cNvSpPr txBox="1">
          <a:spLocks noChangeArrowheads="1"/>
        </xdr:cNvSpPr>
      </xdr:nvSpPr>
      <xdr:spPr bwMode="auto">
        <a:xfrm>
          <a:off x="1152525" y="19621500"/>
          <a:ext cx="76200" cy="209550"/>
        </a:xfrm>
        <a:prstGeom prst="rect">
          <a:avLst/>
        </a:prstGeom>
        <a:noFill/>
        <a:ln w="9525">
          <a:noFill/>
          <a:miter lim="800000"/>
          <a:headEnd/>
          <a:tailEnd/>
        </a:ln>
      </xdr:spPr>
    </xdr:sp>
    <xdr:clientData/>
  </xdr:twoCellAnchor>
  <xdr:twoCellAnchor editAs="oneCell">
    <xdr:from>
      <xdr:col>1</xdr:col>
      <xdr:colOff>0</xdr:colOff>
      <xdr:row>104</xdr:row>
      <xdr:rowOff>0</xdr:rowOff>
    </xdr:from>
    <xdr:to>
      <xdr:col>1</xdr:col>
      <xdr:colOff>76200</xdr:colOff>
      <xdr:row>105</xdr:row>
      <xdr:rowOff>19050</xdr:rowOff>
    </xdr:to>
    <xdr:sp macro="" textlink="">
      <xdr:nvSpPr>
        <xdr:cNvPr id="377677" name="Text Box 855"/>
        <xdr:cNvSpPr txBox="1">
          <a:spLocks noChangeArrowheads="1"/>
        </xdr:cNvSpPr>
      </xdr:nvSpPr>
      <xdr:spPr bwMode="auto">
        <a:xfrm>
          <a:off x="1152525" y="19812000"/>
          <a:ext cx="76200" cy="209550"/>
        </a:xfrm>
        <a:prstGeom prst="rect">
          <a:avLst/>
        </a:prstGeom>
        <a:noFill/>
        <a:ln w="9525">
          <a:noFill/>
          <a:miter lim="800000"/>
          <a:headEnd/>
          <a:tailEnd/>
        </a:ln>
      </xdr:spPr>
    </xdr:sp>
    <xdr:clientData/>
  </xdr:twoCellAnchor>
  <xdr:twoCellAnchor editAs="oneCell">
    <xdr:from>
      <xdr:col>1</xdr:col>
      <xdr:colOff>0</xdr:colOff>
      <xdr:row>104</xdr:row>
      <xdr:rowOff>0</xdr:rowOff>
    </xdr:from>
    <xdr:to>
      <xdr:col>1</xdr:col>
      <xdr:colOff>76200</xdr:colOff>
      <xdr:row>105</xdr:row>
      <xdr:rowOff>19050</xdr:rowOff>
    </xdr:to>
    <xdr:sp macro="" textlink="">
      <xdr:nvSpPr>
        <xdr:cNvPr id="377678" name="Text Box 856"/>
        <xdr:cNvSpPr txBox="1">
          <a:spLocks noChangeArrowheads="1"/>
        </xdr:cNvSpPr>
      </xdr:nvSpPr>
      <xdr:spPr bwMode="auto">
        <a:xfrm>
          <a:off x="1152525" y="19812000"/>
          <a:ext cx="76200" cy="209550"/>
        </a:xfrm>
        <a:prstGeom prst="rect">
          <a:avLst/>
        </a:prstGeom>
        <a:noFill/>
        <a:ln w="9525">
          <a:noFill/>
          <a:miter lim="800000"/>
          <a:headEnd/>
          <a:tailEnd/>
        </a:ln>
      </xdr:spPr>
    </xdr:sp>
    <xdr:clientData/>
  </xdr:twoCellAnchor>
  <xdr:twoCellAnchor editAs="oneCell">
    <xdr:from>
      <xdr:col>1</xdr:col>
      <xdr:colOff>0</xdr:colOff>
      <xdr:row>104</xdr:row>
      <xdr:rowOff>0</xdr:rowOff>
    </xdr:from>
    <xdr:to>
      <xdr:col>1</xdr:col>
      <xdr:colOff>76200</xdr:colOff>
      <xdr:row>105</xdr:row>
      <xdr:rowOff>19050</xdr:rowOff>
    </xdr:to>
    <xdr:sp macro="" textlink="">
      <xdr:nvSpPr>
        <xdr:cNvPr id="377679" name="Text Box 857"/>
        <xdr:cNvSpPr txBox="1">
          <a:spLocks noChangeArrowheads="1"/>
        </xdr:cNvSpPr>
      </xdr:nvSpPr>
      <xdr:spPr bwMode="auto">
        <a:xfrm>
          <a:off x="1152525" y="19812000"/>
          <a:ext cx="76200" cy="209550"/>
        </a:xfrm>
        <a:prstGeom prst="rect">
          <a:avLst/>
        </a:prstGeom>
        <a:noFill/>
        <a:ln w="9525">
          <a:noFill/>
          <a:miter lim="800000"/>
          <a:headEnd/>
          <a:tailEnd/>
        </a:ln>
      </xdr:spPr>
    </xdr:sp>
    <xdr:clientData/>
  </xdr:twoCellAnchor>
  <xdr:twoCellAnchor editAs="oneCell">
    <xdr:from>
      <xdr:col>1</xdr:col>
      <xdr:colOff>0</xdr:colOff>
      <xdr:row>104</xdr:row>
      <xdr:rowOff>0</xdr:rowOff>
    </xdr:from>
    <xdr:to>
      <xdr:col>1</xdr:col>
      <xdr:colOff>76200</xdr:colOff>
      <xdr:row>105</xdr:row>
      <xdr:rowOff>19050</xdr:rowOff>
    </xdr:to>
    <xdr:sp macro="" textlink="">
      <xdr:nvSpPr>
        <xdr:cNvPr id="377680" name="Text Box 858"/>
        <xdr:cNvSpPr txBox="1">
          <a:spLocks noChangeArrowheads="1"/>
        </xdr:cNvSpPr>
      </xdr:nvSpPr>
      <xdr:spPr bwMode="auto">
        <a:xfrm>
          <a:off x="1152525" y="19812000"/>
          <a:ext cx="76200" cy="209550"/>
        </a:xfrm>
        <a:prstGeom prst="rect">
          <a:avLst/>
        </a:prstGeom>
        <a:noFill/>
        <a:ln w="9525">
          <a:noFill/>
          <a:miter lim="800000"/>
          <a:headEnd/>
          <a:tailEnd/>
        </a:ln>
      </xdr:spPr>
    </xdr:sp>
    <xdr:clientData/>
  </xdr:twoCellAnchor>
  <xdr:twoCellAnchor editAs="oneCell">
    <xdr:from>
      <xdr:col>1</xdr:col>
      <xdr:colOff>0</xdr:colOff>
      <xdr:row>105</xdr:row>
      <xdr:rowOff>0</xdr:rowOff>
    </xdr:from>
    <xdr:to>
      <xdr:col>1</xdr:col>
      <xdr:colOff>76200</xdr:colOff>
      <xdr:row>106</xdr:row>
      <xdr:rowOff>19050</xdr:rowOff>
    </xdr:to>
    <xdr:sp macro="" textlink="">
      <xdr:nvSpPr>
        <xdr:cNvPr id="377681" name="Text Box 859"/>
        <xdr:cNvSpPr txBox="1">
          <a:spLocks noChangeArrowheads="1"/>
        </xdr:cNvSpPr>
      </xdr:nvSpPr>
      <xdr:spPr bwMode="auto">
        <a:xfrm>
          <a:off x="1152525" y="20002500"/>
          <a:ext cx="76200" cy="209550"/>
        </a:xfrm>
        <a:prstGeom prst="rect">
          <a:avLst/>
        </a:prstGeom>
        <a:noFill/>
        <a:ln w="9525">
          <a:noFill/>
          <a:miter lim="800000"/>
          <a:headEnd/>
          <a:tailEnd/>
        </a:ln>
      </xdr:spPr>
    </xdr:sp>
    <xdr:clientData/>
  </xdr:twoCellAnchor>
  <xdr:twoCellAnchor editAs="oneCell">
    <xdr:from>
      <xdr:col>1</xdr:col>
      <xdr:colOff>0</xdr:colOff>
      <xdr:row>105</xdr:row>
      <xdr:rowOff>0</xdr:rowOff>
    </xdr:from>
    <xdr:to>
      <xdr:col>1</xdr:col>
      <xdr:colOff>76200</xdr:colOff>
      <xdr:row>106</xdr:row>
      <xdr:rowOff>19050</xdr:rowOff>
    </xdr:to>
    <xdr:sp macro="" textlink="">
      <xdr:nvSpPr>
        <xdr:cNvPr id="377682" name="Text Box 860"/>
        <xdr:cNvSpPr txBox="1">
          <a:spLocks noChangeArrowheads="1"/>
        </xdr:cNvSpPr>
      </xdr:nvSpPr>
      <xdr:spPr bwMode="auto">
        <a:xfrm>
          <a:off x="1152525" y="20002500"/>
          <a:ext cx="76200" cy="209550"/>
        </a:xfrm>
        <a:prstGeom prst="rect">
          <a:avLst/>
        </a:prstGeom>
        <a:noFill/>
        <a:ln w="9525">
          <a:noFill/>
          <a:miter lim="800000"/>
          <a:headEnd/>
          <a:tailEnd/>
        </a:ln>
      </xdr:spPr>
    </xdr:sp>
    <xdr:clientData/>
  </xdr:twoCellAnchor>
  <xdr:twoCellAnchor editAs="oneCell">
    <xdr:from>
      <xdr:col>1</xdr:col>
      <xdr:colOff>0</xdr:colOff>
      <xdr:row>105</xdr:row>
      <xdr:rowOff>0</xdr:rowOff>
    </xdr:from>
    <xdr:to>
      <xdr:col>1</xdr:col>
      <xdr:colOff>76200</xdr:colOff>
      <xdr:row>106</xdr:row>
      <xdr:rowOff>19050</xdr:rowOff>
    </xdr:to>
    <xdr:sp macro="" textlink="">
      <xdr:nvSpPr>
        <xdr:cNvPr id="377683" name="Text Box 861"/>
        <xdr:cNvSpPr txBox="1">
          <a:spLocks noChangeArrowheads="1"/>
        </xdr:cNvSpPr>
      </xdr:nvSpPr>
      <xdr:spPr bwMode="auto">
        <a:xfrm>
          <a:off x="1152525" y="20002500"/>
          <a:ext cx="76200" cy="209550"/>
        </a:xfrm>
        <a:prstGeom prst="rect">
          <a:avLst/>
        </a:prstGeom>
        <a:noFill/>
        <a:ln w="9525">
          <a:noFill/>
          <a:miter lim="800000"/>
          <a:headEnd/>
          <a:tailEnd/>
        </a:ln>
      </xdr:spPr>
    </xdr:sp>
    <xdr:clientData/>
  </xdr:twoCellAnchor>
  <xdr:twoCellAnchor editAs="oneCell">
    <xdr:from>
      <xdr:col>1</xdr:col>
      <xdr:colOff>0</xdr:colOff>
      <xdr:row>105</xdr:row>
      <xdr:rowOff>0</xdr:rowOff>
    </xdr:from>
    <xdr:to>
      <xdr:col>1</xdr:col>
      <xdr:colOff>76200</xdr:colOff>
      <xdr:row>106</xdr:row>
      <xdr:rowOff>19050</xdr:rowOff>
    </xdr:to>
    <xdr:sp macro="" textlink="">
      <xdr:nvSpPr>
        <xdr:cNvPr id="377684" name="Text Box 862"/>
        <xdr:cNvSpPr txBox="1">
          <a:spLocks noChangeArrowheads="1"/>
        </xdr:cNvSpPr>
      </xdr:nvSpPr>
      <xdr:spPr bwMode="auto">
        <a:xfrm>
          <a:off x="1152525" y="20002500"/>
          <a:ext cx="76200" cy="209550"/>
        </a:xfrm>
        <a:prstGeom prst="rect">
          <a:avLst/>
        </a:prstGeom>
        <a:noFill/>
        <a:ln w="9525">
          <a:noFill/>
          <a:miter lim="800000"/>
          <a:headEnd/>
          <a:tailEnd/>
        </a:ln>
      </xdr:spPr>
    </xdr:sp>
    <xdr:clientData/>
  </xdr:twoCellAnchor>
  <xdr:twoCellAnchor editAs="oneCell">
    <xdr:from>
      <xdr:col>1</xdr:col>
      <xdr:colOff>0</xdr:colOff>
      <xdr:row>106</xdr:row>
      <xdr:rowOff>0</xdr:rowOff>
    </xdr:from>
    <xdr:to>
      <xdr:col>1</xdr:col>
      <xdr:colOff>76200</xdr:colOff>
      <xdr:row>107</xdr:row>
      <xdr:rowOff>19050</xdr:rowOff>
    </xdr:to>
    <xdr:sp macro="" textlink="">
      <xdr:nvSpPr>
        <xdr:cNvPr id="377685" name="Text Box 863"/>
        <xdr:cNvSpPr txBox="1">
          <a:spLocks noChangeArrowheads="1"/>
        </xdr:cNvSpPr>
      </xdr:nvSpPr>
      <xdr:spPr bwMode="auto">
        <a:xfrm>
          <a:off x="1152525" y="20193000"/>
          <a:ext cx="76200" cy="209550"/>
        </a:xfrm>
        <a:prstGeom prst="rect">
          <a:avLst/>
        </a:prstGeom>
        <a:noFill/>
        <a:ln w="9525">
          <a:noFill/>
          <a:miter lim="800000"/>
          <a:headEnd/>
          <a:tailEnd/>
        </a:ln>
      </xdr:spPr>
    </xdr:sp>
    <xdr:clientData/>
  </xdr:twoCellAnchor>
  <xdr:twoCellAnchor editAs="oneCell">
    <xdr:from>
      <xdr:col>1</xdr:col>
      <xdr:colOff>0</xdr:colOff>
      <xdr:row>106</xdr:row>
      <xdr:rowOff>0</xdr:rowOff>
    </xdr:from>
    <xdr:to>
      <xdr:col>1</xdr:col>
      <xdr:colOff>76200</xdr:colOff>
      <xdr:row>107</xdr:row>
      <xdr:rowOff>19050</xdr:rowOff>
    </xdr:to>
    <xdr:sp macro="" textlink="">
      <xdr:nvSpPr>
        <xdr:cNvPr id="377686" name="Text Box 864"/>
        <xdr:cNvSpPr txBox="1">
          <a:spLocks noChangeArrowheads="1"/>
        </xdr:cNvSpPr>
      </xdr:nvSpPr>
      <xdr:spPr bwMode="auto">
        <a:xfrm>
          <a:off x="1152525" y="20193000"/>
          <a:ext cx="76200" cy="209550"/>
        </a:xfrm>
        <a:prstGeom prst="rect">
          <a:avLst/>
        </a:prstGeom>
        <a:noFill/>
        <a:ln w="9525">
          <a:noFill/>
          <a:miter lim="800000"/>
          <a:headEnd/>
          <a:tailEnd/>
        </a:ln>
      </xdr:spPr>
    </xdr:sp>
    <xdr:clientData/>
  </xdr:twoCellAnchor>
  <xdr:twoCellAnchor editAs="oneCell">
    <xdr:from>
      <xdr:col>1</xdr:col>
      <xdr:colOff>0</xdr:colOff>
      <xdr:row>106</xdr:row>
      <xdr:rowOff>0</xdr:rowOff>
    </xdr:from>
    <xdr:to>
      <xdr:col>1</xdr:col>
      <xdr:colOff>76200</xdr:colOff>
      <xdr:row>107</xdr:row>
      <xdr:rowOff>19050</xdr:rowOff>
    </xdr:to>
    <xdr:sp macro="" textlink="">
      <xdr:nvSpPr>
        <xdr:cNvPr id="377687" name="Text Box 865"/>
        <xdr:cNvSpPr txBox="1">
          <a:spLocks noChangeArrowheads="1"/>
        </xdr:cNvSpPr>
      </xdr:nvSpPr>
      <xdr:spPr bwMode="auto">
        <a:xfrm>
          <a:off x="1152525" y="20193000"/>
          <a:ext cx="76200" cy="209550"/>
        </a:xfrm>
        <a:prstGeom prst="rect">
          <a:avLst/>
        </a:prstGeom>
        <a:noFill/>
        <a:ln w="9525">
          <a:noFill/>
          <a:miter lim="800000"/>
          <a:headEnd/>
          <a:tailEnd/>
        </a:ln>
      </xdr:spPr>
    </xdr:sp>
    <xdr:clientData/>
  </xdr:twoCellAnchor>
  <xdr:twoCellAnchor editAs="oneCell">
    <xdr:from>
      <xdr:col>1</xdr:col>
      <xdr:colOff>0</xdr:colOff>
      <xdr:row>106</xdr:row>
      <xdr:rowOff>0</xdr:rowOff>
    </xdr:from>
    <xdr:to>
      <xdr:col>1</xdr:col>
      <xdr:colOff>76200</xdr:colOff>
      <xdr:row>107</xdr:row>
      <xdr:rowOff>19050</xdr:rowOff>
    </xdr:to>
    <xdr:sp macro="" textlink="">
      <xdr:nvSpPr>
        <xdr:cNvPr id="377688" name="Text Box 866"/>
        <xdr:cNvSpPr txBox="1">
          <a:spLocks noChangeArrowheads="1"/>
        </xdr:cNvSpPr>
      </xdr:nvSpPr>
      <xdr:spPr bwMode="auto">
        <a:xfrm>
          <a:off x="1152525" y="20193000"/>
          <a:ext cx="76200" cy="209550"/>
        </a:xfrm>
        <a:prstGeom prst="rect">
          <a:avLst/>
        </a:prstGeom>
        <a:noFill/>
        <a:ln w="9525">
          <a:noFill/>
          <a:miter lim="800000"/>
          <a:headEnd/>
          <a:tailEnd/>
        </a:ln>
      </xdr:spPr>
    </xdr:sp>
    <xdr:clientData/>
  </xdr:twoCellAnchor>
  <xdr:twoCellAnchor editAs="oneCell">
    <xdr:from>
      <xdr:col>1</xdr:col>
      <xdr:colOff>0</xdr:colOff>
      <xdr:row>107</xdr:row>
      <xdr:rowOff>0</xdr:rowOff>
    </xdr:from>
    <xdr:to>
      <xdr:col>1</xdr:col>
      <xdr:colOff>76200</xdr:colOff>
      <xdr:row>108</xdr:row>
      <xdr:rowOff>19050</xdr:rowOff>
    </xdr:to>
    <xdr:sp macro="" textlink="">
      <xdr:nvSpPr>
        <xdr:cNvPr id="377689" name="Text Box 867"/>
        <xdr:cNvSpPr txBox="1">
          <a:spLocks noChangeArrowheads="1"/>
        </xdr:cNvSpPr>
      </xdr:nvSpPr>
      <xdr:spPr bwMode="auto">
        <a:xfrm>
          <a:off x="1152525" y="20383500"/>
          <a:ext cx="76200" cy="209550"/>
        </a:xfrm>
        <a:prstGeom prst="rect">
          <a:avLst/>
        </a:prstGeom>
        <a:noFill/>
        <a:ln w="9525">
          <a:noFill/>
          <a:miter lim="800000"/>
          <a:headEnd/>
          <a:tailEnd/>
        </a:ln>
      </xdr:spPr>
    </xdr:sp>
    <xdr:clientData/>
  </xdr:twoCellAnchor>
  <xdr:twoCellAnchor editAs="oneCell">
    <xdr:from>
      <xdr:col>1</xdr:col>
      <xdr:colOff>0</xdr:colOff>
      <xdr:row>107</xdr:row>
      <xdr:rowOff>0</xdr:rowOff>
    </xdr:from>
    <xdr:to>
      <xdr:col>1</xdr:col>
      <xdr:colOff>76200</xdr:colOff>
      <xdr:row>108</xdr:row>
      <xdr:rowOff>19050</xdr:rowOff>
    </xdr:to>
    <xdr:sp macro="" textlink="">
      <xdr:nvSpPr>
        <xdr:cNvPr id="377690" name="Text Box 868"/>
        <xdr:cNvSpPr txBox="1">
          <a:spLocks noChangeArrowheads="1"/>
        </xdr:cNvSpPr>
      </xdr:nvSpPr>
      <xdr:spPr bwMode="auto">
        <a:xfrm>
          <a:off x="1152525" y="20383500"/>
          <a:ext cx="76200" cy="209550"/>
        </a:xfrm>
        <a:prstGeom prst="rect">
          <a:avLst/>
        </a:prstGeom>
        <a:noFill/>
        <a:ln w="9525">
          <a:noFill/>
          <a:miter lim="800000"/>
          <a:headEnd/>
          <a:tailEnd/>
        </a:ln>
      </xdr:spPr>
    </xdr:sp>
    <xdr:clientData/>
  </xdr:twoCellAnchor>
  <xdr:twoCellAnchor editAs="oneCell">
    <xdr:from>
      <xdr:col>1</xdr:col>
      <xdr:colOff>0</xdr:colOff>
      <xdr:row>107</xdr:row>
      <xdr:rowOff>0</xdr:rowOff>
    </xdr:from>
    <xdr:to>
      <xdr:col>1</xdr:col>
      <xdr:colOff>76200</xdr:colOff>
      <xdr:row>108</xdr:row>
      <xdr:rowOff>19050</xdr:rowOff>
    </xdr:to>
    <xdr:sp macro="" textlink="">
      <xdr:nvSpPr>
        <xdr:cNvPr id="377691" name="Text Box 869"/>
        <xdr:cNvSpPr txBox="1">
          <a:spLocks noChangeArrowheads="1"/>
        </xdr:cNvSpPr>
      </xdr:nvSpPr>
      <xdr:spPr bwMode="auto">
        <a:xfrm>
          <a:off x="1152525" y="20383500"/>
          <a:ext cx="76200" cy="209550"/>
        </a:xfrm>
        <a:prstGeom prst="rect">
          <a:avLst/>
        </a:prstGeom>
        <a:noFill/>
        <a:ln w="9525">
          <a:noFill/>
          <a:miter lim="800000"/>
          <a:headEnd/>
          <a:tailEnd/>
        </a:ln>
      </xdr:spPr>
    </xdr:sp>
    <xdr:clientData/>
  </xdr:twoCellAnchor>
  <xdr:twoCellAnchor editAs="oneCell">
    <xdr:from>
      <xdr:col>1</xdr:col>
      <xdr:colOff>0</xdr:colOff>
      <xdr:row>107</xdr:row>
      <xdr:rowOff>0</xdr:rowOff>
    </xdr:from>
    <xdr:to>
      <xdr:col>1</xdr:col>
      <xdr:colOff>76200</xdr:colOff>
      <xdr:row>108</xdr:row>
      <xdr:rowOff>19050</xdr:rowOff>
    </xdr:to>
    <xdr:sp macro="" textlink="">
      <xdr:nvSpPr>
        <xdr:cNvPr id="377692" name="Text Box 870"/>
        <xdr:cNvSpPr txBox="1">
          <a:spLocks noChangeArrowheads="1"/>
        </xdr:cNvSpPr>
      </xdr:nvSpPr>
      <xdr:spPr bwMode="auto">
        <a:xfrm>
          <a:off x="1152525" y="20383500"/>
          <a:ext cx="76200" cy="209550"/>
        </a:xfrm>
        <a:prstGeom prst="rect">
          <a:avLst/>
        </a:prstGeom>
        <a:noFill/>
        <a:ln w="9525">
          <a:noFill/>
          <a:miter lim="800000"/>
          <a:headEnd/>
          <a:tailEnd/>
        </a:ln>
      </xdr:spPr>
    </xdr:sp>
    <xdr:clientData/>
  </xdr:twoCellAnchor>
  <xdr:twoCellAnchor editAs="oneCell">
    <xdr:from>
      <xdr:col>1</xdr:col>
      <xdr:colOff>0</xdr:colOff>
      <xdr:row>108</xdr:row>
      <xdr:rowOff>0</xdr:rowOff>
    </xdr:from>
    <xdr:to>
      <xdr:col>1</xdr:col>
      <xdr:colOff>76200</xdr:colOff>
      <xdr:row>109</xdr:row>
      <xdr:rowOff>19050</xdr:rowOff>
    </xdr:to>
    <xdr:sp macro="" textlink="">
      <xdr:nvSpPr>
        <xdr:cNvPr id="377693" name="Text Box 871"/>
        <xdr:cNvSpPr txBox="1">
          <a:spLocks noChangeArrowheads="1"/>
        </xdr:cNvSpPr>
      </xdr:nvSpPr>
      <xdr:spPr bwMode="auto">
        <a:xfrm>
          <a:off x="1152525" y="20574000"/>
          <a:ext cx="76200" cy="209550"/>
        </a:xfrm>
        <a:prstGeom prst="rect">
          <a:avLst/>
        </a:prstGeom>
        <a:noFill/>
        <a:ln w="9525">
          <a:noFill/>
          <a:miter lim="800000"/>
          <a:headEnd/>
          <a:tailEnd/>
        </a:ln>
      </xdr:spPr>
    </xdr:sp>
    <xdr:clientData/>
  </xdr:twoCellAnchor>
  <xdr:twoCellAnchor editAs="oneCell">
    <xdr:from>
      <xdr:col>1</xdr:col>
      <xdr:colOff>0</xdr:colOff>
      <xdr:row>108</xdr:row>
      <xdr:rowOff>0</xdr:rowOff>
    </xdr:from>
    <xdr:to>
      <xdr:col>1</xdr:col>
      <xdr:colOff>76200</xdr:colOff>
      <xdr:row>109</xdr:row>
      <xdr:rowOff>19050</xdr:rowOff>
    </xdr:to>
    <xdr:sp macro="" textlink="">
      <xdr:nvSpPr>
        <xdr:cNvPr id="377694" name="Text Box 872"/>
        <xdr:cNvSpPr txBox="1">
          <a:spLocks noChangeArrowheads="1"/>
        </xdr:cNvSpPr>
      </xdr:nvSpPr>
      <xdr:spPr bwMode="auto">
        <a:xfrm>
          <a:off x="1152525" y="20574000"/>
          <a:ext cx="76200" cy="209550"/>
        </a:xfrm>
        <a:prstGeom prst="rect">
          <a:avLst/>
        </a:prstGeom>
        <a:noFill/>
        <a:ln w="9525">
          <a:noFill/>
          <a:miter lim="800000"/>
          <a:headEnd/>
          <a:tailEnd/>
        </a:ln>
      </xdr:spPr>
    </xdr:sp>
    <xdr:clientData/>
  </xdr:twoCellAnchor>
  <xdr:twoCellAnchor editAs="oneCell">
    <xdr:from>
      <xdr:col>1</xdr:col>
      <xdr:colOff>0</xdr:colOff>
      <xdr:row>108</xdr:row>
      <xdr:rowOff>0</xdr:rowOff>
    </xdr:from>
    <xdr:to>
      <xdr:col>1</xdr:col>
      <xdr:colOff>76200</xdr:colOff>
      <xdr:row>109</xdr:row>
      <xdr:rowOff>19050</xdr:rowOff>
    </xdr:to>
    <xdr:sp macro="" textlink="">
      <xdr:nvSpPr>
        <xdr:cNvPr id="377695" name="Text Box 873"/>
        <xdr:cNvSpPr txBox="1">
          <a:spLocks noChangeArrowheads="1"/>
        </xdr:cNvSpPr>
      </xdr:nvSpPr>
      <xdr:spPr bwMode="auto">
        <a:xfrm>
          <a:off x="1152525" y="20574000"/>
          <a:ext cx="76200" cy="209550"/>
        </a:xfrm>
        <a:prstGeom prst="rect">
          <a:avLst/>
        </a:prstGeom>
        <a:noFill/>
        <a:ln w="9525">
          <a:noFill/>
          <a:miter lim="800000"/>
          <a:headEnd/>
          <a:tailEnd/>
        </a:ln>
      </xdr:spPr>
    </xdr:sp>
    <xdr:clientData/>
  </xdr:twoCellAnchor>
  <xdr:twoCellAnchor editAs="oneCell">
    <xdr:from>
      <xdr:col>1</xdr:col>
      <xdr:colOff>0</xdr:colOff>
      <xdr:row>108</xdr:row>
      <xdr:rowOff>0</xdr:rowOff>
    </xdr:from>
    <xdr:to>
      <xdr:col>1</xdr:col>
      <xdr:colOff>76200</xdr:colOff>
      <xdr:row>109</xdr:row>
      <xdr:rowOff>19050</xdr:rowOff>
    </xdr:to>
    <xdr:sp macro="" textlink="">
      <xdr:nvSpPr>
        <xdr:cNvPr id="377696" name="Text Box 874"/>
        <xdr:cNvSpPr txBox="1">
          <a:spLocks noChangeArrowheads="1"/>
        </xdr:cNvSpPr>
      </xdr:nvSpPr>
      <xdr:spPr bwMode="auto">
        <a:xfrm>
          <a:off x="1152525" y="20574000"/>
          <a:ext cx="76200" cy="209550"/>
        </a:xfrm>
        <a:prstGeom prst="rect">
          <a:avLst/>
        </a:prstGeom>
        <a:noFill/>
        <a:ln w="9525">
          <a:noFill/>
          <a:miter lim="800000"/>
          <a:headEnd/>
          <a:tailEnd/>
        </a:ln>
      </xdr:spPr>
    </xdr:sp>
    <xdr:clientData/>
  </xdr:twoCellAnchor>
  <xdr:twoCellAnchor editAs="oneCell">
    <xdr:from>
      <xdr:col>1</xdr:col>
      <xdr:colOff>0</xdr:colOff>
      <xdr:row>109</xdr:row>
      <xdr:rowOff>0</xdr:rowOff>
    </xdr:from>
    <xdr:to>
      <xdr:col>1</xdr:col>
      <xdr:colOff>76200</xdr:colOff>
      <xdr:row>110</xdr:row>
      <xdr:rowOff>19050</xdr:rowOff>
    </xdr:to>
    <xdr:sp macro="" textlink="">
      <xdr:nvSpPr>
        <xdr:cNvPr id="377697" name="Text Box 875"/>
        <xdr:cNvSpPr txBox="1">
          <a:spLocks noChangeArrowheads="1"/>
        </xdr:cNvSpPr>
      </xdr:nvSpPr>
      <xdr:spPr bwMode="auto">
        <a:xfrm>
          <a:off x="1152525" y="20764500"/>
          <a:ext cx="76200" cy="209550"/>
        </a:xfrm>
        <a:prstGeom prst="rect">
          <a:avLst/>
        </a:prstGeom>
        <a:noFill/>
        <a:ln w="9525">
          <a:noFill/>
          <a:miter lim="800000"/>
          <a:headEnd/>
          <a:tailEnd/>
        </a:ln>
      </xdr:spPr>
    </xdr:sp>
    <xdr:clientData/>
  </xdr:twoCellAnchor>
  <xdr:twoCellAnchor editAs="oneCell">
    <xdr:from>
      <xdr:col>1</xdr:col>
      <xdr:colOff>0</xdr:colOff>
      <xdr:row>109</xdr:row>
      <xdr:rowOff>0</xdr:rowOff>
    </xdr:from>
    <xdr:to>
      <xdr:col>1</xdr:col>
      <xdr:colOff>76200</xdr:colOff>
      <xdr:row>110</xdr:row>
      <xdr:rowOff>19050</xdr:rowOff>
    </xdr:to>
    <xdr:sp macro="" textlink="">
      <xdr:nvSpPr>
        <xdr:cNvPr id="377698" name="Text Box 876"/>
        <xdr:cNvSpPr txBox="1">
          <a:spLocks noChangeArrowheads="1"/>
        </xdr:cNvSpPr>
      </xdr:nvSpPr>
      <xdr:spPr bwMode="auto">
        <a:xfrm>
          <a:off x="1152525" y="20764500"/>
          <a:ext cx="76200" cy="209550"/>
        </a:xfrm>
        <a:prstGeom prst="rect">
          <a:avLst/>
        </a:prstGeom>
        <a:noFill/>
        <a:ln w="9525">
          <a:noFill/>
          <a:miter lim="800000"/>
          <a:headEnd/>
          <a:tailEnd/>
        </a:ln>
      </xdr:spPr>
    </xdr:sp>
    <xdr:clientData/>
  </xdr:twoCellAnchor>
  <xdr:twoCellAnchor editAs="oneCell">
    <xdr:from>
      <xdr:col>1</xdr:col>
      <xdr:colOff>0</xdr:colOff>
      <xdr:row>109</xdr:row>
      <xdr:rowOff>0</xdr:rowOff>
    </xdr:from>
    <xdr:to>
      <xdr:col>1</xdr:col>
      <xdr:colOff>76200</xdr:colOff>
      <xdr:row>110</xdr:row>
      <xdr:rowOff>19050</xdr:rowOff>
    </xdr:to>
    <xdr:sp macro="" textlink="">
      <xdr:nvSpPr>
        <xdr:cNvPr id="377699" name="Text Box 877"/>
        <xdr:cNvSpPr txBox="1">
          <a:spLocks noChangeArrowheads="1"/>
        </xdr:cNvSpPr>
      </xdr:nvSpPr>
      <xdr:spPr bwMode="auto">
        <a:xfrm>
          <a:off x="1152525" y="20764500"/>
          <a:ext cx="76200" cy="209550"/>
        </a:xfrm>
        <a:prstGeom prst="rect">
          <a:avLst/>
        </a:prstGeom>
        <a:noFill/>
        <a:ln w="9525">
          <a:noFill/>
          <a:miter lim="800000"/>
          <a:headEnd/>
          <a:tailEnd/>
        </a:ln>
      </xdr:spPr>
    </xdr:sp>
    <xdr:clientData/>
  </xdr:twoCellAnchor>
  <xdr:twoCellAnchor editAs="oneCell">
    <xdr:from>
      <xdr:col>1</xdr:col>
      <xdr:colOff>0</xdr:colOff>
      <xdr:row>109</xdr:row>
      <xdr:rowOff>0</xdr:rowOff>
    </xdr:from>
    <xdr:to>
      <xdr:col>1</xdr:col>
      <xdr:colOff>76200</xdr:colOff>
      <xdr:row>110</xdr:row>
      <xdr:rowOff>19050</xdr:rowOff>
    </xdr:to>
    <xdr:sp macro="" textlink="">
      <xdr:nvSpPr>
        <xdr:cNvPr id="377700" name="Text Box 878"/>
        <xdr:cNvSpPr txBox="1">
          <a:spLocks noChangeArrowheads="1"/>
        </xdr:cNvSpPr>
      </xdr:nvSpPr>
      <xdr:spPr bwMode="auto">
        <a:xfrm>
          <a:off x="1152525" y="20764500"/>
          <a:ext cx="76200" cy="209550"/>
        </a:xfrm>
        <a:prstGeom prst="rect">
          <a:avLst/>
        </a:prstGeom>
        <a:noFill/>
        <a:ln w="9525">
          <a:noFill/>
          <a:miter lim="800000"/>
          <a:headEnd/>
          <a:tailEnd/>
        </a:ln>
      </xdr:spPr>
    </xdr:sp>
    <xdr:clientData/>
  </xdr:twoCellAnchor>
  <xdr:twoCellAnchor editAs="oneCell">
    <xdr:from>
      <xdr:col>1</xdr:col>
      <xdr:colOff>0</xdr:colOff>
      <xdr:row>110</xdr:row>
      <xdr:rowOff>0</xdr:rowOff>
    </xdr:from>
    <xdr:to>
      <xdr:col>1</xdr:col>
      <xdr:colOff>76200</xdr:colOff>
      <xdr:row>111</xdr:row>
      <xdr:rowOff>19050</xdr:rowOff>
    </xdr:to>
    <xdr:sp macro="" textlink="">
      <xdr:nvSpPr>
        <xdr:cNvPr id="377701" name="Text Box 879"/>
        <xdr:cNvSpPr txBox="1">
          <a:spLocks noChangeArrowheads="1"/>
        </xdr:cNvSpPr>
      </xdr:nvSpPr>
      <xdr:spPr bwMode="auto">
        <a:xfrm>
          <a:off x="1152525" y="20955000"/>
          <a:ext cx="76200" cy="209550"/>
        </a:xfrm>
        <a:prstGeom prst="rect">
          <a:avLst/>
        </a:prstGeom>
        <a:noFill/>
        <a:ln w="9525">
          <a:noFill/>
          <a:miter lim="800000"/>
          <a:headEnd/>
          <a:tailEnd/>
        </a:ln>
      </xdr:spPr>
    </xdr:sp>
    <xdr:clientData/>
  </xdr:twoCellAnchor>
  <xdr:twoCellAnchor editAs="oneCell">
    <xdr:from>
      <xdr:col>1</xdr:col>
      <xdr:colOff>0</xdr:colOff>
      <xdr:row>110</xdr:row>
      <xdr:rowOff>0</xdr:rowOff>
    </xdr:from>
    <xdr:to>
      <xdr:col>1</xdr:col>
      <xdr:colOff>76200</xdr:colOff>
      <xdr:row>111</xdr:row>
      <xdr:rowOff>19050</xdr:rowOff>
    </xdr:to>
    <xdr:sp macro="" textlink="">
      <xdr:nvSpPr>
        <xdr:cNvPr id="377702" name="Text Box 880"/>
        <xdr:cNvSpPr txBox="1">
          <a:spLocks noChangeArrowheads="1"/>
        </xdr:cNvSpPr>
      </xdr:nvSpPr>
      <xdr:spPr bwMode="auto">
        <a:xfrm>
          <a:off x="1152525" y="20955000"/>
          <a:ext cx="76200" cy="209550"/>
        </a:xfrm>
        <a:prstGeom prst="rect">
          <a:avLst/>
        </a:prstGeom>
        <a:noFill/>
        <a:ln w="9525">
          <a:noFill/>
          <a:miter lim="800000"/>
          <a:headEnd/>
          <a:tailEnd/>
        </a:ln>
      </xdr:spPr>
    </xdr:sp>
    <xdr:clientData/>
  </xdr:twoCellAnchor>
  <xdr:twoCellAnchor editAs="oneCell">
    <xdr:from>
      <xdr:col>1</xdr:col>
      <xdr:colOff>0</xdr:colOff>
      <xdr:row>110</xdr:row>
      <xdr:rowOff>0</xdr:rowOff>
    </xdr:from>
    <xdr:to>
      <xdr:col>1</xdr:col>
      <xdr:colOff>76200</xdr:colOff>
      <xdr:row>111</xdr:row>
      <xdr:rowOff>19050</xdr:rowOff>
    </xdr:to>
    <xdr:sp macro="" textlink="">
      <xdr:nvSpPr>
        <xdr:cNvPr id="377703" name="Text Box 881"/>
        <xdr:cNvSpPr txBox="1">
          <a:spLocks noChangeArrowheads="1"/>
        </xdr:cNvSpPr>
      </xdr:nvSpPr>
      <xdr:spPr bwMode="auto">
        <a:xfrm>
          <a:off x="1152525" y="20955000"/>
          <a:ext cx="76200" cy="209550"/>
        </a:xfrm>
        <a:prstGeom prst="rect">
          <a:avLst/>
        </a:prstGeom>
        <a:noFill/>
        <a:ln w="9525">
          <a:noFill/>
          <a:miter lim="800000"/>
          <a:headEnd/>
          <a:tailEnd/>
        </a:ln>
      </xdr:spPr>
    </xdr:sp>
    <xdr:clientData/>
  </xdr:twoCellAnchor>
  <xdr:twoCellAnchor editAs="oneCell">
    <xdr:from>
      <xdr:col>1</xdr:col>
      <xdr:colOff>0</xdr:colOff>
      <xdr:row>110</xdr:row>
      <xdr:rowOff>0</xdr:rowOff>
    </xdr:from>
    <xdr:to>
      <xdr:col>1</xdr:col>
      <xdr:colOff>76200</xdr:colOff>
      <xdr:row>111</xdr:row>
      <xdr:rowOff>19050</xdr:rowOff>
    </xdr:to>
    <xdr:sp macro="" textlink="">
      <xdr:nvSpPr>
        <xdr:cNvPr id="377704" name="Text Box 882"/>
        <xdr:cNvSpPr txBox="1">
          <a:spLocks noChangeArrowheads="1"/>
        </xdr:cNvSpPr>
      </xdr:nvSpPr>
      <xdr:spPr bwMode="auto">
        <a:xfrm>
          <a:off x="1152525" y="20955000"/>
          <a:ext cx="76200" cy="209550"/>
        </a:xfrm>
        <a:prstGeom prst="rect">
          <a:avLst/>
        </a:prstGeom>
        <a:noFill/>
        <a:ln w="9525">
          <a:noFill/>
          <a:miter lim="800000"/>
          <a:headEnd/>
          <a:tailEnd/>
        </a:ln>
      </xdr:spPr>
    </xdr:sp>
    <xdr:clientData/>
  </xdr:twoCellAnchor>
  <xdr:twoCellAnchor editAs="oneCell">
    <xdr:from>
      <xdr:col>1</xdr:col>
      <xdr:colOff>0</xdr:colOff>
      <xdr:row>111</xdr:row>
      <xdr:rowOff>0</xdr:rowOff>
    </xdr:from>
    <xdr:to>
      <xdr:col>1</xdr:col>
      <xdr:colOff>76200</xdr:colOff>
      <xdr:row>112</xdr:row>
      <xdr:rowOff>19050</xdr:rowOff>
    </xdr:to>
    <xdr:sp macro="" textlink="">
      <xdr:nvSpPr>
        <xdr:cNvPr id="377705" name="Text Box 883"/>
        <xdr:cNvSpPr txBox="1">
          <a:spLocks noChangeArrowheads="1"/>
        </xdr:cNvSpPr>
      </xdr:nvSpPr>
      <xdr:spPr bwMode="auto">
        <a:xfrm>
          <a:off x="1152525" y="21145500"/>
          <a:ext cx="76200" cy="209550"/>
        </a:xfrm>
        <a:prstGeom prst="rect">
          <a:avLst/>
        </a:prstGeom>
        <a:noFill/>
        <a:ln w="9525">
          <a:noFill/>
          <a:miter lim="800000"/>
          <a:headEnd/>
          <a:tailEnd/>
        </a:ln>
      </xdr:spPr>
    </xdr:sp>
    <xdr:clientData/>
  </xdr:twoCellAnchor>
  <xdr:twoCellAnchor editAs="oneCell">
    <xdr:from>
      <xdr:col>1</xdr:col>
      <xdr:colOff>0</xdr:colOff>
      <xdr:row>111</xdr:row>
      <xdr:rowOff>0</xdr:rowOff>
    </xdr:from>
    <xdr:to>
      <xdr:col>1</xdr:col>
      <xdr:colOff>76200</xdr:colOff>
      <xdr:row>112</xdr:row>
      <xdr:rowOff>19050</xdr:rowOff>
    </xdr:to>
    <xdr:sp macro="" textlink="">
      <xdr:nvSpPr>
        <xdr:cNvPr id="377706" name="Text Box 884"/>
        <xdr:cNvSpPr txBox="1">
          <a:spLocks noChangeArrowheads="1"/>
        </xdr:cNvSpPr>
      </xdr:nvSpPr>
      <xdr:spPr bwMode="auto">
        <a:xfrm>
          <a:off x="1152525" y="21145500"/>
          <a:ext cx="76200" cy="209550"/>
        </a:xfrm>
        <a:prstGeom prst="rect">
          <a:avLst/>
        </a:prstGeom>
        <a:noFill/>
        <a:ln w="9525">
          <a:noFill/>
          <a:miter lim="800000"/>
          <a:headEnd/>
          <a:tailEnd/>
        </a:ln>
      </xdr:spPr>
    </xdr:sp>
    <xdr:clientData/>
  </xdr:twoCellAnchor>
  <xdr:twoCellAnchor editAs="oneCell">
    <xdr:from>
      <xdr:col>1</xdr:col>
      <xdr:colOff>0</xdr:colOff>
      <xdr:row>111</xdr:row>
      <xdr:rowOff>0</xdr:rowOff>
    </xdr:from>
    <xdr:to>
      <xdr:col>1</xdr:col>
      <xdr:colOff>76200</xdr:colOff>
      <xdr:row>112</xdr:row>
      <xdr:rowOff>19050</xdr:rowOff>
    </xdr:to>
    <xdr:sp macro="" textlink="">
      <xdr:nvSpPr>
        <xdr:cNvPr id="377707" name="Text Box 885"/>
        <xdr:cNvSpPr txBox="1">
          <a:spLocks noChangeArrowheads="1"/>
        </xdr:cNvSpPr>
      </xdr:nvSpPr>
      <xdr:spPr bwMode="auto">
        <a:xfrm>
          <a:off x="1152525" y="21145500"/>
          <a:ext cx="76200" cy="209550"/>
        </a:xfrm>
        <a:prstGeom prst="rect">
          <a:avLst/>
        </a:prstGeom>
        <a:noFill/>
        <a:ln w="9525">
          <a:noFill/>
          <a:miter lim="800000"/>
          <a:headEnd/>
          <a:tailEnd/>
        </a:ln>
      </xdr:spPr>
    </xdr:sp>
    <xdr:clientData/>
  </xdr:twoCellAnchor>
  <xdr:twoCellAnchor editAs="oneCell">
    <xdr:from>
      <xdr:col>1</xdr:col>
      <xdr:colOff>0</xdr:colOff>
      <xdr:row>111</xdr:row>
      <xdr:rowOff>0</xdr:rowOff>
    </xdr:from>
    <xdr:to>
      <xdr:col>1</xdr:col>
      <xdr:colOff>76200</xdr:colOff>
      <xdr:row>112</xdr:row>
      <xdr:rowOff>19050</xdr:rowOff>
    </xdr:to>
    <xdr:sp macro="" textlink="">
      <xdr:nvSpPr>
        <xdr:cNvPr id="377708" name="Text Box 886"/>
        <xdr:cNvSpPr txBox="1">
          <a:spLocks noChangeArrowheads="1"/>
        </xdr:cNvSpPr>
      </xdr:nvSpPr>
      <xdr:spPr bwMode="auto">
        <a:xfrm>
          <a:off x="1152525" y="21145500"/>
          <a:ext cx="76200" cy="209550"/>
        </a:xfrm>
        <a:prstGeom prst="rect">
          <a:avLst/>
        </a:prstGeom>
        <a:noFill/>
        <a:ln w="9525">
          <a:noFill/>
          <a:miter lim="800000"/>
          <a:headEnd/>
          <a:tailEnd/>
        </a:ln>
      </xdr:spPr>
    </xdr:sp>
    <xdr:clientData/>
  </xdr:twoCellAnchor>
  <xdr:twoCellAnchor editAs="oneCell">
    <xdr:from>
      <xdr:col>1</xdr:col>
      <xdr:colOff>0</xdr:colOff>
      <xdr:row>112</xdr:row>
      <xdr:rowOff>0</xdr:rowOff>
    </xdr:from>
    <xdr:to>
      <xdr:col>1</xdr:col>
      <xdr:colOff>76200</xdr:colOff>
      <xdr:row>113</xdr:row>
      <xdr:rowOff>19050</xdr:rowOff>
    </xdr:to>
    <xdr:sp macro="" textlink="">
      <xdr:nvSpPr>
        <xdr:cNvPr id="377709" name="Text Box 887"/>
        <xdr:cNvSpPr txBox="1">
          <a:spLocks noChangeArrowheads="1"/>
        </xdr:cNvSpPr>
      </xdr:nvSpPr>
      <xdr:spPr bwMode="auto">
        <a:xfrm>
          <a:off x="1152525" y="21336000"/>
          <a:ext cx="76200" cy="209550"/>
        </a:xfrm>
        <a:prstGeom prst="rect">
          <a:avLst/>
        </a:prstGeom>
        <a:noFill/>
        <a:ln w="9525">
          <a:noFill/>
          <a:miter lim="800000"/>
          <a:headEnd/>
          <a:tailEnd/>
        </a:ln>
      </xdr:spPr>
    </xdr:sp>
    <xdr:clientData/>
  </xdr:twoCellAnchor>
  <xdr:twoCellAnchor editAs="oneCell">
    <xdr:from>
      <xdr:col>1</xdr:col>
      <xdr:colOff>0</xdr:colOff>
      <xdr:row>112</xdr:row>
      <xdr:rowOff>0</xdr:rowOff>
    </xdr:from>
    <xdr:to>
      <xdr:col>1</xdr:col>
      <xdr:colOff>76200</xdr:colOff>
      <xdr:row>113</xdr:row>
      <xdr:rowOff>19050</xdr:rowOff>
    </xdr:to>
    <xdr:sp macro="" textlink="">
      <xdr:nvSpPr>
        <xdr:cNvPr id="377710" name="Text Box 888"/>
        <xdr:cNvSpPr txBox="1">
          <a:spLocks noChangeArrowheads="1"/>
        </xdr:cNvSpPr>
      </xdr:nvSpPr>
      <xdr:spPr bwMode="auto">
        <a:xfrm>
          <a:off x="1152525" y="21336000"/>
          <a:ext cx="76200" cy="209550"/>
        </a:xfrm>
        <a:prstGeom prst="rect">
          <a:avLst/>
        </a:prstGeom>
        <a:noFill/>
        <a:ln w="9525">
          <a:noFill/>
          <a:miter lim="800000"/>
          <a:headEnd/>
          <a:tailEnd/>
        </a:ln>
      </xdr:spPr>
    </xdr:sp>
    <xdr:clientData/>
  </xdr:twoCellAnchor>
  <xdr:twoCellAnchor editAs="oneCell">
    <xdr:from>
      <xdr:col>1</xdr:col>
      <xdr:colOff>0</xdr:colOff>
      <xdr:row>112</xdr:row>
      <xdr:rowOff>0</xdr:rowOff>
    </xdr:from>
    <xdr:to>
      <xdr:col>1</xdr:col>
      <xdr:colOff>76200</xdr:colOff>
      <xdr:row>113</xdr:row>
      <xdr:rowOff>19050</xdr:rowOff>
    </xdr:to>
    <xdr:sp macro="" textlink="">
      <xdr:nvSpPr>
        <xdr:cNvPr id="377711" name="Text Box 889"/>
        <xdr:cNvSpPr txBox="1">
          <a:spLocks noChangeArrowheads="1"/>
        </xdr:cNvSpPr>
      </xdr:nvSpPr>
      <xdr:spPr bwMode="auto">
        <a:xfrm>
          <a:off x="1152525" y="21336000"/>
          <a:ext cx="76200" cy="209550"/>
        </a:xfrm>
        <a:prstGeom prst="rect">
          <a:avLst/>
        </a:prstGeom>
        <a:noFill/>
        <a:ln w="9525">
          <a:noFill/>
          <a:miter lim="800000"/>
          <a:headEnd/>
          <a:tailEnd/>
        </a:ln>
      </xdr:spPr>
    </xdr:sp>
    <xdr:clientData/>
  </xdr:twoCellAnchor>
  <xdr:twoCellAnchor editAs="oneCell">
    <xdr:from>
      <xdr:col>1</xdr:col>
      <xdr:colOff>0</xdr:colOff>
      <xdr:row>112</xdr:row>
      <xdr:rowOff>0</xdr:rowOff>
    </xdr:from>
    <xdr:to>
      <xdr:col>1</xdr:col>
      <xdr:colOff>76200</xdr:colOff>
      <xdr:row>113</xdr:row>
      <xdr:rowOff>19050</xdr:rowOff>
    </xdr:to>
    <xdr:sp macro="" textlink="">
      <xdr:nvSpPr>
        <xdr:cNvPr id="377712" name="Text Box 890"/>
        <xdr:cNvSpPr txBox="1">
          <a:spLocks noChangeArrowheads="1"/>
        </xdr:cNvSpPr>
      </xdr:nvSpPr>
      <xdr:spPr bwMode="auto">
        <a:xfrm>
          <a:off x="1152525" y="21336000"/>
          <a:ext cx="76200" cy="209550"/>
        </a:xfrm>
        <a:prstGeom prst="rect">
          <a:avLst/>
        </a:prstGeom>
        <a:noFill/>
        <a:ln w="9525">
          <a:noFill/>
          <a:miter lim="800000"/>
          <a:headEnd/>
          <a:tailEnd/>
        </a:ln>
      </xdr:spPr>
    </xdr:sp>
    <xdr:clientData/>
  </xdr:twoCellAnchor>
  <xdr:twoCellAnchor editAs="oneCell">
    <xdr:from>
      <xdr:col>1</xdr:col>
      <xdr:colOff>0</xdr:colOff>
      <xdr:row>113</xdr:row>
      <xdr:rowOff>0</xdr:rowOff>
    </xdr:from>
    <xdr:to>
      <xdr:col>1</xdr:col>
      <xdr:colOff>76200</xdr:colOff>
      <xdr:row>114</xdr:row>
      <xdr:rowOff>19050</xdr:rowOff>
    </xdr:to>
    <xdr:sp macro="" textlink="">
      <xdr:nvSpPr>
        <xdr:cNvPr id="377713" name="Text Box 891"/>
        <xdr:cNvSpPr txBox="1">
          <a:spLocks noChangeArrowheads="1"/>
        </xdr:cNvSpPr>
      </xdr:nvSpPr>
      <xdr:spPr bwMode="auto">
        <a:xfrm>
          <a:off x="1152525" y="21526500"/>
          <a:ext cx="76200" cy="209550"/>
        </a:xfrm>
        <a:prstGeom prst="rect">
          <a:avLst/>
        </a:prstGeom>
        <a:noFill/>
        <a:ln w="9525">
          <a:noFill/>
          <a:miter lim="800000"/>
          <a:headEnd/>
          <a:tailEnd/>
        </a:ln>
      </xdr:spPr>
    </xdr:sp>
    <xdr:clientData/>
  </xdr:twoCellAnchor>
  <xdr:twoCellAnchor editAs="oneCell">
    <xdr:from>
      <xdr:col>1</xdr:col>
      <xdr:colOff>0</xdr:colOff>
      <xdr:row>113</xdr:row>
      <xdr:rowOff>0</xdr:rowOff>
    </xdr:from>
    <xdr:to>
      <xdr:col>1</xdr:col>
      <xdr:colOff>76200</xdr:colOff>
      <xdr:row>114</xdr:row>
      <xdr:rowOff>19050</xdr:rowOff>
    </xdr:to>
    <xdr:sp macro="" textlink="">
      <xdr:nvSpPr>
        <xdr:cNvPr id="377714" name="Text Box 892"/>
        <xdr:cNvSpPr txBox="1">
          <a:spLocks noChangeArrowheads="1"/>
        </xdr:cNvSpPr>
      </xdr:nvSpPr>
      <xdr:spPr bwMode="auto">
        <a:xfrm>
          <a:off x="1152525" y="21526500"/>
          <a:ext cx="76200" cy="209550"/>
        </a:xfrm>
        <a:prstGeom prst="rect">
          <a:avLst/>
        </a:prstGeom>
        <a:noFill/>
        <a:ln w="9525">
          <a:noFill/>
          <a:miter lim="800000"/>
          <a:headEnd/>
          <a:tailEnd/>
        </a:ln>
      </xdr:spPr>
    </xdr:sp>
    <xdr:clientData/>
  </xdr:twoCellAnchor>
  <xdr:twoCellAnchor editAs="oneCell">
    <xdr:from>
      <xdr:col>1</xdr:col>
      <xdr:colOff>0</xdr:colOff>
      <xdr:row>113</xdr:row>
      <xdr:rowOff>0</xdr:rowOff>
    </xdr:from>
    <xdr:to>
      <xdr:col>1</xdr:col>
      <xdr:colOff>76200</xdr:colOff>
      <xdr:row>114</xdr:row>
      <xdr:rowOff>19050</xdr:rowOff>
    </xdr:to>
    <xdr:sp macro="" textlink="">
      <xdr:nvSpPr>
        <xdr:cNvPr id="377715" name="Text Box 893"/>
        <xdr:cNvSpPr txBox="1">
          <a:spLocks noChangeArrowheads="1"/>
        </xdr:cNvSpPr>
      </xdr:nvSpPr>
      <xdr:spPr bwMode="auto">
        <a:xfrm>
          <a:off x="1152525" y="21526500"/>
          <a:ext cx="76200" cy="209550"/>
        </a:xfrm>
        <a:prstGeom prst="rect">
          <a:avLst/>
        </a:prstGeom>
        <a:noFill/>
        <a:ln w="9525">
          <a:noFill/>
          <a:miter lim="800000"/>
          <a:headEnd/>
          <a:tailEnd/>
        </a:ln>
      </xdr:spPr>
    </xdr:sp>
    <xdr:clientData/>
  </xdr:twoCellAnchor>
  <xdr:twoCellAnchor editAs="oneCell">
    <xdr:from>
      <xdr:col>1</xdr:col>
      <xdr:colOff>0</xdr:colOff>
      <xdr:row>113</xdr:row>
      <xdr:rowOff>0</xdr:rowOff>
    </xdr:from>
    <xdr:to>
      <xdr:col>1</xdr:col>
      <xdr:colOff>76200</xdr:colOff>
      <xdr:row>114</xdr:row>
      <xdr:rowOff>19050</xdr:rowOff>
    </xdr:to>
    <xdr:sp macro="" textlink="">
      <xdr:nvSpPr>
        <xdr:cNvPr id="377716" name="Text Box 894"/>
        <xdr:cNvSpPr txBox="1">
          <a:spLocks noChangeArrowheads="1"/>
        </xdr:cNvSpPr>
      </xdr:nvSpPr>
      <xdr:spPr bwMode="auto">
        <a:xfrm>
          <a:off x="1152525" y="21526500"/>
          <a:ext cx="76200" cy="209550"/>
        </a:xfrm>
        <a:prstGeom prst="rect">
          <a:avLst/>
        </a:prstGeom>
        <a:noFill/>
        <a:ln w="9525">
          <a:noFill/>
          <a:miter lim="800000"/>
          <a:headEnd/>
          <a:tailEnd/>
        </a:ln>
      </xdr:spPr>
    </xdr:sp>
    <xdr:clientData/>
  </xdr:twoCellAnchor>
  <xdr:twoCellAnchor editAs="oneCell">
    <xdr:from>
      <xdr:col>1</xdr:col>
      <xdr:colOff>0</xdr:colOff>
      <xdr:row>114</xdr:row>
      <xdr:rowOff>0</xdr:rowOff>
    </xdr:from>
    <xdr:to>
      <xdr:col>1</xdr:col>
      <xdr:colOff>76200</xdr:colOff>
      <xdr:row>115</xdr:row>
      <xdr:rowOff>19050</xdr:rowOff>
    </xdr:to>
    <xdr:sp macro="" textlink="">
      <xdr:nvSpPr>
        <xdr:cNvPr id="377717" name="Text Box 895"/>
        <xdr:cNvSpPr txBox="1">
          <a:spLocks noChangeArrowheads="1"/>
        </xdr:cNvSpPr>
      </xdr:nvSpPr>
      <xdr:spPr bwMode="auto">
        <a:xfrm>
          <a:off x="1152525" y="21717000"/>
          <a:ext cx="76200" cy="209550"/>
        </a:xfrm>
        <a:prstGeom prst="rect">
          <a:avLst/>
        </a:prstGeom>
        <a:noFill/>
        <a:ln w="9525">
          <a:noFill/>
          <a:miter lim="800000"/>
          <a:headEnd/>
          <a:tailEnd/>
        </a:ln>
      </xdr:spPr>
    </xdr:sp>
    <xdr:clientData/>
  </xdr:twoCellAnchor>
  <xdr:twoCellAnchor editAs="oneCell">
    <xdr:from>
      <xdr:col>1</xdr:col>
      <xdr:colOff>0</xdr:colOff>
      <xdr:row>114</xdr:row>
      <xdr:rowOff>0</xdr:rowOff>
    </xdr:from>
    <xdr:to>
      <xdr:col>1</xdr:col>
      <xdr:colOff>76200</xdr:colOff>
      <xdr:row>115</xdr:row>
      <xdr:rowOff>19050</xdr:rowOff>
    </xdr:to>
    <xdr:sp macro="" textlink="">
      <xdr:nvSpPr>
        <xdr:cNvPr id="377718" name="Text Box 896"/>
        <xdr:cNvSpPr txBox="1">
          <a:spLocks noChangeArrowheads="1"/>
        </xdr:cNvSpPr>
      </xdr:nvSpPr>
      <xdr:spPr bwMode="auto">
        <a:xfrm>
          <a:off x="1152525" y="21717000"/>
          <a:ext cx="76200" cy="209550"/>
        </a:xfrm>
        <a:prstGeom prst="rect">
          <a:avLst/>
        </a:prstGeom>
        <a:noFill/>
        <a:ln w="9525">
          <a:noFill/>
          <a:miter lim="800000"/>
          <a:headEnd/>
          <a:tailEnd/>
        </a:ln>
      </xdr:spPr>
    </xdr:sp>
    <xdr:clientData/>
  </xdr:twoCellAnchor>
  <xdr:twoCellAnchor editAs="oneCell">
    <xdr:from>
      <xdr:col>1</xdr:col>
      <xdr:colOff>0</xdr:colOff>
      <xdr:row>114</xdr:row>
      <xdr:rowOff>0</xdr:rowOff>
    </xdr:from>
    <xdr:to>
      <xdr:col>1</xdr:col>
      <xdr:colOff>76200</xdr:colOff>
      <xdr:row>115</xdr:row>
      <xdr:rowOff>19050</xdr:rowOff>
    </xdr:to>
    <xdr:sp macro="" textlink="">
      <xdr:nvSpPr>
        <xdr:cNvPr id="377719" name="Text Box 897"/>
        <xdr:cNvSpPr txBox="1">
          <a:spLocks noChangeArrowheads="1"/>
        </xdr:cNvSpPr>
      </xdr:nvSpPr>
      <xdr:spPr bwMode="auto">
        <a:xfrm>
          <a:off x="1152525" y="21717000"/>
          <a:ext cx="76200" cy="209550"/>
        </a:xfrm>
        <a:prstGeom prst="rect">
          <a:avLst/>
        </a:prstGeom>
        <a:noFill/>
        <a:ln w="9525">
          <a:noFill/>
          <a:miter lim="800000"/>
          <a:headEnd/>
          <a:tailEnd/>
        </a:ln>
      </xdr:spPr>
    </xdr:sp>
    <xdr:clientData/>
  </xdr:twoCellAnchor>
  <xdr:twoCellAnchor editAs="oneCell">
    <xdr:from>
      <xdr:col>1</xdr:col>
      <xdr:colOff>0</xdr:colOff>
      <xdr:row>114</xdr:row>
      <xdr:rowOff>0</xdr:rowOff>
    </xdr:from>
    <xdr:to>
      <xdr:col>1</xdr:col>
      <xdr:colOff>76200</xdr:colOff>
      <xdr:row>115</xdr:row>
      <xdr:rowOff>19050</xdr:rowOff>
    </xdr:to>
    <xdr:sp macro="" textlink="">
      <xdr:nvSpPr>
        <xdr:cNvPr id="377720" name="Text Box 898"/>
        <xdr:cNvSpPr txBox="1">
          <a:spLocks noChangeArrowheads="1"/>
        </xdr:cNvSpPr>
      </xdr:nvSpPr>
      <xdr:spPr bwMode="auto">
        <a:xfrm>
          <a:off x="1152525" y="21717000"/>
          <a:ext cx="76200" cy="209550"/>
        </a:xfrm>
        <a:prstGeom prst="rect">
          <a:avLst/>
        </a:prstGeom>
        <a:noFill/>
        <a:ln w="9525">
          <a:noFill/>
          <a:miter lim="800000"/>
          <a:headEnd/>
          <a:tailEnd/>
        </a:ln>
      </xdr:spPr>
    </xdr:sp>
    <xdr:clientData/>
  </xdr:twoCellAnchor>
  <xdr:twoCellAnchor editAs="oneCell">
    <xdr:from>
      <xdr:col>1</xdr:col>
      <xdr:colOff>0</xdr:colOff>
      <xdr:row>115</xdr:row>
      <xdr:rowOff>0</xdr:rowOff>
    </xdr:from>
    <xdr:to>
      <xdr:col>1</xdr:col>
      <xdr:colOff>76200</xdr:colOff>
      <xdr:row>116</xdr:row>
      <xdr:rowOff>19050</xdr:rowOff>
    </xdr:to>
    <xdr:sp macro="" textlink="">
      <xdr:nvSpPr>
        <xdr:cNvPr id="377721" name="Text Box 899"/>
        <xdr:cNvSpPr txBox="1">
          <a:spLocks noChangeArrowheads="1"/>
        </xdr:cNvSpPr>
      </xdr:nvSpPr>
      <xdr:spPr bwMode="auto">
        <a:xfrm>
          <a:off x="1152525" y="21907500"/>
          <a:ext cx="76200" cy="209550"/>
        </a:xfrm>
        <a:prstGeom prst="rect">
          <a:avLst/>
        </a:prstGeom>
        <a:noFill/>
        <a:ln w="9525">
          <a:noFill/>
          <a:miter lim="800000"/>
          <a:headEnd/>
          <a:tailEnd/>
        </a:ln>
      </xdr:spPr>
    </xdr:sp>
    <xdr:clientData/>
  </xdr:twoCellAnchor>
  <xdr:twoCellAnchor editAs="oneCell">
    <xdr:from>
      <xdr:col>1</xdr:col>
      <xdr:colOff>0</xdr:colOff>
      <xdr:row>115</xdr:row>
      <xdr:rowOff>0</xdr:rowOff>
    </xdr:from>
    <xdr:to>
      <xdr:col>1</xdr:col>
      <xdr:colOff>76200</xdr:colOff>
      <xdr:row>116</xdr:row>
      <xdr:rowOff>19050</xdr:rowOff>
    </xdr:to>
    <xdr:sp macro="" textlink="">
      <xdr:nvSpPr>
        <xdr:cNvPr id="377722" name="Text Box 900"/>
        <xdr:cNvSpPr txBox="1">
          <a:spLocks noChangeArrowheads="1"/>
        </xdr:cNvSpPr>
      </xdr:nvSpPr>
      <xdr:spPr bwMode="auto">
        <a:xfrm>
          <a:off x="1152525" y="21907500"/>
          <a:ext cx="76200" cy="209550"/>
        </a:xfrm>
        <a:prstGeom prst="rect">
          <a:avLst/>
        </a:prstGeom>
        <a:noFill/>
        <a:ln w="9525">
          <a:noFill/>
          <a:miter lim="800000"/>
          <a:headEnd/>
          <a:tailEnd/>
        </a:ln>
      </xdr:spPr>
    </xdr:sp>
    <xdr:clientData/>
  </xdr:twoCellAnchor>
  <xdr:twoCellAnchor editAs="oneCell">
    <xdr:from>
      <xdr:col>1</xdr:col>
      <xdr:colOff>0</xdr:colOff>
      <xdr:row>115</xdr:row>
      <xdr:rowOff>0</xdr:rowOff>
    </xdr:from>
    <xdr:to>
      <xdr:col>1</xdr:col>
      <xdr:colOff>76200</xdr:colOff>
      <xdr:row>116</xdr:row>
      <xdr:rowOff>19050</xdr:rowOff>
    </xdr:to>
    <xdr:sp macro="" textlink="">
      <xdr:nvSpPr>
        <xdr:cNvPr id="377723" name="Text Box 901"/>
        <xdr:cNvSpPr txBox="1">
          <a:spLocks noChangeArrowheads="1"/>
        </xdr:cNvSpPr>
      </xdr:nvSpPr>
      <xdr:spPr bwMode="auto">
        <a:xfrm>
          <a:off x="1152525" y="21907500"/>
          <a:ext cx="76200" cy="209550"/>
        </a:xfrm>
        <a:prstGeom prst="rect">
          <a:avLst/>
        </a:prstGeom>
        <a:noFill/>
        <a:ln w="9525">
          <a:noFill/>
          <a:miter lim="800000"/>
          <a:headEnd/>
          <a:tailEnd/>
        </a:ln>
      </xdr:spPr>
    </xdr:sp>
    <xdr:clientData/>
  </xdr:twoCellAnchor>
  <xdr:twoCellAnchor editAs="oneCell">
    <xdr:from>
      <xdr:col>1</xdr:col>
      <xdr:colOff>0</xdr:colOff>
      <xdr:row>115</xdr:row>
      <xdr:rowOff>0</xdr:rowOff>
    </xdr:from>
    <xdr:to>
      <xdr:col>1</xdr:col>
      <xdr:colOff>76200</xdr:colOff>
      <xdr:row>116</xdr:row>
      <xdr:rowOff>19050</xdr:rowOff>
    </xdr:to>
    <xdr:sp macro="" textlink="">
      <xdr:nvSpPr>
        <xdr:cNvPr id="377724" name="Text Box 902"/>
        <xdr:cNvSpPr txBox="1">
          <a:spLocks noChangeArrowheads="1"/>
        </xdr:cNvSpPr>
      </xdr:nvSpPr>
      <xdr:spPr bwMode="auto">
        <a:xfrm>
          <a:off x="1152525" y="21907500"/>
          <a:ext cx="76200" cy="209550"/>
        </a:xfrm>
        <a:prstGeom prst="rect">
          <a:avLst/>
        </a:prstGeom>
        <a:noFill/>
        <a:ln w="9525">
          <a:noFill/>
          <a:miter lim="800000"/>
          <a:headEnd/>
          <a:tailEnd/>
        </a:ln>
      </xdr:spPr>
    </xdr:sp>
    <xdr:clientData/>
  </xdr:twoCellAnchor>
  <xdr:twoCellAnchor editAs="oneCell">
    <xdr:from>
      <xdr:col>1</xdr:col>
      <xdr:colOff>0</xdr:colOff>
      <xdr:row>116</xdr:row>
      <xdr:rowOff>0</xdr:rowOff>
    </xdr:from>
    <xdr:to>
      <xdr:col>1</xdr:col>
      <xdr:colOff>76200</xdr:colOff>
      <xdr:row>117</xdr:row>
      <xdr:rowOff>19050</xdr:rowOff>
    </xdr:to>
    <xdr:sp macro="" textlink="">
      <xdr:nvSpPr>
        <xdr:cNvPr id="377725" name="Text Box 903"/>
        <xdr:cNvSpPr txBox="1">
          <a:spLocks noChangeArrowheads="1"/>
        </xdr:cNvSpPr>
      </xdr:nvSpPr>
      <xdr:spPr bwMode="auto">
        <a:xfrm>
          <a:off x="1152525" y="22098000"/>
          <a:ext cx="76200" cy="209550"/>
        </a:xfrm>
        <a:prstGeom prst="rect">
          <a:avLst/>
        </a:prstGeom>
        <a:noFill/>
        <a:ln w="9525">
          <a:noFill/>
          <a:miter lim="800000"/>
          <a:headEnd/>
          <a:tailEnd/>
        </a:ln>
      </xdr:spPr>
    </xdr:sp>
    <xdr:clientData/>
  </xdr:twoCellAnchor>
  <xdr:twoCellAnchor editAs="oneCell">
    <xdr:from>
      <xdr:col>1</xdr:col>
      <xdr:colOff>0</xdr:colOff>
      <xdr:row>116</xdr:row>
      <xdr:rowOff>0</xdr:rowOff>
    </xdr:from>
    <xdr:to>
      <xdr:col>1</xdr:col>
      <xdr:colOff>76200</xdr:colOff>
      <xdr:row>117</xdr:row>
      <xdr:rowOff>19050</xdr:rowOff>
    </xdr:to>
    <xdr:sp macro="" textlink="">
      <xdr:nvSpPr>
        <xdr:cNvPr id="377726" name="Text Box 904"/>
        <xdr:cNvSpPr txBox="1">
          <a:spLocks noChangeArrowheads="1"/>
        </xdr:cNvSpPr>
      </xdr:nvSpPr>
      <xdr:spPr bwMode="auto">
        <a:xfrm>
          <a:off x="1152525" y="22098000"/>
          <a:ext cx="76200" cy="209550"/>
        </a:xfrm>
        <a:prstGeom prst="rect">
          <a:avLst/>
        </a:prstGeom>
        <a:noFill/>
        <a:ln w="9525">
          <a:noFill/>
          <a:miter lim="800000"/>
          <a:headEnd/>
          <a:tailEnd/>
        </a:ln>
      </xdr:spPr>
    </xdr:sp>
    <xdr:clientData/>
  </xdr:twoCellAnchor>
  <xdr:twoCellAnchor editAs="oneCell">
    <xdr:from>
      <xdr:col>1</xdr:col>
      <xdr:colOff>0</xdr:colOff>
      <xdr:row>116</xdr:row>
      <xdr:rowOff>0</xdr:rowOff>
    </xdr:from>
    <xdr:to>
      <xdr:col>1</xdr:col>
      <xdr:colOff>76200</xdr:colOff>
      <xdr:row>117</xdr:row>
      <xdr:rowOff>19050</xdr:rowOff>
    </xdr:to>
    <xdr:sp macro="" textlink="">
      <xdr:nvSpPr>
        <xdr:cNvPr id="377727" name="Text Box 905"/>
        <xdr:cNvSpPr txBox="1">
          <a:spLocks noChangeArrowheads="1"/>
        </xdr:cNvSpPr>
      </xdr:nvSpPr>
      <xdr:spPr bwMode="auto">
        <a:xfrm>
          <a:off x="1152525" y="22098000"/>
          <a:ext cx="76200" cy="209550"/>
        </a:xfrm>
        <a:prstGeom prst="rect">
          <a:avLst/>
        </a:prstGeom>
        <a:noFill/>
        <a:ln w="9525">
          <a:noFill/>
          <a:miter lim="800000"/>
          <a:headEnd/>
          <a:tailEnd/>
        </a:ln>
      </xdr:spPr>
    </xdr:sp>
    <xdr:clientData/>
  </xdr:twoCellAnchor>
  <xdr:twoCellAnchor editAs="oneCell">
    <xdr:from>
      <xdr:col>1</xdr:col>
      <xdr:colOff>0</xdr:colOff>
      <xdr:row>116</xdr:row>
      <xdr:rowOff>0</xdr:rowOff>
    </xdr:from>
    <xdr:to>
      <xdr:col>1</xdr:col>
      <xdr:colOff>76200</xdr:colOff>
      <xdr:row>117</xdr:row>
      <xdr:rowOff>19050</xdr:rowOff>
    </xdr:to>
    <xdr:sp macro="" textlink="">
      <xdr:nvSpPr>
        <xdr:cNvPr id="377728" name="Text Box 906"/>
        <xdr:cNvSpPr txBox="1">
          <a:spLocks noChangeArrowheads="1"/>
        </xdr:cNvSpPr>
      </xdr:nvSpPr>
      <xdr:spPr bwMode="auto">
        <a:xfrm>
          <a:off x="1152525" y="22098000"/>
          <a:ext cx="76200" cy="209550"/>
        </a:xfrm>
        <a:prstGeom prst="rect">
          <a:avLst/>
        </a:prstGeom>
        <a:noFill/>
        <a:ln w="9525">
          <a:noFill/>
          <a:miter lim="800000"/>
          <a:headEnd/>
          <a:tailEnd/>
        </a:ln>
      </xdr:spPr>
    </xdr:sp>
    <xdr:clientData/>
  </xdr:twoCellAnchor>
  <xdr:twoCellAnchor editAs="oneCell">
    <xdr:from>
      <xdr:col>1</xdr:col>
      <xdr:colOff>0</xdr:colOff>
      <xdr:row>117</xdr:row>
      <xdr:rowOff>0</xdr:rowOff>
    </xdr:from>
    <xdr:to>
      <xdr:col>1</xdr:col>
      <xdr:colOff>76200</xdr:colOff>
      <xdr:row>118</xdr:row>
      <xdr:rowOff>19050</xdr:rowOff>
    </xdr:to>
    <xdr:sp macro="" textlink="">
      <xdr:nvSpPr>
        <xdr:cNvPr id="377729" name="Text Box 907"/>
        <xdr:cNvSpPr txBox="1">
          <a:spLocks noChangeArrowheads="1"/>
        </xdr:cNvSpPr>
      </xdr:nvSpPr>
      <xdr:spPr bwMode="auto">
        <a:xfrm>
          <a:off x="1152525" y="22288500"/>
          <a:ext cx="76200" cy="209550"/>
        </a:xfrm>
        <a:prstGeom prst="rect">
          <a:avLst/>
        </a:prstGeom>
        <a:noFill/>
        <a:ln w="9525">
          <a:noFill/>
          <a:miter lim="800000"/>
          <a:headEnd/>
          <a:tailEnd/>
        </a:ln>
      </xdr:spPr>
    </xdr:sp>
    <xdr:clientData/>
  </xdr:twoCellAnchor>
  <xdr:twoCellAnchor editAs="oneCell">
    <xdr:from>
      <xdr:col>1</xdr:col>
      <xdr:colOff>0</xdr:colOff>
      <xdr:row>117</xdr:row>
      <xdr:rowOff>0</xdr:rowOff>
    </xdr:from>
    <xdr:to>
      <xdr:col>1</xdr:col>
      <xdr:colOff>76200</xdr:colOff>
      <xdr:row>118</xdr:row>
      <xdr:rowOff>19050</xdr:rowOff>
    </xdr:to>
    <xdr:sp macro="" textlink="">
      <xdr:nvSpPr>
        <xdr:cNvPr id="377730" name="Text Box 908"/>
        <xdr:cNvSpPr txBox="1">
          <a:spLocks noChangeArrowheads="1"/>
        </xdr:cNvSpPr>
      </xdr:nvSpPr>
      <xdr:spPr bwMode="auto">
        <a:xfrm>
          <a:off x="1152525" y="22288500"/>
          <a:ext cx="76200" cy="209550"/>
        </a:xfrm>
        <a:prstGeom prst="rect">
          <a:avLst/>
        </a:prstGeom>
        <a:noFill/>
        <a:ln w="9525">
          <a:noFill/>
          <a:miter lim="800000"/>
          <a:headEnd/>
          <a:tailEnd/>
        </a:ln>
      </xdr:spPr>
    </xdr:sp>
    <xdr:clientData/>
  </xdr:twoCellAnchor>
  <xdr:twoCellAnchor editAs="oneCell">
    <xdr:from>
      <xdr:col>1</xdr:col>
      <xdr:colOff>0</xdr:colOff>
      <xdr:row>117</xdr:row>
      <xdr:rowOff>0</xdr:rowOff>
    </xdr:from>
    <xdr:to>
      <xdr:col>1</xdr:col>
      <xdr:colOff>76200</xdr:colOff>
      <xdr:row>118</xdr:row>
      <xdr:rowOff>19050</xdr:rowOff>
    </xdr:to>
    <xdr:sp macro="" textlink="">
      <xdr:nvSpPr>
        <xdr:cNvPr id="377731" name="Text Box 909"/>
        <xdr:cNvSpPr txBox="1">
          <a:spLocks noChangeArrowheads="1"/>
        </xdr:cNvSpPr>
      </xdr:nvSpPr>
      <xdr:spPr bwMode="auto">
        <a:xfrm>
          <a:off x="1152525" y="22288500"/>
          <a:ext cx="76200" cy="209550"/>
        </a:xfrm>
        <a:prstGeom prst="rect">
          <a:avLst/>
        </a:prstGeom>
        <a:noFill/>
        <a:ln w="9525">
          <a:noFill/>
          <a:miter lim="800000"/>
          <a:headEnd/>
          <a:tailEnd/>
        </a:ln>
      </xdr:spPr>
    </xdr:sp>
    <xdr:clientData/>
  </xdr:twoCellAnchor>
  <xdr:twoCellAnchor editAs="oneCell">
    <xdr:from>
      <xdr:col>1</xdr:col>
      <xdr:colOff>0</xdr:colOff>
      <xdr:row>117</xdr:row>
      <xdr:rowOff>0</xdr:rowOff>
    </xdr:from>
    <xdr:to>
      <xdr:col>1</xdr:col>
      <xdr:colOff>76200</xdr:colOff>
      <xdr:row>118</xdr:row>
      <xdr:rowOff>19050</xdr:rowOff>
    </xdr:to>
    <xdr:sp macro="" textlink="">
      <xdr:nvSpPr>
        <xdr:cNvPr id="377732" name="Text Box 910"/>
        <xdr:cNvSpPr txBox="1">
          <a:spLocks noChangeArrowheads="1"/>
        </xdr:cNvSpPr>
      </xdr:nvSpPr>
      <xdr:spPr bwMode="auto">
        <a:xfrm>
          <a:off x="1152525" y="222885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33" name="Text Box 911"/>
        <xdr:cNvSpPr txBox="1">
          <a:spLocks noChangeArrowheads="1"/>
        </xdr:cNvSpPr>
      </xdr:nvSpPr>
      <xdr:spPr bwMode="auto">
        <a:xfrm>
          <a:off x="1152525" y="224790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34" name="Text Box 912"/>
        <xdr:cNvSpPr txBox="1">
          <a:spLocks noChangeArrowheads="1"/>
        </xdr:cNvSpPr>
      </xdr:nvSpPr>
      <xdr:spPr bwMode="auto">
        <a:xfrm>
          <a:off x="1152525" y="224790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35" name="Text Box 913"/>
        <xdr:cNvSpPr txBox="1">
          <a:spLocks noChangeArrowheads="1"/>
        </xdr:cNvSpPr>
      </xdr:nvSpPr>
      <xdr:spPr bwMode="auto">
        <a:xfrm>
          <a:off x="1152525" y="224790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36" name="Text Box 914"/>
        <xdr:cNvSpPr txBox="1">
          <a:spLocks noChangeArrowheads="1"/>
        </xdr:cNvSpPr>
      </xdr:nvSpPr>
      <xdr:spPr bwMode="auto">
        <a:xfrm>
          <a:off x="1152525" y="224790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37" name="Text Box 915"/>
        <xdr:cNvSpPr txBox="1">
          <a:spLocks noChangeArrowheads="1"/>
        </xdr:cNvSpPr>
      </xdr:nvSpPr>
      <xdr:spPr bwMode="auto">
        <a:xfrm>
          <a:off x="1152525" y="226695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38" name="Text Box 916"/>
        <xdr:cNvSpPr txBox="1">
          <a:spLocks noChangeArrowheads="1"/>
        </xdr:cNvSpPr>
      </xdr:nvSpPr>
      <xdr:spPr bwMode="auto">
        <a:xfrm>
          <a:off x="1152525" y="226695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39" name="Text Box 917"/>
        <xdr:cNvSpPr txBox="1">
          <a:spLocks noChangeArrowheads="1"/>
        </xdr:cNvSpPr>
      </xdr:nvSpPr>
      <xdr:spPr bwMode="auto">
        <a:xfrm>
          <a:off x="1152525" y="22669500"/>
          <a:ext cx="76200" cy="209550"/>
        </a:xfrm>
        <a:prstGeom prst="rect">
          <a:avLst/>
        </a:prstGeom>
        <a:noFill/>
        <a:ln w="9525">
          <a:noFill/>
          <a:miter lim="800000"/>
          <a:headEnd/>
          <a:tailEnd/>
        </a:ln>
      </xdr:spPr>
    </xdr:sp>
    <xdr:clientData/>
  </xdr:twoCellAnchor>
  <xdr:twoCellAnchor editAs="oneCell">
    <xdr:from>
      <xdr:col>1</xdr:col>
      <xdr:colOff>0</xdr:colOff>
      <xdr:row>118</xdr:row>
      <xdr:rowOff>0</xdr:rowOff>
    </xdr:from>
    <xdr:to>
      <xdr:col>1</xdr:col>
      <xdr:colOff>76200</xdr:colOff>
      <xdr:row>119</xdr:row>
      <xdr:rowOff>19050</xdr:rowOff>
    </xdr:to>
    <xdr:sp macro="" textlink="">
      <xdr:nvSpPr>
        <xdr:cNvPr id="377740" name="Text Box 918"/>
        <xdr:cNvSpPr txBox="1">
          <a:spLocks noChangeArrowheads="1"/>
        </xdr:cNvSpPr>
      </xdr:nvSpPr>
      <xdr:spPr bwMode="auto">
        <a:xfrm>
          <a:off x="1152525" y="226695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1" name="Text Box 919"/>
        <xdr:cNvSpPr txBox="1">
          <a:spLocks noChangeArrowheads="1"/>
        </xdr:cNvSpPr>
      </xdr:nvSpPr>
      <xdr:spPr bwMode="auto">
        <a:xfrm>
          <a:off x="1152525" y="228600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2" name="Text Box 920"/>
        <xdr:cNvSpPr txBox="1">
          <a:spLocks noChangeArrowheads="1"/>
        </xdr:cNvSpPr>
      </xdr:nvSpPr>
      <xdr:spPr bwMode="auto">
        <a:xfrm>
          <a:off x="1152525" y="228600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3" name="Text Box 921"/>
        <xdr:cNvSpPr txBox="1">
          <a:spLocks noChangeArrowheads="1"/>
        </xdr:cNvSpPr>
      </xdr:nvSpPr>
      <xdr:spPr bwMode="auto">
        <a:xfrm>
          <a:off x="1152525" y="228600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4" name="Text Box 922"/>
        <xdr:cNvSpPr txBox="1">
          <a:spLocks noChangeArrowheads="1"/>
        </xdr:cNvSpPr>
      </xdr:nvSpPr>
      <xdr:spPr bwMode="auto">
        <a:xfrm>
          <a:off x="1152525" y="228600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5" name="Text Box 923"/>
        <xdr:cNvSpPr txBox="1">
          <a:spLocks noChangeArrowheads="1"/>
        </xdr:cNvSpPr>
      </xdr:nvSpPr>
      <xdr:spPr bwMode="auto">
        <a:xfrm>
          <a:off x="1152525" y="230505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6" name="Text Box 924"/>
        <xdr:cNvSpPr txBox="1">
          <a:spLocks noChangeArrowheads="1"/>
        </xdr:cNvSpPr>
      </xdr:nvSpPr>
      <xdr:spPr bwMode="auto">
        <a:xfrm>
          <a:off x="1152525" y="230505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7" name="Text Box 925"/>
        <xdr:cNvSpPr txBox="1">
          <a:spLocks noChangeArrowheads="1"/>
        </xdr:cNvSpPr>
      </xdr:nvSpPr>
      <xdr:spPr bwMode="auto">
        <a:xfrm>
          <a:off x="1152525" y="23050500"/>
          <a:ext cx="76200" cy="209550"/>
        </a:xfrm>
        <a:prstGeom prst="rect">
          <a:avLst/>
        </a:prstGeom>
        <a:noFill/>
        <a:ln w="9525">
          <a:noFill/>
          <a:miter lim="800000"/>
          <a:headEnd/>
          <a:tailEnd/>
        </a:ln>
      </xdr:spPr>
    </xdr:sp>
    <xdr:clientData/>
  </xdr:twoCellAnchor>
  <xdr:twoCellAnchor editAs="oneCell">
    <xdr:from>
      <xdr:col>1</xdr:col>
      <xdr:colOff>0</xdr:colOff>
      <xdr:row>119</xdr:row>
      <xdr:rowOff>0</xdr:rowOff>
    </xdr:from>
    <xdr:to>
      <xdr:col>1</xdr:col>
      <xdr:colOff>76200</xdr:colOff>
      <xdr:row>120</xdr:row>
      <xdr:rowOff>19050</xdr:rowOff>
    </xdr:to>
    <xdr:sp macro="" textlink="">
      <xdr:nvSpPr>
        <xdr:cNvPr id="377748" name="Text Box 926"/>
        <xdr:cNvSpPr txBox="1">
          <a:spLocks noChangeArrowheads="1"/>
        </xdr:cNvSpPr>
      </xdr:nvSpPr>
      <xdr:spPr bwMode="auto">
        <a:xfrm>
          <a:off x="1152525" y="23050500"/>
          <a:ext cx="76200" cy="209550"/>
        </a:xfrm>
        <a:prstGeom prst="rect">
          <a:avLst/>
        </a:prstGeom>
        <a:noFill/>
        <a:ln w="9525">
          <a:noFill/>
          <a:miter lim="800000"/>
          <a:headEnd/>
          <a:tailEnd/>
        </a:ln>
      </xdr:spPr>
    </xdr:sp>
    <xdr:clientData/>
  </xdr:twoCellAnchor>
  <xdr:twoCellAnchor editAs="oneCell">
    <xdr:from>
      <xdr:col>1</xdr:col>
      <xdr:colOff>0</xdr:colOff>
      <xdr:row>120</xdr:row>
      <xdr:rowOff>0</xdr:rowOff>
    </xdr:from>
    <xdr:to>
      <xdr:col>1</xdr:col>
      <xdr:colOff>76200</xdr:colOff>
      <xdr:row>121</xdr:row>
      <xdr:rowOff>19050</xdr:rowOff>
    </xdr:to>
    <xdr:sp macro="" textlink="">
      <xdr:nvSpPr>
        <xdr:cNvPr id="377749" name="Text Box 927"/>
        <xdr:cNvSpPr txBox="1">
          <a:spLocks noChangeArrowheads="1"/>
        </xdr:cNvSpPr>
      </xdr:nvSpPr>
      <xdr:spPr bwMode="auto">
        <a:xfrm>
          <a:off x="1152525" y="23241000"/>
          <a:ext cx="76200" cy="209550"/>
        </a:xfrm>
        <a:prstGeom prst="rect">
          <a:avLst/>
        </a:prstGeom>
        <a:noFill/>
        <a:ln w="9525">
          <a:noFill/>
          <a:miter lim="800000"/>
          <a:headEnd/>
          <a:tailEnd/>
        </a:ln>
      </xdr:spPr>
    </xdr:sp>
    <xdr:clientData/>
  </xdr:twoCellAnchor>
  <xdr:twoCellAnchor editAs="oneCell">
    <xdr:from>
      <xdr:col>1</xdr:col>
      <xdr:colOff>0</xdr:colOff>
      <xdr:row>120</xdr:row>
      <xdr:rowOff>0</xdr:rowOff>
    </xdr:from>
    <xdr:to>
      <xdr:col>1</xdr:col>
      <xdr:colOff>76200</xdr:colOff>
      <xdr:row>121</xdr:row>
      <xdr:rowOff>19050</xdr:rowOff>
    </xdr:to>
    <xdr:sp macro="" textlink="">
      <xdr:nvSpPr>
        <xdr:cNvPr id="377750" name="Text Box 928"/>
        <xdr:cNvSpPr txBox="1">
          <a:spLocks noChangeArrowheads="1"/>
        </xdr:cNvSpPr>
      </xdr:nvSpPr>
      <xdr:spPr bwMode="auto">
        <a:xfrm>
          <a:off x="1152525" y="23241000"/>
          <a:ext cx="76200" cy="209550"/>
        </a:xfrm>
        <a:prstGeom prst="rect">
          <a:avLst/>
        </a:prstGeom>
        <a:noFill/>
        <a:ln w="9525">
          <a:noFill/>
          <a:miter lim="800000"/>
          <a:headEnd/>
          <a:tailEnd/>
        </a:ln>
      </xdr:spPr>
    </xdr:sp>
    <xdr:clientData/>
  </xdr:twoCellAnchor>
  <xdr:twoCellAnchor editAs="oneCell">
    <xdr:from>
      <xdr:col>1</xdr:col>
      <xdr:colOff>0</xdr:colOff>
      <xdr:row>120</xdr:row>
      <xdr:rowOff>0</xdr:rowOff>
    </xdr:from>
    <xdr:to>
      <xdr:col>1</xdr:col>
      <xdr:colOff>76200</xdr:colOff>
      <xdr:row>121</xdr:row>
      <xdr:rowOff>19050</xdr:rowOff>
    </xdr:to>
    <xdr:sp macro="" textlink="">
      <xdr:nvSpPr>
        <xdr:cNvPr id="377751" name="Text Box 929"/>
        <xdr:cNvSpPr txBox="1">
          <a:spLocks noChangeArrowheads="1"/>
        </xdr:cNvSpPr>
      </xdr:nvSpPr>
      <xdr:spPr bwMode="auto">
        <a:xfrm>
          <a:off x="1152525" y="23241000"/>
          <a:ext cx="76200" cy="209550"/>
        </a:xfrm>
        <a:prstGeom prst="rect">
          <a:avLst/>
        </a:prstGeom>
        <a:noFill/>
        <a:ln w="9525">
          <a:noFill/>
          <a:miter lim="800000"/>
          <a:headEnd/>
          <a:tailEnd/>
        </a:ln>
      </xdr:spPr>
    </xdr:sp>
    <xdr:clientData/>
  </xdr:twoCellAnchor>
  <xdr:twoCellAnchor editAs="oneCell">
    <xdr:from>
      <xdr:col>1</xdr:col>
      <xdr:colOff>0</xdr:colOff>
      <xdr:row>120</xdr:row>
      <xdr:rowOff>0</xdr:rowOff>
    </xdr:from>
    <xdr:to>
      <xdr:col>1</xdr:col>
      <xdr:colOff>76200</xdr:colOff>
      <xdr:row>121</xdr:row>
      <xdr:rowOff>19050</xdr:rowOff>
    </xdr:to>
    <xdr:sp macro="" textlink="">
      <xdr:nvSpPr>
        <xdr:cNvPr id="377752" name="Text Box 930"/>
        <xdr:cNvSpPr txBox="1">
          <a:spLocks noChangeArrowheads="1"/>
        </xdr:cNvSpPr>
      </xdr:nvSpPr>
      <xdr:spPr bwMode="auto">
        <a:xfrm>
          <a:off x="1152525" y="23241000"/>
          <a:ext cx="76200" cy="209550"/>
        </a:xfrm>
        <a:prstGeom prst="rect">
          <a:avLst/>
        </a:prstGeom>
        <a:noFill/>
        <a:ln w="9525">
          <a:noFill/>
          <a:miter lim="800000"/>
          <a:headEnd/>
          <a:tailEnd/>
        </a:ln>
      </xdr:spPr>
    </xdr:sp>
    <xdr:clientData/>
  </xdr:twoCellAnchor>
  <xdr:twoCellAnchor editAs="oneCell">
    <xdr:from>
      <xdr:col>1</xdr:col>
      <xdr:colOff>0</xdr:colOff>
      <xdr:row>121</xdr:row>
      <xdr:rowOff>0</xdr:rowOff>
    </xdr:from>
    <xdr:to>
      <xdr:col>1</xdr:col>
      <xdr:colOff>76200</xdr:colOff>
      <xdr:row>122</xdr:row>
      <xdr:rowOff>19050</xdr:rowOff>
    </xdr:to>
    <xdr:sp macro="" textlink="">
      <xdr:nvSpPr>
        <xdr:cNvPr id="377753" name="Text Box 931"/>
        <xdr:cNvSpPr txBox="1">
          <a:spLocks noChangeArrowheads="1"/>
        </xdr:cNvSpPr>
      </xdr:nvSpPr>
      <xdr:spPr bwMode="auto">
        <a:xfrm>
          <a:off x="1152525" y="23431500"/>
          <a:ext cx="76200" cy="209550"/>
        </a:xfrm>
        <a:prstGeom prst="rect">
          <a:avLst/>
        </a:prstGeom>
        <a:noFill/>
        <a:ln w="9525">
          <a:noFill/>
          <a:miter lim="800000"/>
          <a:headEnd/>
          <a:tailEnd/>
        </a:ln>
      </xdr:spPr>
    </xdr:sp>
    <xdr:clientData/>
  </xdr:twoCellAnchor>
  <xdr:twoCellAnchor editAs="oneCell">
    <xdr:from>
      <xdr:col>1</xdr:col>
      <xdr:colOff>0</xdr:colOff>
      <xdr:row>121</xdr:row>
      <xdr:rowOff>0</xdr:rowOff>
    </xdr:from>
    <xdr:to>
      <xdr:col>1</xdr:col>
      <xdr:colOff>76200</xdr:colOff>
      <xdr:row>122</xdr:row>
      <xdr:rowOff>19050</xdr:rowOff>
    </xdr:to>
    <xdr:sp macro="" textlink="">
      <xdr:nvSpPr>
        <xdr:cNvPr id="377754" name="Text Box 932"/>
        <xdr:cNvSpPr txBox="1">
          <a:spLocks noChangeArrowheads="1"/>
        </xdr:cNvSpPr>
      </xdr:nvSpPr>
      <xdr:spPr bwMode="auto">
        <a:xfrm>
          <a:off x="1152525" y="23431500"/>
          <a:ext cx="76200" cy="209550"/>
        </a:xfrm>
        <a:prstGeom prst="rect">
          <a:avLst/>
        </a:prstGeom>
        <a:noFill/>
        <a:ln w="9525">
          <a:noFill/>
          <a:miter lim="800000"/>
          <a:headEnd/>
          <a:tailEnd/>
        </a:ln>
      </xdr:spPr>
    </xdr:sp>
    <xdr:clientData/>
  </xdr:twoCellAnchor>
  <xdr:twoCellAnchor editAs="oneCell">
    <xdr:from>
      <xdr:col>1</xdr:col>
      <xdr:colOff>0</xdr:colOff>
      <xdr:row>121</xdr:row>
      <xdr:rowOff>0</xdr:rowOff>
    </xdr:from>
    <xdr:to>
      <xdr:col>1</xdr:col>
      <xdr:colOff>76200</xdr:colOff>
      <xdr:row>122</xdr:row>
      <xdr:rowOff>19050</xdr:rowOff>
    </xdr:to>
    <xdr:sp macro="" textlink="">
      <xdr:nvSpPr>
        <xdr:cNvPr id="377755" name="Text Box 933"/>
        <xdr:cNvSpPr txBox="1">
          <a:spLocks noChangeArrowheads="1"/>
        </xdr:cNvSpPr>
      </xdr:nvSpPr>
      <xdr:spPr bwMode="auto">
        <a:xfrm>
          <a:off x="1152525" y="23431500"/>
          <a:ext cx="76200" cy="209550"/>
        </a:xfrm>
        <a:prstGeom prst="rect">
          <a:avLst/>
        </a:prstGeom>
        <a:noFill/>
        <a:ln w="9525">
          <a:noFill/>
          <a:miter lim="800000"/>
          <a:headEnd/>
          <a:tailEnd/>
        </a:ln>
      </xdr:spPr>
    </xdr:sp>
    <xdr:clientData/>
  </xdr:twoCellAnchor>
  <xdr:twoCellAnchor editAs="oneCell">
    <xdr:from>
      <xdr:col>1</xdr:col>
      <xdr:colOff>0</xdr:colOff>
      <xdr:row>121</xdr:row>
      <xdr:rowOff>0</xdr:rowOff>
    </xdr:from>
    <xdr:to>
      <xdr:col>1</xdr:col>
      <xdr:colOff>76200</xdr:colOff>
      <xdr:row>122</xdr:row>
      <xdr:rowOff>19050</xdr:rowOff>
    </xdr:to>
    <xdr:sp macro="" textlink="">
      <xdr:nvSpPr>
        <xdr:cNvPr id="377756" name="Text Box 934"/>
        <xdr:cNvSpPr txBox="1">
          <a:spLocks noChangeArrowheads="1"/>
        </xdr:cNvSpPr>
      </xdr:nvSpPr>
      <xdr:spPr bwMode="auto">
        <a:xfrm>
          <a:off x="1152525" y="234315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57" name="Text Box 935"/>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58" name="Text Box 936"/>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59" name="Text Box 937"/>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0" name="Text Box 938"/>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1" name="Text Box 939"/>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2" name="Text Box 940"/>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3" name="Text Box 941"/>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4" name="Text Box 942"/>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5" name="Text Box 943"/>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6" name="Text Box 944"/>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7" name="Text Box 945"/>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122</xdr:row>
      <xdr:rowOff>0</xdr:rowOff>
    </xdr:from>
    <xdr:to>
      <xdr:col>1</xdr:col>
      <xdr:colOff>76200</xdr:colOff>
      <xdr:row>123</xdr:row>
      <xdr:rowOff>19050</xdr:rowOff>
    </xdr:to>
    <xdr:sp macro="" textlink="">
      <xdr:nvSpPr>
        <xdr:cNvPr id="377768" name="Text Box 946"/>
        <xdr:cNvSpPr txBox="1">
          <a:spLocks noChangeArrowheads="1"/>
        </xdr:cNvSpPr>
      </xdr:nvSpPr>
      <xdr:spPr bwMode="auto">
        <a:xfrm>
          <a:off x="1152525" y="23622000"/>
          <a:ext cx="76200" cy="209550"/>
        </a:xfrm>
        <a:prstGeom prst="rect">
          <a:avLst/>
        </a:prstGeom>
        <a:noFill/>
        <a:ln w="9525">
          <a:noFill/>
          <a:miter lim="800000"/>
          <a:headEnd/>
          <a:tailEnd/>
        </a:ln>
      </xdr:spPr>
    </xdr:sp>
    <xdr:clientData/>
  </xdr:twoCellAnchor>
  <xdr:twoCellAnchor editAs="oneCell">
    <xdr:from>
      <xdr:col>1</xdr:col>
      <xdr:colOff>0</xdr:colOff>
      <xdr:row>123</xdr:row>
      <xdr:rowOff>0</xdr:rowOff>
    </xdr:from>
    <xdr:to>
      <xdr:col>1</xdr:col>
      <xdr:colOff>76200</xdr:colOff>
      <xdr:row>124</xdr:row>
      <xdr:rowOff>19050</xdr:rowOff>
    </xdr:to>
    <xdr:sp macro="" textlink="">
      <xdr:nvSpPr>
        <xdr:cNvPr id="377769" name="Text Box 947"/>
        <xdr:cNvSpPr txBox="1">
          <a:spLocks noChangeArrowheads="1"/>
        </xdr:cNvSpPr>
      </xdr:nvSpPr>
      <xdr:spPr bwMode="auto">
        <a:xfrm>
          <a:off x="1152525" y="23812500"/>
          <a:ext cx="76200" cy="209550"/>
        </a:xfrm>
        <a:prstGeom prst="rect">
          <a:avLst/>
        </a:prstGeom>
        <a:noFill/>
        <a:ln w="9525">
          <a:noFill/>
          <a:miter lim="800000"/>
          <a:headEnd/>
          <a:tailEnd/>
        </a:ln>
      </xdr:spPr>
    </xdr:sp>
    <xdr:clientData/>
  </xdr:twoCellAnchor>
  <xdr:twoCellAnchor editAs="oneCell">
    <xdr:from>
      <xdr:col>1</xdr:col>
      <xdr:colOff>0</xdr:colOff>
      <xdr:row>123</xdr:row>
      <xdr:rowOff>0</xdr:rowOff>
    </xdr:from>
    <xdr:to>
      <xdr:col>1</xdr:col>
      <xdr:colOff>76200</xdr:colOff>
      <xdr:row>124</xdr:row>
      <xdr:rowOff>19050</xdr:rowOff>
    </xdr:to>
    <xdr:sp macro="" textlink="">
      <xdr:nvSpPr>
        <xdr:cNvPr id="377770" name="Text Box 948"/>
        <xdr:cNvSpPr txBox="1">
          <a:spLocks noChangeArrowheads="1"/>
        </xdr:cNvSpPr>
      </xdr:nvSpPr>
      <xdr:spPr bwMode="auto">
        <a:xfrm>
          <a:off x="1152525" y="23812500"/>
          <a:ext cx="76200" cy="209550"/>
        </a:xfrm>
        <a:prstGeom prst="rect">
          <a:avLst/>
        </a:prstGeom>
        <a:noFill/>
        <a:ln w="9525">
          <a:noFill/>
          <a:miter lim="800000"/>
          <a:headEnd/>
          <a:tailEnd/>
        </a:ln>
      </xdr:spPr>
    </xdr:sp>
    <xdr:clientData/>
  </xdr:twoCellAnchor>
  <xdr:twoCellAnchor editAs="oneCell">
    <xdr:from>
      <xdr:col>1</xdr:col>
      <xdr:colOff>0</xdr:colOff>
      <xdr:row>123</xdr:row>
      <xdr:rowOff>0</xdr:rowOff>
    </xdr:from>
    <xdr:to>
      <xdr:col>1</xdr:col>
      <xdr:colOff>76200</xdr:colOff>
      <xdr:row>124</xdr:row>
      <xdr:rowOff>19050</xdr:rowOff>
    </xdr:to>
    <xdr:sp macro="" textlink="">
      <xdr:nvSpPr>
        <xdr:cNvPr id="377771" name="Text Box 949"/>
        <xdr:cNvSpPr txBox="1">
          <a:spLocks noChangeArrowheads="1"/>
        </xdr:cNvSpPr>
      </xdr:nvSpPr>
      <xdr:spPr bwMode="auto">
        <a:xfrm>
          <a:off x="1152525" y="23812500"/>
          <a:ext cx="76200" cy="209550"/>
        </a:xfrm>
        <a:prstGeom prst="rect">
          <a:avLst/>
        </a:prstGeom>
        <a:noFill/>
        <a:ln w="9525">
          <a:noFill/>
          <a:miter lim="800000"/>
          <a:headEnd/>
          <a:tailEnd/>
        </a:ln>
      </xdr:spPr>
    </xdr:sp>
    <xdr:clientData/>
  </xdr:twoCellAnchor>
  <xdr:twoCellAnchor editAs="oneCell">
    <xdr:from>
      <xdr:col>1</xdr:col>
      <xdr:colOff>0</xdr:colOff>
      <xdr:row>123</xdr:row>
      <xdr:rowOff>0</xdr:rowOff>
    </xdr:from>
    <xdr:to>
      <xdr:col>1</xdr:col>
      <xdr:colOff>76200</xdr:colOff>
      <xdr:row>124</xdr:row>
      <xdr:rowOff>19050</xdr:rowOff>
    </xdr:to>
    <xdr:sp macro="" textlink="">
      <xdr:nvSpPr>
        <xdr:cNvPr id="377772" name="Text Box 950"/>
        <xdr:cNvSpPr txBox="1">
          <a:spLocks noChangeArrowheads="1"/>
        </xdr:cNvSpPr>
      </xdr:nvSpPr>
      <xdr:spPr bwMode="auto">
        <a:xfrm>
          <a:off x="1152525" y="23812500"/>
          <a:ext cx="76200" cy="209550"/>
        </a:xfrm>
        <a:prstGeom prst="rect">
          <a:avLst/>
        </a:prstGeom>
        <a:noFill/>
        <a:ln w="9525">
          <a:noFill/>
          <a:miter lim="800000"/>
          <a:headEnd/>
          <a:tailEnd/>
        </a:ln>
      </xdr:spPr>
    </xdr:sp>
    <xdr:clientData/>
  </xdr:twoCellAnchor>
  <xdr:twoCellAnchor editAs="oneCell">
    <xdr:from>
      <xdr:col>1</xdr:col>
      <xdr:colOff>0</xdr:colOff>
      <xdr:row>124</xdr:row>
      <xdr:rowOff>0</xdr:rowOff>
    </xdr:from>
    <xdr:to>
      <xdr:col>1</xdr:col>
      <xdr:colOff>76200</xdr:colOff>
      <xdr:row>125</xdr:row>
      <xdr:rowOff>19050</xdr:rowOff>
    </xdr:to>
    <xdr:sp macro="" textlink="">
      <xdr:nvSpPr>
        <xdr:cNvPr id="377773" name="Text Box 951"/>
        <xdr:cNvSpPr txBox="1">
          <a:spLocks noChangeArrowheads="1"/>
        </xdr:cNvSpPr>
      </xdr:nvSpPr>
      <xdr:spPr bwMode="auto">
        <a:xfrm>
          <a:off x="1152525" y="24003000"/>
          <a:ext cx="76200" cy="209550"/>
        </a:xfrm>
        <a:prstGeom prst="rect">
          <a:avLst/>
        </a:prstGeom>
        <a:noFill/>
        <a:ln w="9525">
          <a:noFill/>
          <a:miter lim="800000"/>
          <a:headEnd/>
          <a:tailEnd/>
        </a:ln>
      </xdr:spPr>
    </xdr:sp>
    <xdr:clientData/>
  </xdr:twoCellAnchor>
  <xdr:twoCellAnchor editAs="oneCell">
    <xdr:from>
      <xdr:col>1</xdr:col>
      <xdr:colOff>0</xdr:colOff>
      <xdr:row>124</xdr:row>
      <xdr:rowOff>0</xdr:rowOff>
    </xdr:from>
    <xdr:to>
      <xdr:col>1</xdr:col>
      <xdr:colOff>76200</xdr:colOff>
      <xdr:row>125</xdr:row>
      <xdr:rowOff>19050</xdr:rowOff>
    </xdr:to>
    <xdr:sp macro="" textlink="">
      <xdr:nvSpPr>
        <xdr:cNvPr id="377774" name="Text Box 952"/>
        <xdr:cNvSpPr txBox="1">
          <a:spLocks noChangeArrowheads="1"/>
        </xdr:cNvSpPr>
      </xdr:nvSpPr>
      <xdr:spPr bwMode="auto">
        <a:xfrm>
          <a:off x="1152525" y="24003000"/>
          <a:ext cx="76200" cy="209550"/>
        </a:xfrm>
        <a:prstGeom prst="rect">
          <a:avLst/>
        </a:prstGeom>
        <a:noFill/>
        <a:ln w="9525">
          <a:noFill/>
          <a:miter lim="800000"/>
          <a:headEnd/>
          <a:tailEnd/>
        </a:ln>
      </xdr:spPr>
    </xdr:sp>
    <xdr:clientData/>
  </xdr:twoCellAnchor>
  <xdr:twoCellAnchor editAs="oneCell">
    <xdr:from>
      <xdr:col>1</xdr:col>
      <xdr:colOff>0</xdr:colOff>
      <xdr:row>124</xdr:row>
      <xdr:rowOff>0</xdr:rowOff>
    </xdr:from>
    <xdr:to>
      <xdr:col>1</xdr:col>
      <xdr:colOff>76200</xdr:colOff>
      <xdr:row>125</xdr:row>
      <xdr:rowOff>19050</xdr:rowOff>
    </xdr:to>
    <xdr:sp macro="" textlink="">
      <xdr:nvSpPr>
        <xdr:cNvPr id="377775" name="Text Box 953"/>
        <xdr:cNvSpPr txBox="1">
          <a:spLocks noChangeArrowheads="1"/>
        </xdr:cNvSpPr>
      </xdr:nvSpPr>
      <xdr:spPr bwMode="auto">
        <a:xfrm>
          <a:off x="1152525" y="24003000"/>
          <a:ext cx="76200" cy="209550"/>
        </a:xfrm>
        <a:prstGeom prst="rect">
          <a:avLst/>
        </a:prstGeom>
        <a:noFill/>
        <a:ln w="9525">
          <a:noFill/>
          <a:miter lim="800000"/>
          <a:headEnd/>
          <a:tailEnd/>
        </a:ln>
      </xdr:spPr>
    </xdr:sp>
    <xdr:clientData/>
  </xdr:twoCellAnchor>
  <xdr:twoCellAnchor editAs="oneCell">
    <xdr:from>
      <xdr:col>1</xdr:col>
      <xdr:colOff>0</xdr:colOff>
      <xdr:row>124</xdr:row>
      <xdr:rowOff>0</xdr:rowOff>
    </xdr:from>
    <xdr:to>
      <xdr:col>1</xdr:col>
      <xdr:colOff>76200</xdr:colOff>
      <xdr:row>125</xdr:row>
      <xdr:rowOff>19050</xdr:rowOff>
    </xdr:to>
    <xdr:sp macro="" textlink="">
      <xdr:nvSpPr>
        <xdr:cNvPr id="377776" name="Text Box 954"/>
        <xdr:cNvSpPr txBox="1">
          <a:spLocks noChangeArrowheads="1"/>
        </xdr:cNvSpPr>
      </xdr:nvSpPr>
      <xdr:spPr bwMode="auto">
        <a:xfrm>
          <a:off x="1152525" y="24003000"/>
          <a:ext cx="76200" cy="209550"/>
        </a:xfrm>
        <a:prstGeom prst="rect">
          <a:avLst/>
        </a:prstGeom>
        <a:noFill/>
        <a:ln w="9525">
          <a:noFill/>
          <a:miter lim="800000"/>
          <a:headEnd/>
          <a:tailEnd/>
        </a:ln>
      </xdr:spPr>
    </xdr:sp>
    <xdr:clientData/>
  </xdr:twoCellAnchor>
  <xdr:twoCellAnchor editAs="oneCell">
    <xdr:from>
      <xdr:col>1</xdr:col>
      <xdr:colOff>0</xdr:colOff>
      <xdr:row>125</xdr:row>
      <xdr:rowOff>0</xdr:rowOff>
    </xdr:from>
    <xdr:to>
      <xdr:col>1</xdr:col>
      <xdr:colOff>76200</xdr:colOff>
      <xdr:row>126</xdr:row>
      <xdr:rowOff>19050</xdr:rowOff>
    </xdr:to>
    <xdr:sp macro="" textlink="">
      <xdr:nvSpPr>
        <xdr:cNvPr id="377777" name="Text Box 955"/>
        <xdr:cNvSpPr txBox="1">
          <a:spLocks noChangeArrowheads="1"/>
        </xdr:cNvSpPr>
      </xdr:nvSpPr>
      <xdr:spPr bwMode="auto">
        <a:xfrm>
          <a:off x="1152525" y="24193500"/>
          <a:ext cx="76200" cy="209550"/>
        </a:xfrm>
        <a:prstGeom prst="rect">
          <a:avLst/>
        </a:prstGeom>
        <a:noFill/>
        <a:ln w="9525">
          <a:noFill/>
          <a:miter lim="800000"/>
          <a:headEnd/>
          <a:tailEnd/>
        </a:ln>
      </xdr:spPr>
    </xdr:sp>
    <xdr:clientData/>
  </xdr:twoCellAnchor>
  <xdr:twoCellAnchor editAs="oneCell">
    <xdr:from>
      <xdr:col>1</xdr:col>
      <xdr:colOff>0</xdr:colOff>
      <xdr:row>125</xdr:row>
      <xdr:rowOff>0</xdr:rowOff>
    </xdr:from>
    <xdr:to>
      <xdr:col>1</xdr:col>
      <xdr:colOff>76200</xdr:colOff>
      <xdr:row>126</xdr:row>
      <xdr:rowOff>19050</xdr:rowOff>
    </xdr:to>
    <xdr:sp macro="" textlink="">
      <xdr:nvSpPr>
        <xdr:cNvPr id="377778" name="Text Box 956"/>
        <xdr:cNvSpPr txBox="1">
          <a:spLocks noChangeArrowheads="1"/>
        </xdr:cNvSpPr>
      </xdr:nvSpPr>
      <xdr:spPr bwMode="auto">
        <a:xfrm>
          <a:off x="1152525" y="24193500"/>
          <a:ext cx="76200" cy="209550"/>
        </a:xfrm>
        <a:prstGeom prst="rect">
          <a:avLst/>
        </a:prstGeom>
        <a:noFill/>
        <a:ln w="9525">
          <a:noFill/>
          <a:miter lim="800000"/>
          <a:headEnd/>
          <a:tailEnd/>
        </a:ln>
      </xdr:spPr>
    </xdr:sp>
    <xdr:clientData/>
  </xdr:twoCellAnchor>
  <xdr:twoCellAnchor editAs="oneCell">
    <xdr:from>
      <xdr:col>1</xdr:col>
      <xdr:colOff>0</xdr:colOff>
      <xdr:row>125</xdr:row>
      <xdr:rowOff>0</xdr:rowOff>
    </xdr:from>
    <xdr:to>
      <xdr:col>1</xdr:col>
      <xdr:colOff>76200</xdr:colOff>
      <xdr:row>126</xdr:row>
      <xdr:rowOff>19050</xdr:rowOff>
    </xdr:to>
    <xdr:sp macro="" textlink="">
      <xdr:nvSpPr>
        <xdr:cNvPr id="377779" name="Text Box 957"/>
        <xdr:cNvSpPr txBox="1">
          <a:spLocks noChangeArrowheads="1"/>
        </xdr:cNvSpPr>
      </xdr:nvSpPr>
      <xdr:spPr bwMode="auto">
        <a:xfrm>
          <a:off x="1152525" y="24193500"/>
          <a:ext cx="76200" cy="209550"/>
        </a:xfrm>
        <a:prstGeom prst="rect">
          <a:avLst/>
        </a:prstGeom>
        <a:noFill/>
        <a:ln w="9525">
          <a:noFill/>
          <a:miter lim="800000"/>
          <a:headEnd/>
          <a:tailEnd/>
        </a:ln>
      </xdr:spPr>
    </xdr:sp>
    <xdr:clientData/>
  </xdr:twoCellAnchor>
  <xdr:twoCellAnchor editAs="oneCell">
    <xdr:from>
      <xdr:col>1</xdr:col>
      <xdr:colOff>0</xdr:colOff>
      <xdr:row>125</xdr:row>
      <xdr:rowOff>0</xdr:rowOff>
    </xdr:from>
    <xdr:to>
      <xdr:col>1</xdr:col>
      <xdr:colOff>76200</xdr:colOff>
      <xdr:row>126</xdr:row>
      <xdr:rowOff>19050</xdr:rowOff>
    </xdr:to>
    <xdr:sp macro="" textlink="">
      <xdr:nvSpPr>
        <xdr:cNvPr id="377780" name="Text Box 958"/>
        <xdr:cNvSpPr txBox="1">
          <a:spLocks noChangeArrowheads="1"/>
        </xdr:cNvSpPr>
      </xdr:nvSpPr>
      <xdr:spPr bwMode="auto">
        <a:xfrm>
          <a:off x="1152525" y="24193500"/>
          <a:ext cx="76200" cy="209550"/>
        </a:xfrm>
        <a:prstGeom prst="rect">
          <a:avLst/>
        </a:prstGeom>
        <a:noFill/>
        <a:ln w="9525">
          <a:noFill/>
          <a:miter lim="800000"/>
          <a:headEnd/>
          <a:tailEnd/>
        </a:ln>
      </xdr:spPr>
    </xdr:sp>
    <xdr:clientData/>
  </xdr:twoCellAnchor>
  <xdr:twoCellAnchor editAs="oneCell">
    <xdr:from>
      <xdr:col>1</xdr:col>
      <xdr:colOff>0</xdr:colOff>
      <xdr:row>126</xdr:row>
      <xdr:rowOff>0</xdr:rowOff>
    </xdr:from>
    <xdr:to>
      <xdr:col>1</xdr:col>
      <xdr:colOff>76200</xdr:colOff>
      <xdr:row>127</xdr:row>
      <xdr:rowOff>19050</xdr:rowOff>
    </xdr:to>
    <xdr:sp macro="" textlink="">
      <xdr:nvSpPr>
        <xdr:cNvPr id="377781" name="Text Box 959"/>
        <xdr:cNvSpPr txBox="1">
          <a:spLocks noChangeArrowheads="1"/>
        </xdr:cNvSpPr>
      </xdr:nvSpPr>
      <xdr:spPr bwMode="auto">
        <a:xfrm>
          <a:off x="1152525" y="24384000"/>
          <a:ext cx="76200" cy="209550"/>
        </a:xfrm>
        <a:prstGeom prst="rect">
          <a:avLst/>
        </a:prstGeom>
        <a:noFill/>
        <a:ln w="9525">
          <a:noFill/>
          <a:miter lim="800000"/>
          <a:headEnd/>
          <a:tailEnd/>
        </a:ln>
      </xdr:spPr>
    </xdr:sp>
    <xdr:clientData/>
  </xdr:twoCellAnchor>
  <xdr:twoCellAnchor editAs="oneCell">
    <xdr:from>
      <xdr:col>1</xdr:col>
      <xdr:colOff>0</xdr:colOff>
      <xdr:row>126</xdr:row>
      <xdr:rowOff>0</xdr:rowOff>
    </xdr:from>
    <xdr:to>
      <xdr:col>1</xdr:col>
      <xdr:colOff>76200</xdr:colOff>
      <xdr:row>127</xdr:row>
      <xdr:rowOff>19050</xdr:rowOff>
    </xdr:to>
    <xdr:sp macro="" textlink="">
      <xdr:nvSpPr>
        <xdr:cNvPr id="377782" name="Text Box 960"/>
        <xdr:cNvSpPr txBox="1">
          <a:spLocks noChangeArrowheads="1"/>
        </xdr:cNvSpPr>
      </xdr:nvSpPr>
      <xdr:spPr bwMode="auto">
        <a:xfrm>
          <a:off x="1152525" y="24384000"/>
          <a:ext cx="76200" cy="209550"/>
        </a:xfrm>
        <a:prstGeom prst="rect">
          <a:avLst/>
        </a:prstGeom>
        <a:noFill/>
        <a:ln w="9525">
          <a:noFill/>
          <a:miter lim="800000"/>
          <a:headEnd/>
          <a:tailEnd/>
        </a:ln>
      </xdr:spPr>
    </xdr:sp>
    <xdr:clientData/>
  </xdr:twoCellAnchor>
  <xdr:twoCellAnchor editAs="oneCell">
    <xdr:from>
      <xdr:col>1</xdr:col>
      <xdr:colOff>0</xdr:colOff>
      <xdr:row>126</xdr:row>
      <xdr:rowOff>0</xdr:rowOff>
    </xdr:from>
    <xdr:to>
      <xdr:col>1</xdr:col>
      <xdr:colOff>76200</xdr:colOff>
      <xdr:row>127</xdr:row>
      <xdr:rowOff>19050</xdr:rowOff>
    </xdr:to>
    <xdr:sp macro="" textlink="">
      <xdr:nvSpPr>
        <xdr:cNvPr id="377783" name="Text Box 961"/>
        <xdr:cNvSpPr txBox="1">
          <a:spLocks noChangeArrowheads="1"/>
        </xdr:cNvSpPr>
      </xdr:nvSpPr>
      <xdr:spPr bwMode="auto">
        <a:xfrm>
          <a:off x="1152525" y="24384000"/>
          <a:ext cx="76200" cy="209550"/>
        </a:xfrm>
        <a:prstGeom prst="rect">
          <a:avLst/>
        </a:prstGeom>
        <a:noFill/>
        <a:ln w="9525">
          <a:noFill/>
          <a:miter lim="800000"/>
          <a:headEnd/>
          <a:tailEnd/>
        </a:ln>
      </xdr:spPr>
    </xdr:sp>
    <xdr:clientData/>
  </xdr:twoCellAnchor>
  <xdr:twoCellAnchor editAs="oneCell">
    <xdr:from>
      <xdr:col>1</xdr:col>
      <xdr:colOff>0</xdr:colOff>
      <xdr:row>126</xdr:row>
      <xdr:rowOff>0</xdr:rowOff>
    </xdr:from>
    <xdr:to>
      <xdr:col>1</xdr:col>
      <xdr:colOff>76200</xdr:colOff>
      <xdr:row>127</xdr:row>
      <xdr:rowOff>19050</xdr:rowOff>
    </xdr:to>
    <xdr:sp macro="" textlink="">
      <xdr:nvSpPr>
        <xdr:cNvPr id="377784" name="Text Box 962"/>
        <xdr:cNvSpPr txBox="1">
          <a:spLocks noChangeArrowheads="1"/>
        </xdr:cNvSpPr>
      </xdr:nvSpPr>
      <xdr:spPr bwMode="auto">
        <a:xfrm>
          <a:off x="1152525" y="24384000"/>
          <a:ext cx="76200" cy="209550"/>
        </a:xfrm>
        <a:prstGeom prst="rect">
          <a:avLst/>
        </a:prstGeom>
        <a:noFill/>
        <a:ln w="9525">
          <a:noFill/>
          <a:miter lim="800000"/>
          <a:headEnd/>
          <a:tailEnd/>
        </a:ln>
      </xdr:spPr>
    </xdr:sp>
    <xdr:clientData/>
  </xdr:twoCellAnchor>
  <xdr:twoCellAnchor editAs="oneCell">
    <xdr:from>
      <xdr:col>1</xdr:col>
      <xdr:colOff>0</xdr:colOff>
      <xdr:row>127</xdr:row>
      <xdr:rowOff>0</xdr:rowOff>
    </xdr:from>
    <xdr:to>
      <xdr:col>1</xdr:col>
      <xdr:colOff>76200</xdr:colOff>
      <xdr:row>128</xdr:row>
      <xdr:rowOff>19050</xdr:rowOff>
    </xdr:to>
    <xdr:sp macro="" textlink="">
      <xdr:nvSpPr>
        <xdr:cNvPr id="377785" name="Text Box 963"/>
        <xdr:cNvSpPr txBox="1">
          <a:spLocks noChangeArrowheads="1"/>
        </xdr:cNvSpPr>
      </xdr:nvSpPr>
      <xdr:spPr bwMode="auto">
        <a:xfrm>
          <a:off x="1152525" y="24574500"/>
          <a:ext cx="76200" cy="209550"/>
        </a:xfrm>
        <a:prstGeom prst="rect">
          <a:avLst/>
        </a:prstGeom>
        <a:noFill/>
        <a:ln w="9525">
          <a:noFill/>
          <a:miter lim="800000"/>
          <a:headEnd/>
          <a:tailEnd/>
        </a:ln>
      </xdr:spPr>
    </xdr:sp>
    <xdr:clientData/>
  </xdr:twoCellAnchor>
  <xdr:twoCellAnchor editAs="oneCell">
    <xdr:from>
      <xdr:col>1</xdr:col>
      <xdr:colOff>0</xdr:colOff>
      <xdr:row>127</xdr:row>
      <xdr:rowOff>0</xdr:rowOff>
    </xdr:from>
    <xdr:to>
      <xdr:col>1</xdr:col>
      <xdr:colOff>76200</xdr:colOff>
      <xdr:row>128</xdr:row>
      <xdr:rowOff>19050</xdr:rowOff>
    </xdr:to>
    <xdr:sp macro="" textlink="">
      <xdr:nvSpPr>
        <xdr:cNvPr id="377786" name="Text Box 964"/>
        <xdr:cNvSpPr txBox="1">
          <a:spLocks noChangeArrowheads="1"/>
        </xdr:cNvSpPr>
      </xdr:nvSpPr>
      <xdr:spPr bwMode="auto">
        <a:xfrm>
          <a:off x="1152525" y="24574500"/>
          <a:ext cx="76200" cy="209550"/>
        </a:xfrm>
        <a:prstGeom prst="rect">
          <a:avLst/>
        </a:prstGeom>
        <a:noFill/>
        <a:ln w="9525">
          <a:noFill/>
          <a:miter lim="800000"/>
          <a:headEnd/>
          <a:tailEnd/>
        </a:ln>
      </xdr:spPr>
    </xdr:sp>
    <xdr:clientData/>
  </xdr:twoCellAnchor>
  <xdr:twoCellAnchor editAs="oneCell">
    <xdr:from>
      <xdr:col>1</xdr:col>
      <xdr:colOff>0</xdr:colOff>
      <xdr:row>127</xdr:row>
      <xdr:rowOff>0</xdr:rowOff>
    </xdr:from>
    <xdr:to>
      <xdr:col>1</xdr:col>
      <xdr:colOff>76200</xdr:colOff>
      <xdr:row>128</xdr:row>
      <xdr:rowOff>19050</xdr:rowOff>
    </xdr:to>
    <xdr:sp macro="" textlink="">
      <xdr:nvSpPr>
        <xdr:cNvPr id="377787" name="Text Box 965"/>
        <xdr:cNvSpPr txBox="1">
          <a:spLocks noChangeArrowheads="1"/>
        </xdr:cNvSpPr>
      </xdr:nvSpPr>
      <xdr:spPr bwMode="auto">
        <a:xfrm>
          <a:off x="1152525" y="24574500"/>
          <a:ext cx="76200" cy="209550"/>
        </a:xfrm>
        <a:prstGeom prst="rect">
          <a:avLst/>
        </a:prstGeom>
        <a:noFill/>
        <a:ln w="9525">
          <a:noFill/>
          <a:miter lim="800000"/>
          <a:headEnd/>
          <a:tailEnd/>
        </a:ln>
      </xdr:spPr>
    </xdr:sp>
    <xdr:clientData/>
  </xdr:twoCellAnchor>
  <xdr:twoCellAnchor editAs="oneCell">
    <xdr:from>
      <xdr:col>1</xdr:col>
      <xdr:colOff>0</xdr:colOff>
      <xdr:row>127</xdr:row>
      <xdr:rowOff>0</xdr:rowOff>
    </xdr:from>
    <xdr:to>
      <xdr:col>1</xdr:col>
      <xdr:colOff>76200</xdr:colOff>
      <xdr:row>128</xdr:row>
      <xdr:rowOff>19050</xdr:rowOff>
    </xdr:to>
    <xdr:sp macro="" textlink="">
      <xdr:nvSpPr>
        <xdr:cNvPr id="377788" name="Text Box 966"/>
        <xdr:cNvSpPr txBox="1">
          <a:spLocks noChangeArrowheads="1"/>
        </xdr:cNvSpPr>
      </xdr:nvSpPr>
      <xdr:spPr bwMode="auto">
        <a:xfrm>
          <a:off x="1152525" y="24574500"/>
          <a:ext cx="76200" cy="209550"/>
        </a:xfrm>
        <a:prstGeom prst="rect">
          <a:avLst/>
        </a:prstGeom>
        <a:noFill/>
        <a:ln w="9525">
          <a:noFill/>
          <a:miter lim="800000"/>
          <a:headEnd/>
          <a:tailEnd/>
        </a:ln>
      </xdr:spPr>
    </xdr:sp>
    <xdr:clientData/>
  </xdr:twoCellAnchor>
  <xdr:twoCellAnchor editAs="oneCell">
    <xdr:from>
      <xdr:col>1</xdr:col>
      <xdr:colOff>0</xdr:colOff>
      <xdr:row>128</xdr:row>
      <xdr:rowOff>0</xdr:rowOff>
    </xdr:from>
    <xdr:to>
      <xdr:col>1</xdr:col>
      <xdr:colOff>76200</xdr:colOff>
      <xdr:row>129</xdr:row>
      <xdr:rowOff>19050</xdr:rowOff>
    </xdr:to>
    <xdr:sp macro="" textlink="">
      <xdr:nvSpPr>
        <xdr:cNvPr id="377789" name="Text Box 967"/>
        <xdr:cNvSpPr txBox="1">
          <a:spLocks noChangeArrowheads="1"/>
        </xdr:cNvSpPr>
      </xdr:nvSpPr>
      <xdr:spPr bwMode="auto">
        <a:xfrm>
          <a:off x="1152525" y="24765000"/>
          <a:ext cx="76200" cy="209550"/>
        </a:xfrm>
        <a:prstGeom prst="rect">
          <a:avLst/>
        </a:prstGeom>
        <a:noFill/>
        <a:ln w="9525">
          <a:noFill/>
          <a:miter lim="800000"/>
          <a:headEnd/>
          <a:tailEnd/>
        </a:ln>
      </xdr:spPr>
    </xdr:sp>
    <xdr:clientData/>
  </xdr:twoCellAnchor>
  <xdr:twoCellAnchor editAs="oneCell">
    <xdr:from>
      <xdr:col>1</xdr:col>
      <xdr:colOff>0</xdr:colOff>
      <xdr:row>128</xdr:row>
      <xdr:rowOff>0</xdr:rowOff>
    </xdr:from>
    <xdr:to>
      <xdr:col>1</xdr:col>
      <xdr:colOff>76200</xdr:colOff>
      <xdr:row>129</xdr:row>
      <xdr:rowOff>19050</xdr:rowOff>
    </xdr:to>
    <xdr:sp macro="" textlink="">
      <xdr:nvSpPr>
        <xdr:cNvPr id="377790" name="Text Box 968"/>
        <xdr:cNvSpPr txBox="1">
          <a:spLocks noChangeArrowheads="1"/>
        </xdr:cNvSpPr>
      </xdr:nvSpPr>
      <xdr:spPr bwMode="auto">
        <a:xfrm>
          <a:off x="1152525" y="24765000"/>
          <a:ext cx="76200" cy="209550"/>
        </a:xfrm>
        <a:prstGeom prst="rect">
          <a:avLst/>
        </a:prstGeom>
        <a:noFill/>
        <a:ln w="9525">
          <a:noFill/>
          <a:miter lim="800000"/>
          <a:headEnd/>
          <a:tailEnd/>
        </a:ln>
      </xdr:spPr>
    </xdr:sp>
    <xdr:clientData/>
  </xdr:twoCellAnchor>
  <xdr:twoCellAnchor editAs="oneCell">
    <xdr:from>
      <xdr:col>1</xdr:col>
      <xdr:colOff>0</xdr:colOff>
      <xdr:row>128</xdr:row>
      <xdr:rowOff>0</xdr:rowOff>
    </xdr:from>
    <xdr:to>
      <xdr:col>1</xdr:col>
      <xdr:colOff>76200</xdr:colOff>
      <xdr:row>129</xdr:row>
      <xdr:rowOff>19050</xdr:rowOff>
    </xdr:to>
    <xdr:sp macro="" textlink="">
      <xdr:nvSpPr>
        <xdr:cNvPr id="377791" name="Text Box 969"/>
        <xdr:cNvSpPr txBox="1">
          <a:spLocks noChangeArrowheads="1"/>
        </xdr:cNvSpPr>
      </xdr:nvSpPr>
      <xdr:spPr bwMode="auto">
        <a:xfrm>
          <a:off x="1152525" y="24765000"/>
          <a:ext cx="76200" cy="209550"/>
        </a:xfrm>
        <a:prstGeom prst="rect">
          <a:avLst/>
        </a:prstGeom>
        <a:noFill/>
        <a:ln w="9525">
          <a:noFill/>
          <a:miter lim="800000"/>
          <a:headEnd/>
          <a:tailEnd/>
        </a:ln>
      </xdr:spPr>
    </xdr:sp>
    <xdr:clientData/>
  </xdr:twoCellAnchor>
  <xdr:twoCellAnchor editAs="oneCell">
    <xdr:from>
      <xdr:col>1</xdr:col>
      <xdr:colOff>0</xdr:colOff>
      <xdr:row>128</xdr:row>
      <xdr:rowOff>0</xdr:rowOff>
    </xdr:from>
    <xdr:to>
      <xdr:col>1</xdr:col>
      <xdr:colOff>76200</xdr:colOff>
      <xdr:row>129</xdr:row>
      <xdr:rowOff>19050</xdr:rowOff>
    </xdr:to>
    <xdr:sp macro="" textlink="">
      <xdr:nvSpPr>
        <xdr:cNvPr id="377792" name="Text Box 970"/>
        <xdr:cNvSpPr txBox="1">
          <a:spLocks noChangeArrowheads="1"/>
        </xdr:cNvSpPr>
      </xdr:nvSpPr>
      <xdr:spPr bwMode="auto">
        <a:xfrm>
          <a:off x="1152525" y="24765000"/>
          <a:ext cx="76200" cy="209550"/>
        </a:xfrm>
        <a:prstGeom prst="rect">
          <a:avLst/>
        </a:prstGeom>
        <a:noFill/>
        <a:ln w="9525">
          <a:noFill/>
          <a:miter lim="800000"/>
          <a:headEnd/>
          <a:tailEnd/>
        </a:ln>
      </xdr:spPr>
    </xdr:sp>
    <xdr:clientData/>
  </xdr:twoCellAnchor>
  <xdr:twoCellAnchor editAs="oneCell">
    <xdr:from>
      <xdr:col>1</xdr:col>
      <xdr:colOff>0</xdr:colOff>
      <xdr:row>129</xdr:row>
      <xdr:rowOff>0</xdr:rowOff>
    </xdr:from>
    <xdr:to>
      <xdr:col>1</xdr:col>
      <xdr:colOff>76200</xdr:colOff>
      <xdr:row>130</xdr:row>
      <xdr:rowOff>19050</xdr:rowOff>
    </xdr:to>
    <xdr:sp macro="" textlink="">
      <xdr:nvSpPr>
        <xdr:cNvPr id="377793" name="Text Box 971"/>
        <xdr:cNvSpPr txBox="1">
          <a:spLocks noChangeArrowheads="1"/>
        </xdr:cNvSpPr>
      </xdr:nvSpPr>
      <xdr:spPr bwMode="auto">
        <a:xfrm>
          <a:off x="1152525" y="24955500"/>
          <a:ext cx="76200" cy="209550"/>
        </a:xfrm>
        <a:prstGeom prst="rect">
          <a:avLst/>
        </a:prstGeom>
        <a:noFill/>
        <a:ln w="9525">
          <a:noFill/>
          <a:miter lim="800000"/>
          <a:headEnd/>
          <a:tailEnd/>
        </a:ln>
      </xdr:spPr>
    </xdr:sp>
    <xdr:clientData/>
  </xdr:twoCellAnchor>
  <xdr:twoCellAnchor editAs="oneCell">
    <xdr:from>
      <xdr:col>1</xdr:col>
      <xdr:colOff>0</xdr:colOff>
      <xdr:row>129</xdr:row>
      <xdr:rowOff>0</xdr:rowOff>
    </xdr:from>
    <xdr:to>
      <xdr:col>1</xdr:col>
      <xdr:colOff>76200</xdr:colOff>
      <xdr:row>130</xdr:row>
      <xdr:rowOff>19050</xdr:rowOff>
    </xdr:to>
    <xdr:sp macro="" textlink="">
      <xdr:nvSpPr>
        <xdr:cNvPr id="377794" name="Text Box 972"/>
        <xdr:cNvSpPr txBox="1">
          <a:spLocks noChangeArrowheads="1"/>
        </xdr:cNvSpPr>
      </xdr:nvSpPr>
      <xdr:spPr bwMode="auto">
        <a:xfrm>
          <a:off x="1152525" y="24955500"/>
          <a:ext cx="76200" cy="209550"/>
        </a:xfrm>
        <a:prstGeom prst="rect">
          <a:avLst/>
        </a:prstGeom>
        <a:noFill/>
        <a:ln w="9525">
          <a:noFill/>
          <a:miter lim="800000"/>
          <a:headEnd/>
          <a:tailEnd/>
        </a:ln>
      </xdr:spPr>
    </xdr:sp>
    <xdr:clientData/>
  </xdr:twoCellAnchor>
  <xdr:twoCellAnchor editAs="oneCell">
    <xdr:from>
      <xdr:col>1</xdr:col>
      <xdr:colOff>0</xdr:colOff>
      <xdr:row>129</xdr:row>
      <xdr:rowOff>0</xdr:rowOff>
    </xdr:from>
    <xdr:to>
      <xdr:col>1</xdr:col>
      <xdr:colOff>76200</xdr:colOff>
      <xdr:row>130</xdr:row>
      <xdr:rowOff>19050</xdr:rowOff>
    </xdr:to>
    <xdr:sp macro="" textlink="">
      <xdr:nvSpPr>
        <xdr:cNvPr id="377795" name="Text Box 973"/>
        <xdr:cNvSpPr txBox="1">
          <a:spLocks noChangeArrowheads="1"/>
        </xdr:cNvSpPr>
      </xdr:nvSpPr>
      <xdr:spPr bwMode="auto">
        <a:xfrm>
          <a:off x="1152525" y="24955500"/>
          <a:ext cx="76200" cy="209550"/>
        </a:xfrm>
        <a:prstGeom prst="rect">
          <a:avLst/>
        </a:prstGeom>
        <a:noFill/>
        <a:ln w="9525">
          <a:noFill/>
          <a:miter lim="800000"/>
          <a:headEnd/>
          <a:tailEnd/>
        </a:ln>
      </xdr:spPr>
    </xdr:sp>
    <xdr:clientData/>
  </xdr:twoCellAnchor>
  <xdr:twoCellAnchor editAs="oneCell">
    <xdr:from>
      <xdr:col>1</xdr:col>
      <xdr:colOff>0</xdr:colOff>
      <xdr:row>129</xdr:row>
      <xdr:rowOff>0</xdr:rowOff>
    </xdr:from>
    <xdr:to>
      <xdr:col>1</xdr:col>
      <xdr:colOff>76200</xdr:colOff>
      <xdr:row>130</xdr:row>
      <xdr:rowOff>19050</xdr:rowOff>
    </xdr:to>
    <xdr:sp macro="" textlink="">
      <xdr:nvSpPr>
        <xdr:cNvPr id="377796" name="Text Box 974"/>
        <xdr:cNvSpPr txBox="1">
          <a:spLocks noChangeArrowheads="1"/>
        </xdr:cNvSpPr>
      </xdr:nvSpPr>
      <xdr:spPr bwMode="auto">
        <a:xfrm>
          <a:off x="1152525" y="24955500"/>
          <a:ext cx="76200" cy="209550"/>
        </a:xfrm>
        <a:prstGeom prst="rect">
          <a:avLst/>
        </a:prstGeom>
        <a:noFill/>
        <a:ln w="9525">
          <a:noFill/>
          <a:miter lim="800000"/>
          <a:headEnd/>
          <a:tailEnd/>
        </a:ln>
      </xdr:spPr>
    </xdr:sp>
    <xdr:clientData/>
  </xdr:twoCellAnchor>
  <xdr:twoCellAnchor editAs="oneCell">
    <xdr:from>
      <xdr:col>1</xdr:col>
      <xdr:colOff>0</xdr:colOff>
      <xdr:row>130</xdr:row>
      <xdr:rowOff>0</xdr:rowOff>
    </xdr:from>
    <xdr:to>
      <xdr:col>1</xdr:col>
      <xdr:colOff>76200</xdr:colOff>
      <xdr:row>131</xdr:row>
      <xdr:rowOff>19050</xdr:rowOff>
    </xdr:to>
    <xdr:sp macro="" textlink="">
      <xdr:nvSpPr>
        <xdr:cNvPr id="377797" name="Text Box 975"/>
        <xdr:cNvSpPr txBox="1">
          <a:spLocks noChangeArrowheads="1"/>
        </xdr:cNvSpPr>
      </xdr:nvSpPr>
      <xdr:spPr bwMode="auto">
        <a:xfrm>
          <a:off x="1152525" y="25146000"/>
          <a:ext cx="76200" cy="209550"/>
        </a:xfrm>
        <a:prstGeom prst="rect">
          <a:avLst/>
        </a:prstGeom>
        <a:noFill/>
        <a:ln w="9525">
          <a:noFill/>
          <a:miter lim="800000"/>
          <a:headEnd/>
          <a:tailEnd/>
        </a:ln>
      </xdr:spPr>
    </xdr:sp>
    <xdr:clientData/>
  </xdr:twoCellAnchor>
  <xdr:twoCellAnchor editAs="oneCell">
    <xdr:from>
      <xdr:col>1</xdr:col>
      <xdr:colOff>0</xdr:colOff>
      <xdr:row>130</xdr:row>
      <xdr:rowOff>0</xdr:rowOff>
    </xdr:from>
    <xdr:to>
      <xdr:col>1</xdr:col>
      <xdr:colOff>76200</xdr:colOff>
      <xdr:row>131</xdr:row>
      <xdr:rowOff>19050</xdr:rowOff>
    </xdr:to>
    <xdr:sp macro="" textlink="">
      <xdr:nvSpPr>
        <xdr:cNvPr id="377798" name="Text Box 976"/>
        <xdr:cNvSpPr txBox="1">
          <a:spLocks noChangeArrowheads="1"/>
        </xdr:cNvSpPr>
      </xdr:nvSpPr>
      <xdr:spPr bwMode="auto">
        <a:xfrm>
          <a:off x="1152525" y="25146000"/>
          <a:ext cx="76200" cy="209550"/>
        </a:xfrm>
        <a:prstGeom prst="rect">
          <a:avLst/>
        </a:prstGeom>
        <a:noFill/>
        <a:ln w="9525">
          <a:noFill/>
          <a:miter lim="800000"/>
          <a:headEnd/>
          <a:tailEnd/>
        </a:ln>
      </xdr:spPr>
    </xdr:sp>
    <xdr:clientData/>
  </xdr:twoCellAnchor>
  <xdr:twoCellAnchor editAs="oneCell">
    <xdr:from>
      <xdr:col>1</xdr:col>
      <xdr:colOff>0</xdr:colOff>
      <xdr:row>130</xdr:row>
      <xdr:rowOff>0</xdr:rowOff>
    </xdr:from>
    <xdr:to>
      <xdr:col>1</xdr:col>
      <xdr:colOff>76200</xdr:colOff>
      <xdr:row>131</xdr:row>
      <xdr:rowOff>19050</xdr:rowOff>
    </xdr:to>
    <xdr:sp macro="" textlink="">
      <xdr:nvSpPr>
        <xdr:cNvPr id="377799" name="Text Box 977"/>
        <xdr:cNvSpPr txBox="1">
          <a:spLocks noChangeArrowheads="1"/>
        </xdr:cNvSpPr>
      </xdr:nvSpPr>
      <xdr:spPr bwMode="auto">
        <a:xfrm>
          <a:off x="1152525" y="25146000"/>
          <a:ext cx="76200" cy="209550"/>
        </a:xfrm>
        <a:prstGeom prst="rect">
          <a:avLst/>
        </a:prstGeom>
        <a:noFill/>
        <a:ln w="9525">
          <a:noFill/>
          <a:miter lim="800000"/>
          <a:headEnd/>
          <a:tailEnd/>
        </a:ln>
      </xdr:spPr>
    </xdr:sp>
    <xdr:clientData/>
  </xdr:twoCellAnchor>
  <xdr:twoCellAnchor editAs="oneCell">
    <xdr:from>
      <xdr:col>1</xdr:col>
      <xdr:colOff>0</xdr:colOff>
      <xdr:row>130</xdr:row>
      <xdr:rowOff>0</xdr:rowOff>
    </xdr:from>
    <xdr:to>
      <xdr:col>1</xdr:col>
      <xdr:colOff>76200</xdr:colOff>
      <xdr:row>131</xdr:row>
      <xdr:rowOff>19050</xdr:rowOff>
    </xdr:to>
    <xdr:sp macro="" textlink="">
      <xdr:nvSpPr>
        <xdr:cNvPr id="377800" name="Text Box 978"/>
        <xdr:cNvSpPr txBox="1">
          <a:spLocks noChangeArrowheads="1"/>
        </xdr:cNvSpPr>
      </xdr:nvSpPr>
      <xdr:spPr bwMode="auto">
        <a:xfrm>
          <a:off x="1152525" y="25146000"/>
          <a:ext cx="76200" cy="209550"/>
        </a:xfrm>
        <a:prstGeom prst="rect">
          <a:avLst/>
        </a:prstGeom>
        <a:noFill/>
        <a:ln w="9525">
          <a:noFill/>
          <a:miter lim="800000"/>
          <a:headEnd/>
          <a:tailEnd/>
        </a:ln>
      </xdr:spPr>
    </xdr:sp>
    <xdr:clientData/>
  </xdr:twoCellAnchor>
  <xdr:twoCellAnchor editAs="oneCell">
    <xdr:from>
      <xdr:col>1</xdr:col>
      <xdr:colOff>0</xdr:colOff>
      <xdr:row>131</xdr:row>
      <xdr:rowOff>0</xdr:rowOff>
    </xdr:from>
    <xdr:to>
      <xdr:col>1</xdr:col>
      <xdr:colOff>76200</xdr:colOff>
      <xdr:row>132</xdr:row>
      <xdr:rowOff>19050</xdr:rowOff>
    </xdr:to>
    <xdr:sp macro="" textlink="">
      <xdr:nvSpPr>
        <xdr:cNvPr id="377801" name="Text Box 979"/>
        <xdr:cNvSpPr txBox="1">
          <a:spLocks noChangeArrowheads="1"/>
        </xdr:cNvSpPr>
      </xdr:nvSpPr>
      <xdr:spPr bwMode="auto">
        <a:xfrm>
          <a:off x="1152525" y="25336500"/>
          <a:ext cx="76200" cy="209550"/>
        </a:xfrm>
        <a:prstGeom prst="rect">
          <a:avLst/>
        </a:prstGeom>
        <a:noFill/>
        <a:ln w="9525">
          <a:noFill/>
          <a:miter lim="800000"/>
          <a:headEnd/>
          <a:tailEnd/>
        </a:ln>
      </xdr:spPr>
    </xdr:sp>
    <xdr:clientData/>
  </xdr:twoCellAnchor>
  <xdr:twoCellAnchor editAs="oneCell">
    <xdr:from>
      <xdr:col>1</xdr:col>
      <xdr:colOff>0</xdr:colOff>
      <xdr:row>131</xdr:row>
      <xdr:rowOff>0</xdr:rowOff>
    </xdr:from>
    <xdr:to>
      <xdr:col>1</xdr:col>
      <xdr:colOff>76200</xdr:colOff>
      <xdr:row>132</xdr:row>
      <xdr:rowOff>19050</xdr:rowOff>
    </xdr:to>
    <xdr:sp macro="" textlink="">
      <xdr:nvSpPr>
        <xdr:cNvPr id="377802" name="Text Box 980"/>
        <xdr:cNvSpPr txBox="1">
          <a:spLocks noChangeArrowheads="1"/>
        </xdr:cNvSpPr>
      </xdr:nvSpPr>
      <xdr:spPr bwMode="auto">
        <a:xfrm>
          <a:off x="1152525" y="25336500"/>
          <a:ext cx="76200" cy="209550"/>
        </a:xfrm>
        <a:prstGeom prst="rect">
          <a:avLst/>
        </a:prstGeom>
        <a:noFill/>
        <a:ln w="9525">
          <a:noFill/>
          <a:miter lim="800000"/>
          <a:headEnd/>
          <a:tailEnd/>
        </a:ln>
      </xdr:spPr>
    </xdr:sp>
    <xdr:clientData/>
  </xdr:twoCellAnchor>
  <xdr:twoCellAnchor editAs="oneCell">
    <xdr:from>
      <xdr:col>1</xdr:col>
      <xdr:colOff>0</xdr:colOff>
      <xdr:row>131</xdr:row>
      <xdr:rowOff>0</xdr:rowOff>
    </xdr:from>
    <xdr:to>
      <xdr:col>1</xdr:col>
      <xdr:colOff>76200</xdr:colOff>
      <xdr:row>132</xdr:row>
      <xdr:rowOff>19050</xdr:rowOff>
    </xdr:to>
    <xdr:sp macro="" textlink="">
      <xdr:nvSpPr>
        <xdr:cNvPr id="377803" name="Text Box 981"/>
        <xdr:cNvSpPr txBox="1">
          <a:spLocks noChangeArrowheads="1"/>
        </xdr:cNvSpPr>
      </xdr:nvSpPr>
      <xdr:spPr bwMode="auto">
        <a:xfrm>
          <a:off x="1152525" y="25336500"/>
          <a:ext cx="76200" cy="209550"/>
        </a:xfrm>
        <a:prstGeom prst="rect">
          <a:avLst/>
        </a:prstGeom>
        <a:noFill/>
        <a:ln w="9525">
          <a:noFill/>
          <a:miter lim="800000"/>
          <a:headEnd/>
          <a:tailEnd/>
        </a:ln>
      </xdr:spPr>
    </xdr:sp>
    <xdr:clientData/>
  </xdr:twoCellAnchor>
  <xdr:twoCellAnchor editAs="oneCell">
    <xdr:from>
      <xdr:col>1</xdr:col>
      <xdr:colOff>0</xdr:colOff>
      <xdr:row>131</xdr:row>
      <xdr:rowOff>0</xdr:rowOff>
    </xdr:from>
    <xdr:to>
      <xdr:col>1</xdr:col>
      <xdr:colOff>76200</xdr:colOff>
      <xdr:row>132</xdr:row>
      <xdr:rowOff>19050</xdr:rowOff>
    </xdr:to>
    <xdr:sp macro="" textlink="">
      <xdr:nvSpPr>
        <xdr:cNvPr id="377804" name="Text Box 982"/>
        <xdr:cNvSpPr txBox="1">
          <a:spLocks noChangeArrowheads="1"/>
        </xdr:cNvSpPr>
      </xdr:nvSpPr>
      <xdr:spPr bwMode="auto">
        <a:xfrm>
          <a:off x="1152525" y="25336500"/>
          <a:ext cx="76200" cy="209550"/>
        </a:xfrm>
        <a:prstGeom prst="rect">
          <a:avLst/>
        </a:prstGeom>
        <a:noFill/>
        <a:ln w="9525">
          <a:noFill/>
          <a:miter lim="800000"/>
          <a:headEnd/>
          <a:tailEnd/>
        </a:ln>
      </xdr:spPr>
    </xdr:sp>
    <xdr:clientData/>
  </xdr:twoCellAnchor>
  <xdr:twoCellAnchor editAs="oneCell">
    <xdr:from>
      <xdr:col>1</xdr:col>
      <xdr:colOff>0</xdr:colOff>
      <xdr:row>132</xdr:row>
      <xdr:rowOff>0</xdr:rowOff>
    </xdr:from>
    <xdr:to>
      <xdr:col>1</xdr:col>
      <xdr:colOff>76200</xdr:colOff>
      <xdr:row>133</xdr:row>
      <xdr:rowOff>19050</xdr:rowOff>
    </xdr:to>
    <xdr:sp macro="" textlink="">
      <xdr:nvSpPr>
        <xdr:cNvPr id="377805" name="Text Box 983"/>
        <xdr:cNvSpPr txBox="1">
          <a:spLocks noChangeArrowheads="1"/>
        </xdr:cNvSpPr>
      </xdr:nvSpPr>
      <xdr:spPr bwMode="auto">
        <a:xfrm>
          <a:off x="1152525" y="25527000"/>
          <a:ext cx="76200" cy="209550"/>
        </a:xfrm>
        <a:prstGeom prst="rect">
          <a:avLst/>
        </a:prstGeom>
        <a:noFill/>
        <a:ln w="9525">
          <a:noFill/>
          <a:miter lim="800000"/>
          <a:headEnd/>
          <a:tailEnd/>
        </a:ln>
      </xdr:spPr>
    </xdr:sp>
    <xdr:clientData/>
  </xdr:twoCellAnchor>
  <xdr:twoCellAnchor editAs="oneCell">
    <xdr:from>
      <xdr:col>1</xdr:col>
      <xdr:colOff>0</xdr:colOff>
      <xdr:row>132</xdr:row>
      <xdr:rowOff>0</xdr:rowOff>
    </xdr:from>
    <xdr:to>
      <xdr:col>1</xdr:col>
      <xdr:colOff>76200</xdr:colOff>
      <xdr:row>133</xdr:row>
      <xdr:rowOff>19050</xdr:rowOff>
    </xdr:to>
    <xdr:sp macro="" textlink="">
      <xdr:nvSpPr>
        <xdr:cNvPr id="377806" name="Text Box 984"/>
        <xdr:cNvSpPr txBox="1">
          <a:spLocks noChangeArrowheads="1"/>
        </xdr:cNvSpPr>
      </xdr:nvSpPr>
      <xdr:spPr bwMode="auto">
        <a:xfrm>
          <a:off x="1152525" y="25527000"/>
          <a:ext cx="76200" cy="209550"/>
        </a:xfrm>
        <a:prstGeom prst="rect">
          <a:avLst/>
        </a:prstGeom>
        <a:noFill/>
        <a:ln w="9525">
          <a:noFill/>
          <a:miter lim="800000"/>
          <a:headEnd/>
          <a:tailEnd/>
        </a:ln>
      </xdr:spPr>
    </xdr:sp>
    <xdr:clientData/>
  </xdr:twoCellAnchor>
  <xdr:twoCellAnchor editAs="oneCell">
    <xdr:from>
      <xdr:col>1</xdr:col>
      <xdr:colOff>0</xdr:colOff>
      <xdr:row>132</xdr:row>
      <xdr:rowOff>0</xdr:rowOff>
    </xdr:from>
    <xdr:to>
      <xdr:col>1</xdr:col>
      <xdr:colOff>76200</xdr:colOff>
      <xdr:row>133</xdr:row>
      <xdr:rowOff>19050</xdr:rowOff>
    </xdr:to>
    <xdr:sp macro="" textlink="">
      <xdr:nvSpPr>
        <xdr:cNvPr id="377807" name="Text Box 985"/>
        <xdr:cNvSpPr txBox="1">
          <a:spLocks noChangeArrowheads="1"/>
        </xdr:cNvSpPr>
      </xdr:nvSpPr>
      <xdr:spPr bwMode="auto">
        <a:xfrm>
          <a:off x="1152525" y="25527000"/>
          <a:ext cx="76200" cy="209550"/>
        </a:xfrm>
        <a:prstGeom prst="rect">
          <a:avLst/>
        </a:prstGeom>
        <a:noFill/>
        <a:ln w="9525">
          <a:noFill/>
          <a:miter lim="800000"/>
          <a:headEnd/>
          <a:tailEnd/>
        </a:ln>
      </xdr:spPr>
    </xdr:sp>
    <xdr:clientData/>
  </xdr:twoCellAnchor>
  <xdr:twoCellAnchor editAs="oneCell">
    <xdr:from>
      <xdr:col>1</xdr:col>
      <xdr:colOff>0</xdr:colOff>
      <xdr:row>132</xdr:row>
      <xdr:rowOff>0</xdr:rowOff>
    </xdr:from>
    <xdr:to>
      <xdr:col>1</xdr:col>
      <xdr:colOff>76200</xdr:colOff>
      <xdr:row>133</xdr:row>
      <xdr:rowOff>19050</xdr:rowOff>
    </xdr:to>
    <xdr:sp macro="" textlink="">
      <xdr:nvSpPr>
        <xdr:cNvPr id="377808" name="Text Box 986"/>
        <xdr:cNvSpPr txBox="1">
          <a:spLocks noChangeArrowheads="1"/>
        </xdr:cNvSpPr>
      </xdr:nvSpPr>
      <xdr:spPr bwMode="auto">
        <a:xfrm>
          <a:off x="1152525" y="25527000"/>
          <a:ext cx="76200" cy="209550"/>
        </a:xfrm>
        <a:prstGeom prst="rect">
          <a:avLst/>
        </a:prstGeom>
        <a:noFill/>
        <a:ln w="9525">
          <a:noFill/>
          <a:miter lim="800000"/>
          <a:headEnd/>
          <a:tailEnd/>
        </a:ln>
      </xdr:spPr>
    </xdr:sp>
    <xdr:clientData/>
  </xdr:twoCellAnchor>
  <xdr:twoCellAnchor editAs="oneCell">
    <xdr:from>
      <xdr:col>1</xdr:col>
      <xdr:colOff>0</xdr:colOff>
      <xdr:row>133</xdr:row>
      <xdr:rowOff>0</xdr:rowOff>
    </xdr:from>
    <xdr:to>
      <xdr:col>1</xdr:col>
      <xdr:colOff>76200</xdr:colOff>
      <xdr:row>134</xdr:row>
      <xdr:rowOff>19050</xdr:rowOff>
    </xdr:to>
    <xdr:sp macro="" textlink="">
      <xdr:nvSpPr>
        <xdr:cNvPr id="377809" name="Text Box 987"/>
        <xdr:cNvSpPr txBox="1">
          <a:spLocks noChangeArrowheads="1"/>
        </xdr:cNvSpPr>
      </xdr:nvSpPr>
      <xdr:spPr bwMode="auto">
        <a:xfrm>
          <a:off x="1152525" y="25717500"/>
          <a:ext cx="76200" cy="209550"/>
        </a:xfrm>
        <a:prstGeom prst="rect">
          <a:avLst/>
        </a:prstGeom>
        <a:noFill/>
        <a:ln w="9525">
          <a:noFill/>
          <a:miter lim="800000"/>
          <a:headEnd/>
          <a:tailEnd/>
        </a:ln>
      </xdr:spPr>
    </xdr:sp>
    <xdr:clientData/>
  </xdr:twoCellAnchor>
  <xdr:twoCellAnchor editAs="oneCell">
    <xdr:from>
      <xdr:col>1</xdr:col>
      <xdr:colOff>0</xdr:colOff>
      <xdr:row>133</xdr:row>
      <xdr:rowOff>0</xdr:rowOff>
    </xdr:from>
    <xdr:to>
      <xdr:col>1</xdr:col>
      <xdr:colOff>76200</xdr:colOff>
      <xdr:row>134</xdr:row>
      <xdr:rowOff>19050</xdr:rowOff>
    </xdr:to>
    <xdr:sp macro="" textlink="">
      <xdr:nvSpPr>
        <xdr:cNvPr id="377810" name="Text Box 988"/>
        <xdr:cNvSpPr txBox="1">
          <a:spLocks noChangeArrowheads="1"/>
        </xdr:cNvSpPr>
      </xdr:nvSpPr>
      <xdr:spPr bwMode="auto">
        <a:xfrm>
          <a:off x="1152525" y="25717500"/>
          <a:ext cx="76200" cy="209550"/>
        </a:xfrm>
        <a:prstGeom prst="rect">
          <a:avLst/>
        </a:prstGeom>
        <a:noFill/>
        <a:ln w="9525">
          <a:noFill/>
          <a:miter lim="800000"/>
          <a:headEnd/>
          <a:tailEnd/>
        </a:ln>
      </xdr:spPr>
    </xdr:sp>
    <xdr:clientData/>
  </xdr:twoCellAnchor>
  <xdr:twoCellAnchor editAs="oneCell">
    <xdr:from>
      <xdr:col>1</xdr:col>
      <xdr:colOff>0</xdr:colOff>
      <xdr:row>133</xdr:row>
      <xdr:rowOff>0</xdr:rowOff>
    </xdr:from>
    <xdr:to>
      <xdr:col>1</xdr:col>
      <xdr:colOff>76200</xdr:colOff>
      <xdr:row>134</xdr:row>
      <xdr:rowOff>19050</xdr:rowOff>
    </xdr:to>
    <xdr:sp macro="" textlink="">
      <xdr:nvSpPr>
        <xdr:cNvPr id="377811" name="Text Box 989"/>
        <xdr:cNvSpPr txBox="1">
          <a:spLocks noChangeArrowheads="1"/>
        </xdr:cNvSpPr>
      </xdr:nvSpPr>
      <xdr:spPr bwMode="auto">
        <a:xfrm>
          <a:off x="1152525" y="25717500"/>
          <a:ext cx="76200" cy="209550"/>
        </a:xfrm>
        <a:prstGeom prst="rect">
          <a:avLst/>
        </a:prstGeom>
        <a:noFill/>
        <a:ln w="9525">
          <a:noFill/>
          <a:miter lim="800000"/>
          <a:headEnd/>
          <a:tailEnd/>
        </a:ln>
      </xdr:spPr>
    </xdr:sp>
    <xdr:clientData/>
  </xdr:twoCellAnchor>
  <xdr:twoCellAnchor editAs="oneCell">
    <xdr:from>
      <xdr:col>1</xdr:col>
      <xdr:colOff>0</xdr:colOff>
      <xdr:row>133</xdr:row>
      <xdr:rowOff>0</xdr:rowOff>
    </xdr:from>
    <xdr:to>
      <xdr:col>1</xdr:col>
      <xdr:colOff>76200</xdr:colOff>
      <xdr:row>134</xdr:row>
      <xdr:rowOff>19050</xdr:rowOff>
    </xdr:to>
    <xdr:sp macro="" textlink="">
      <xdr:nvSpPr>
        <xdr:cNvPr id="377812" name="Text Box 990"/>
        <xdr:cNvSpPr txBox="1">
          <a:spLocks noChangeArrowheads="1"/>
        </xdr:cNvSpPr>
      </xdr:nvSpPr>
      <xdr:spPr bwMode="auto">
        <a:xfrm>
          <a:off x="1152525" y="25717500"/>
          <a:ext cx="76200" cy="209550"/>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76200</xdr:colOff>
      <xdr:row>135</xdr:row>
      <xdr:rowOff>19050</xdr:rowOff>
    </xdr:to>
    <xdr:sp macro="" textlink="">
      <xdr:nvSpPr>
        <xdr:cNvPr id="377813" name="Text Box 991"/>
        <xdr:cNvSpPr txBox="1">
          <a:spLocks noChangeArrowheads="1"/>
        </xdr:cNvSpPr>
      </xdr:nvSpPr>
      <xdr:spPr bwMode="auto">
        <a:xfrm>
          <a:off x="1152525" y="25908000"/>
          <a:ext cx="76200" cy="209550"/>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76200</xdr:colOff>
      <xdr:row>135</xdr:row>
      <xdr:rowOff>19050</xdr:rowOff>
    </xdr:to>
    <xdr:sp macro="" textlink="">
      <xdr:nvSpPr>
        <xdr:cNvPr id="377814" name="Text Box 992"/>
        <xdr:cNvSpPr txBox="1">
          <a:spLocks noChangeArrowheads="1"/>
        </xdr:cNvSpPr>
      </xdr:nvSpPr>
      <xdr:spPr bwMode="auto">
        <a:xfrm>
          <a:off x="1152525" y="25908000"/>
          <a:ext cx="76200" cy="209550"/>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76200</xdr:colOff>
      <xdr:row>135</xdr:row>
      <xdr:rowOff>19050</xdr:rowOff>
    </xdr:to>
    <xdr:sp macro="" textlink="">
      <xdr:nvSpPr>
        <xdr:cNvPr id="377815" name="Text Box 993"/>
        <xdr:cNvSpPr txBox="1">
          <a:spLocks noChangeArrowheads="1"/>
        </xdr:cNvSpPr>
      </xdr:nvSpPr>
      <xdr:spPr bwMode="auto">
        <a:xfrm>
          <a:off x="1152525" y="25908000"/>
          <a:ext cx="76200" cy="209550"/>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76200</xdr:colOff>
      <xdr:row>135</xdr:row>
      <xdr:rowOff>19050</xdr:rowOff>
    </xdr:to>
    <xdr:sp macro="" textlink="">
      <xdr:nvSpPr>
        <xdr:cNvPr id="377816" name="Text Box 994"/>
        <xdr:cNvSpPr txBox="1">
          <a:spLocks noChangeArrowheads="1"/>
        </xdr:cNvSpPr>
      </xdr:nvSpPr>
      <xdr:spPr bwMode="auto">
        <a:xfrm>
          <a:off x="1152525" y="25908000"/>
          <a:ext cx="76200" cy="20955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76200</xdr:colOff>
      <xdr:row>136</xdr:row>
      <xdr:rowOff>19050</xdr:rowOff>
    </xdr:to>
    <xdr:sp macro="" textlink="">
      <xdr:nvSpPr>
        <xdr:cNvPr id="377817" name="Text Box 995"/>
        <xdr:cNvSpPr txBox="1">
          <a:spLocks noChangeArrowheads="1"/>
        </xdr:cNvSpPr>
      </xdr:nvSpPr>
      <xdr:spPr bwMode="auto">
        <a:xfrm>
          <a:off x="1152525" y="26098500"/>
          <a:ext cx="76200" cy="20955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76200</xdr:colOff>
      <xdr:row>136</xdr:row>
      <xdr:rowOff>19050</xdr:rowOff>
    </xdr:to>
    <xdr:sp macro="" textlink="">
      <xdr:nvSpPr>
        <xdr:cNvPr id="377818" name="Text Box 996"/>
        <xdr:cNvSpPr txBox="1">
          <a:spLocks noChangeArrowheads="1"/>
        </xdr:cNvSpPr>
      </xdr:nvSpPr>
      <xdr:spPr bwMode="auto">
        <a:xfrm>
          <a:off x="1152525" y="26098500"/>
          <a:ext cx="76200" cy="20955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76200</xdr:colOff>
      <xdr:row>136</xdr:row>
      <xdr:rowOff>19050</xdr:rowOff>
    </xdr:to>
    <xdr:sp macro="" textlink="">
      <xdr:nvSpPr>
        <xdr:cNvPr id="377819" name="Text Box 997"/>
        <xdr:cNvSpPr txBox="1">
          <a:spLocks noChangeArrowheads="1"/>
        </xdr:cNvSpPr>
      </xdr:nvSpPr>
      <xdr:spPr bwMode="auto">
        <a:xfrm>
          <a:off x="1152525" y="26098500"/>
          <a:ext cx="76200" cy="20955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76200</xdr:colOff>
      <xdr:row>136</xdr:row>
      <xdr:rowOff>19050</xdr:rowOff>
    </xdr:to>
    <xdr:sp macro="" textlink="">
      <xdr:nvSpPr>
        <xdr:cNvPr id="377820" name="Text Box 998"/>
        <xdr:cNvSpPr txBox="1">
          <a:spLocks noChangeArrowheads="1"/>
        </xdr:cNvSpPr>
      </xdr:nvSpPr>
      <xdr:spPr bwMode="auto">
        <a:xfrm>
          <a:off x="1152525" y="26098500"/>
          <a:ext cx="76200" cy="209550"/>
        </a:xfrm>
        <a:prstGeom prst="rect">
          <a:avLst/>
        </a:prstGeom>
        <a:noFill/>
        <a:ln w="9525">
          <a:noFill/>
          <a:miter lim="800000"/>
          <a:headEnd/>
          <a:tailEnd/>
        </a:ln>
      </xdr:spPr>
    </xdr:sp>
    <xdr:clientData/>
  </xdr:twoCellAnchor>
  <xdr:twoCellAnchor editAs="oneCell">
    <xdr:from>
      <xdr:col>1</xdr:col>
      <xdr:colOff>0</xdr:colOff>
      <xdr:row>136</xdr:row>
      <xdr:rowOff>0</xdr:rowOff>
    </xdr:from>
    <xdr:to>
      <xdr:col>1</xdr:col>
      <xdr:colOff>76200</xdr:colOff>
      <xdr:row>137</xdr:row>
      <xdr:rowOff>19050</xdr:rowOff>
    </xdr:to>
    <xdr:sp macro="" textlink="">
      <xdr:nvSpPr>
        <xdr:cNvPr id="377821" name="Text Box 999"/>
        <xdr:cNvSpPr txBox="1">
          <a:spLocks noChangeArrowheads="1"/>
        </xdr:cNvSpPr>
      </xdr:nvSpPr>
      <xdr:spPr bwMode="auto">
        <a:xfrm>
          <a:off x="1152525" y="26289000"/>
          <a:ext cx="76200" cy="209550"/>
        </a:xfrm>
        <a:prstGeom prst="rect">
          <a:avLst/>
        </a:prstGeom>
        <a:noFill/>
        <a:ln w="9525">
          <a:noFill/>
          <a:miter lim="800000"/>
          <a:headEnd/>
          <a:tailEnd/>
        </a:ln>
      </xdr:spPr>
    </xdr:sp>
    <xdr:clientData/>
  </xdr:twoCellAnchor>
  <xdr:twoCellAnchor editAs="oneCell">
    <xdr:from>
      <xdr:col>1</xdr:col>
      <xdr:colOff>0</xdr:colOff>
      <xdr:row>136</xdr:row>
      <xdr:rowOff>0</xdr:rowOff>
    </xdr:from>
    <xdr:to>
      <xdr:col>1</xdr:col>
      <xdr:colOff>76200</xdr:colOff>
      <xdr:row>137</xdr:row>
      <xdr:rowOff>19050</xdr:rowOff>
    </xdr:to>
    <xdr:sp macro="" textlink="">
      <xdr:nvSpPr>
        <xdr:cNvPr id="377822" name="Text Box 1000"/>
        <xdr:cNvSpPr txBox="1">
          <a:spLocks noChangeArrowheads="1"/>
        </xdr:cNvSpPr>
      </xdr:nvSpPr>
      <xdr:spPr bwMode="auto">
        <a:xfrm>
          <a:off x="1152525" y="26289000"/>
          <a:ext cx="76200" cy="209550"/>
        </a:xfrm>
        <a:prstGeom prst="rect">
          <a:avLst/>
        </a:prstGeom>
        <a:noFill/>
        <a:ln w="9525">
          <a:noFill/>
          <a:miter lim="800000"/>
          <a:headEnd/>
          <a:tailEnd/>
        </a:ln>
      </xdr:spPr>
    </xdr:sp>
    <xdr:clientData/>
  </xdr:twoCellAnchor>
  <xdr:twoCellAnchor editAs="oneCell">
    <xdr:from>
      <xdr:col>1</xdr:col>
      <xdr:colOff>0</xdr:colOff>
      <xdr:row>136</xdr:row>
      <xdr:rowOff>0</xdr:rowOff>
    </xdr:from>
    <xdr:to>
      <xdr:col>1</xdr:col>
      <xdr:colOff>76200</xdr:colOff>
      <xdr:row>137</xdr:row>
      <xdr:rowOff>19050</xdr:rowOff>
    </xdr:to>
    <xdr:sp macro="" textlink="">
      <xdr:nvSpPr>
        <xdr:cNvPr id="377823" name="Text Box 1001"/>
        <xdr:cNvSpPr txBox="1">
          <a:spLocks noChangeArrowheads="1"/>
        </xdr:cNvSpPr>
      </xdr:nvSpPr>
      <xdr:spPr bwMode="auto">
        <a:xfrm>
          <a:off x="1152525" y="26289000"/>
          <a:ext cx="76200" cy="209550"/>
        </a:xfrm>
        <a:prstGeom prst="rect">
          <a:avLst/>
        </a:prstGeom>
        <a:noFill/>
        <a:ln w="9525">
          <a:noFill/>
          <a:miter lim="800000"/>
          <a:headEnd/>
          <a:tailEnd/>
        </a:ln>
      </xdr:spPr>
    </xdr:sp>
    <xdr:clientData/>
  </xdr:twoCellAnchor>
  <xdr:twoCellAnchor editAs="oneCell">
    <xdr:from>
      <xdr:col>1</xdr:col>
      <xdr:colOff>0</xdr:colOff>
      <xdr:row>136</xdr:row>
      <xdr:rowOff>0</xdr:rowOff>
    </xdr:from>
    <xdr:to>
      <xdr:col>1</xdr:col>
      <xdr:colOff>76200</xdr:colOff>
      <xdr:row>137</xdr:row>
      <xdr:rowOff>19050</xdr:rowOff>
    </xdr:to>
    <xdr:sp macro="" textlink="">
      <xdr:nvSpPr>
        <xdr:cNvPr id="377824" name="Text Box 1002"/>
        <xdr:cNvSpPr txBox="1">
          <a:spLocks noChangeArrowheads="1"/>
        </xdr:cNvSpPr>
      </xdr:nvSpPr>
      <xdr:spPr bwMode="auto">
        <a:xfrm>
          <a:off x="1152525" y="26289000"/>
          <a:ext cx="76200" cy="209550"/>
        </a:xfrm>
        <a:prstGeom prst="rect">
          <a:avLst/>
        </a:prstGeom>
        <a:noFill/>
        <a:ln w="9525">
          <a:noFill/>
          <a:miter lim="800000"/>
          <a:headEnd/>
          <a:tailEnd/>
        </a:ln>
      </xdr:spPr>
    </xdr:sp>
    <xdr:clientData/>
  </xdr:twoCellAnchor>
  <xdr:twoCellAnchor editAs="oneCell">
    <xdr:from>
      <xdr:col>1</xdr:col>
      <xdr:colOff>0</xdr:colOff>
      <xdr:row>137</xdr:row>
      <xdr:rowOff>0</xdr:rowOff>
    </xdr:from>
    <xdr:to>
      <xdr:col>1</xdr:col>
      <xdr:colOff>76200</xdr:colOff>
      <xdr:row>138</xdr:row>
      <xdr:rowOff>19050</xdr:rowOff>
    </xdr:to>
    <xdr:sp macro="" textlink="">
      <xdr:nvSpPr>
        <xdr:cNvPr id="377825" name="Text Box 1003"/>
        <xdr:cNvSpPr txBox="1">
          <a:spLocks noChangeArrowheads="1"/>
        </xdr:cNvSpPr>
      </xdr:nvSpPr>
      <xdr:spPr bwMode="auto">
        <a:xfrm>
          <a:off x="1152525" y="26479500"/>
          <a:ext cx="76200" cy="209550"/>
        </a:xfrm>
        <a:prstGeom prst="rect">
          <a:avLst/>
        </a:prstGeom>
        <a:noFill/>
        <a:ln w="9525">
          <a:noFill/>
          <a:miter lim="800000"/>
          <a:headEnd/>
          <a:tailEnd/>
        </a:ln>
      </xdr:spPr>
    </xdr:sp>
    <xdr:clientData/>
  </xdr:twoCellAnchor>
  <xdr:twoCellAnchor editAs="oneCell">
    <xdr:from>
      <xdr:col>1</xdr:col>
      <xdr:colOff>0</xdr:colOff>
      <xdr:row>137</xdr:row>
      <xdr:rowOff>0</xdr:rowOff>
    </xdr:from>
    <xdr:to>
      <xdr:col>1</xdr:col>
      <xdr:colOff>76200</xdr:colOff>
      <xdr:row>138</xdr:row>
      <xdr:rowOff>19050</xdr:rowOff>
    </xdr:to>
    <xdr:sp macro="" textlink="">
      <xdr:nvSpPr>
        <xdr:cNvPr id="377826" name="Text Box 1004"/>
        <xdr:cNvSpPr txBox="1">
          <a:spLocks noChangeArrowheads="1"/>
        </xdr:cNvSpPr>
      </xdr:nvSpPr>
      <xdr:spPr bwMode="auto">
        <a:xfrm>
          <a:off x="1152525" y="26479500"/>
          <a:ext cx="76200" cy="209550"/>
        </a:xfrm>
        <a:prstGeom prst="rect">
          <a:avLst/>
        </a:prstGeom>
        <a:noFill/>
        <a:ln w="9525">
          <a:noFill/>
          <a:miter lim="800000"/>
          <a:headEnd/>
          <a:tailEnd/>
        </a:ln>
      </xdr:spPr>
    </xdr:sp>
    <xdr:clientData/>
  </xdr:twoCellAnchor>
  <xdr:twoCellAnchor editAs="oneCell">
    <xdr:from>
      <xdr:col>1</xdr:col>
      <xdr:colOff>0</xdr:colOff>
      <xdr:row>137</xdr:row>
      <xdr:rowOff>0</xdr:rowOff>
    </xdr:from>
    <xdr:to>
      <xdr:col>1</xdr:col>
      <xdr:colOff>76200</xdr:colOff>
      <xdr:row>138</xdr:row>
      <xdr:rowOff>19050</xdr:rowOff>
    </xdr:to>
    <xdr:sp macro="" textlink="">
      <xdr:nvSpPr>
        <xdr:cNvPr id="377827" name="Text Box 1005"/>
        <xdr:cNvSpPr txBox="1">
          <a:spLocks noChangeArrowheads="1"/>
        </xdr:cNvSpPr>
      </xdr:nvSpPr>
      <xdr:spPr bwMode="auto">
        <a:xfrm>
          <a:off x="1152525" y="26479500"/>
          <a:ext cx="76200" cy="209550"/>
        </a:xfrm>
        <a:prstGeom prst="rect">
          <a:avLst/>
        </a:prstGeom>
        <a:noFill/>
        <a:ln w="9525">
          <a:noFill/>
          <a:miter lim="800000"/>
          <a:headEnd/>
          <a:tailEnd/>
        </a:ln>
      </xdr:spPr>
    </xdr:sp>
    <xdr:clientData/>
  </xdr:twoCellAnchor>
  <xdr:twoCellAnchor editAs="oneCell">
    <xdr:from>
      <xdr:col>1</xdr:col>
      <xdr:colOff>0</xdr:colOff>
      <xdr:row>137</xdr:row>
      <xdr:rowOff>0</xdr:rowOff>
    </xdr:from>
    <xdr:to>
      <xdr:col>1</xdr:col>
      <xdr:colOff>76200</xdr:colOff>
      <xdr:row>138</xdr:row>
      <xdr:rowOff>19050</xdr:rowOff>
    </xdr:to>
    <xdr:sp macro="" textlink="">
      <xdr:nvSpPr>
        <xdr:cNvPr id="377828" name="Text Box 1006"/>
        <xdr:cNvSpPr txBox="1">
          <a:spLocks noChangeArrowheads="1"/>
        </xdr:cNvSpPr>
      </xdr:nvSpPr>
      <xdr:spPr bwMode="auto">
        <a:xfrm>
          <a:off x="1152525" y="26479500"/>
          <a:ext cx="76200" cy="209550"/>
        </a:xfrm>
        <a:prstGeom prst="rect">
          <a:avLst/>
        </a:prstGeom>
        <a:noFill/>
        <a:ln w="9525">
          <a:noFill/>
          <a:miter lim="800000"/>
          <a:headEnd/>
          <a:tailEnd/>
        </a:ln>
      </xdr:spPr>
    </xdr:sp>
    <xdr:clientData/>
  </xdr:twoCellAnchor>
  <xdr:twoCellAnchor editAs="oneCell">
    <xdr:from>
      <xdr:col>1</xdr:col>
      <xdr:colOff>0</xdr:colOff>
      <xdr:row>138</xdr:row>
      <xdr:rowOff>0</xdr:rowOff>
    </xdr:from>
    <xdr:to>
      <xdr:col>1</xdr:col>
      <xdr:colOff>76200</xdr:colOff>
      <xdr:row>139</xdr:row>
      <xdr:rowOff>19050</xdr:rowOff>
    </xdr:to>
    <xdr:sp macro="" textlink="">
      <xdr:nvSpPr>
        <xdr:cNvPr id="377829" name="Text Box 1007"/>
        <xdr:cNvSpPr txBox="1">
          <a:spLocks noChangeArrowheads="1"/>
        </xdr:cNvSpPr>
      </xdr:nvSpPr>
      <xdr:spPr bwMode="auto">
        <a:xfrm>
          <a:off x="1152525" y="26670000"/>
          <a:ext cx="76200" cy="209550"/>
        </a:xfrm>
        <a:prstGeom prst="rect">
          <a:avLst/>
        </a:prstGeom>
        <a:noFill/>
        <a:ln w="9525">
          <a:noFill/>
          <a:miter lim="800000"/>
          <a:headEnd/>
          <a:tailEnd/>
        </a:ln>
      </xdr:spPr>
    </xdr:sp>
    <xdr:clientData/>
  </xdr:twoCellAnchor>
  <xdr:twoCellAnchor editAs="oneCell">
    <xdr:from>
      <xdr:col>1</xdr:col>
      <xdr:colOff>0</xdr:colOff>
      <xdr:row>138</xdr:row>
      <xdr:rowOff>0</xdr:rowOff>
    </xdr:from>
    <xdr:to>
      <xdr:col>1</xdr:col>
      <xdr:colOff>76200</xdr:colOff>
      <xdr:row>139</xdr:row>
      <xdr:rowOff>19050</xdr:rowOff>
    </xdr:to>
    <xdr:sp macro="" textlink="">
      <xdr:nvSpPr>
        <xdr:cNvPr id="377830" name="Text Box 1008"/>
        <xdr:cNvSpPr txBox="1">
          <a:spLocks noChangeArrowheads="1"/>
        </xdr:cNvSpPr>
      </xdr:nvSpPr>
      <xdr:spPr bwMode="auto">
        <a:xfrm>
          <a:off x="1152525" y="26670000"/>
          <a:ext cx="76200" cy="209550"/>
        </a:xfrm>
        <a:prstGeom prst="rect">
          <a:avLst/>
        </a:prstGeom>
        <a:noFill/>
        <a:ln w="9525">
          <a:noFill/>
          <a:miter lim="800000"/>
          <a:headEnd/>
          <a:tailEnd/>
        </a:ln>
      </xdr:spPr>
    </xdr:sp>
    <xdr:clientData/>
  </xdr:twoCellAnchor>
  <xdr:twoCellAnchor editAs="oneCell">
    <xdr:from>
      <xdr:col>1</xdr:col>
      <xdr:colOff>0</xdr:colOff>
      <xdr:row>138</xdr:row>
      <xdr:rowOff>0</xdr:rowOff>
    </xdr:from>
    <xdr:to>
      <xdr:col>1</xdr:col>
      <xdr:colOff>76200</xdr:colOff>
      <xdr:row>139</xdr:row>
      <xdr:rowOff>19050</xdr:rowOff>
    </xdr:to>
    <xdr:sp macro="" textlink="">
      <xdr:nvSpPr>
        <xdr:cNvPr id="377831" name="Text Box 1009"/>
        <xdr:cNvSpPr txBox="1">
          <a:spLocks noChangeArrowheads="1"/>
        </xdr:cNvSpPr>
      </xdr:nvSpPr>
      <xdr:spPr bwMode="auto">
        <a:xfrm>
          <a:off x="1152525" y="26670000"/>
          <a:ext cx="76200" cy="209550"/>
        </a:xfrm>
        <a:prstGeom prst="rect">
          <a:avLst/>
        </a:prstGeom>
        <a:noFill/>
        <a:ln w="9525">
          <a:noFill/>
          <a:miter lim="800000"/>
          <a:headEnd/>
          <a:tailEnd/>
        </a:ln>
      </xdr:spPr>
    </xdr:sp>
    <xdr:clientData/>
  </xdr:twoCellAnchor>
  <xdr:twoCellAnchor editAs="oneCell">
    <xdr:from>
      <xdr:col>1</xdr:col>
      <xdr:colOff>0</xdr:colOff>
      <xdr:row>138</xdr:row>
      <xdr:rowOff>0</xdr:rowOff>
    </xdr:from>
    <xdr:to>
      <xdr:col>1</xdr:col>
      <xdr:colOff>76200</xdr:colOff>
      <xdr:row>139</xdr:row>
      <xdr:rowOff>19050</xdr:rowOff>
    </xdr:to>
    <xdr:sp macro="" textlink="">
      <xdr:nvSpPr>
        <xdr:cNvPr id="377832" name="Text Box 1010"/>
        <xdr:cNvSpPr txBox="1">
          <a:spLocks noChangeArrowheads="1"/>
        </xdr:cNvSpPr>
      </xdr:nvSpPr>
      <xdr:spPr bwMode="auto">
        <a:xfrm>
          <a:off x="1152525" y="26670000"/>
          <a:ext cx="76200" cy="209550"/>
        </a:xfrm>
        <a:prstGeom prst="rect">
          <a:avLst/>
        </a:prstGeom>
        <a:noFill/>
        <a:ln w="9525">
          <a:noFill/>
          <a:miter lim="800000"/>
          <a:headEnd/>
          <a:tailEnd/>
        </a:ln>
      </xdr:spPr>
    </xdr:sp>
    <xdr:clientData/>
  </xdr:twoCellAnchor>
  <xdr:twoCellAnchor editAs="oneCell">
    <xdr:from>
      <xdr:col>1</xdr:col>
      <xdr:colOff>0</xdr:colOff>
      <xdr:row>139</xdr:row>
      <xdr:rowOff>0</xdr:rowOff>
    </xdr:from>
    <xdr:to>
      <xdr:col>1</xdr:col>
      <xdr:colOff>76200</xdr:colOff>
      <xdr:row>140</xdr:row>
      <xdr:rowOff>19050</xdr:rowOff>
    </xdr:to>
    <xdr:sp macro="" textlink="">
      <xdr:nvSpPr>
        <xdr:cNvPr id="377833" name="Text Box 1011"/>
        <xdr:cNvSpPr txBox="1">
          <a:spLocks noChangeArrowheads="1"/>
        </xdr:cNvSpPr>
      </xdr:nvSpPr>
      <xdr:spPr bwMode="auto">
        <a:xfrm>
          <a:off x="1152525" y="26860500"/>
          <a:ext cx="76200" cy="209550"/>
        </a:xfrm>
        <a:prstGeom prst="rect">
          <a:avLst/>
        </a:prstGeom>
        <a:noFill/>
        <a:ln w="9525">
          <a:noFill/>
          <a:miter lim="800000"/>
          <a:headEnd/>
          <a:tailEnd/>
        </a:ln>
      </xdr:spPr>
    </xdr:sp>
    <xdr:clientData/>
  </xdr:twoCellAnchor>
  <xdr:twoCellAnchor editAs="oneCell">
    <xdr:from>
      <xdr:col>1</xdr:col>
      <xdr:colOff>0</xdr:colOff>
      <xdr:row>139</xdr:row>
      <xdr:rowOff>0</xdr:rowOff>
    </xdr:from>
    <xdr:to>
      <xdr:col>1</xdr:col>
      <xdr:colOff>76200</xdr:colOff>
      <xdr:row>140</xdr:row>
      <xdr:rowOff>19050</xdr:rowOff>
    </xdr:to>
    <xdr:sp macro="" textlink="">
      <xdr:nvSpPr>
        <xdr:cNvPr id="377834" name="Text Box 1012"/>
        <xdr:cNvSpPr txBox="1">
          <a:spLocks noChangeArrowheads="1"/>
        </xdr:cNvSpPr>
      </xdr:nvSpPr>
      <xdr:spPr bwMode="auto">
        <a:xfrm>
          <a:off x="1152525" y="26860500"/>
          <a:ext cx="76200" cy="209550"/>
        </a:xfrm>
        <a:prstGeom prst="rect">
          <a:avLst/>
        </a:prstGeom>
        <a:noFill/>
        <a:ln w="9525">
          <a:noFill/>
          <a:miter lim="800000"/>
          <a:headEnd/>
          <a:tailEnd/>
        </a:ln>
      </xdr:spPr>
    </xdr:sp>
    <xdr:clientData/>
  </xdr:twoCellAnchor>
  <xdr:twoCellAnchor editAs="oneCell">
    <xdr:from>
      <xdr:col>1</xdr:col>
      <xdr:colOff>0</xdr:colOff>
      <xdr:row>139</xdr:row>
      <xdr:rowOff>0</xdr:rowOff>
    </xdr:from>
    <xdr:to>
      <xdr:col>1</xdr:col>
      <xdr:colOff>76200</xdr:colOff>
      <xdr:row>140</xdr:row>
      <xdr:rowOff>19050</xdr:rowOff>
    </xdr:to>
    <xdr:sp macro="" textlink="">
      <xdr:nvSpPr>
        <xdr:cNvPr id="377835" name="Text Box 1013"/>
        <xdr:cNvSpPr txBox="1">
          <a:spLocks noChangeArrowheads="1"/>
        </xdr:cNvSpPr>
      </xdr:nvSpPr>
      <xdr:spPr bwMode="auto">
        <a:xfrm>
          <a:off x="1152525" y="26860500"/>
          <a:ext cx="76200" cy="209550"/>
        </a:xfrm>
        <a:prstGeom prst="rect">
          <a:avLst/>
        </a:prstGeom>
        <a:noFill/>
        <a:ln w="9525">
          <a:noFill/>
          <a:miter lim="800000"/>
          <a:headEnd/>
          <a:tailEnd/>
        </a:ln>
      </xdr:spPr>
    </xdr:sp>
    <xdr:clientData/>
  </xdr:twoCellAnchor>
  <xdr:twoCellAnchor editAs="oneCell">
    <xdr:from>
      <xdr:col>1</xdr:col>
      <xdr:colOff>0</xdr:colOff>
      <xdr:row>139</xdr:row>
      <xdr:rowOff>0</xdr:rowOff>
    </xdr:from>
    <xdr:to>
      <xdr:col>1</xdr:col>
      <xdr:colOff>76200</xdr:colOff>
      <xdr:row>140</xdr:row>
      <xdr:rowOff>19050</xdr:rowOff>
    </xdr:to>
    <xdr:sp macro="" textlink="">
      <xdr:nvSpPr>
        <xdr:cNvPr id="377836" name="Text Box 1014"/>
        <xdr:cNvSpPr txBox="1">
          <a:spLocks noChangeArrowheads="1"/>
        </xdr:cNvSpPr>
      </xdr:nvSpPr>
      <xdr:spPr bwMode="auto">
        <a:xfrm>
          <a:off x="1152525" y="26860500"/>
          <a:ext cx="76200" cy="209550"/>
        </a:xfrm>
        <a:prstGeom prst="rect">
          <a:avLst/>
        </a:prstGeom>
        <a:noFill/>
        <a:ln w="9525">
          <a:noFill/>
          <a:miter lim="800000"/>
          <a:headEnd/>
          <a:tailEnd/>
        </a:ln>
      </xdr:spPr>
    </xdr:sp>
    <xdr:clientData/>
  </xdr:twoCellAnchor>
  <xdr:twoCellAnchor editAs="oneCell">
    <xdr:from>
      <xdr:col>1</xdr:col>
      <xdr:colOff>0</xdr:colOff>
      <xdr:row>140</xdr:row>
      <xdr:rowOff>0</xdr:rowOff>
    </xdr:from>
    <xdr:to>
      <xdr:col>1</xdr:col>
      <xdr:colOff>76200</xdr:colOff>
      <xdr:row>141</xdr:row>
      <xdr:rowOff>19050</xdr:rowOff>
    </xdr:to>
    <xdr:sp macro="" textlink="">
      <xdr:nvSpPr>
        <xdr:cNvPr id="377837" name="Text Box 1015"/>
        <xdr:cNvSpPr txBox="1">
          <a:spLocks noChangeArrowheads="1"/>
        </xdr:cNvSpPr>
      </xdr:nvSpPr>
      <xdr:spPr bwMode="auto">
        <a:xfrm>
          <a:off x="1152525" y="27051000"/>
          <a:ext cx="76200" cy="209550"/>
        </a:xfrm>
        <a:prstGeom prst="rect">
          <a:avLst/>
        </a:prstGeom>
        <a:noFill/>
        <a:ln w="9525">
          <a:noFill/>
          <a:miter lim="800000"/>
          <a:headEnd/>
          <a:tailEnd/>
        </a:ln>
      </xdr:spPr>
    </xdr:sp>
    <xdr:clientData/>
  </xdr:twoCellAnchor>
  <xdr:twoCellAnchor editAs="oneCell">
    <xdr:from>
      <xdr:col>1</xdr:col>
      <xdr:colOff>0</xdr:colOff>
      <xdr:row>140</xdr:row>
      <xdr:rowOff>0</xdr:rowOff>
    </xdr:from>
    <xdr:to>
      <xdr:col>1</xdr:col>
      <xdr:colOff>76200</xdr:colOff>
      <xdr:row>141</xdr:row>
      <xdr:rowOff>19050</xdr:rowOff>
    </xdr:to>
    <xdr:sp macro="" textlink="">
      <xdr:nvSpPr>
        <xdr:cNvPr id="377838" name="Text Box 1016"/>
        <xdr:cNvSpPr txBox="1">
          <a:spLocks noChangeArrowheads="1"/>
        </xdr:cNvSpPr>
      </xdr:nvSpPr>
      <xdr:spPr bwMode="auto">
        <a:xfrm>
          <a:off x="1152525" y="27051000"/>
          <a:ext cx="76200" cy="209550"/>
        </a:xfrm>
        <a:prstGeom prst="rect">
          <a:avLst/>
        </a:prstGeom>
        <a:noFill/>
        <a:ln w="9525">
          <a:noFill/>
          <a:miter lim="800000"/>
          <a:headEnd/>
          <a:tailEnd/>
        </a:ln>
      </xdr:spPr>
    </xdr:sp>
    <xdr:clientData/>
  </xdr:twoCellAnchor>
  <xdr:twoCellAnchor editAs="oneCell">
    <xdr:from>
      <xdr:col>1</xdr:col>
      <xdr:colOff>0</xdr:colOff>
      <xdr:row>140</xdr:row>
      <xdr:rowOff>0</xdr:rowOff>
    </xdr:from>
    <xdr:to>
      <xdr:col>1</xdr:col>
      <xdr:colOff>76200</xdr:colOff>
      <xdr:row>141</xdr:row>
      <xdr:rowOff>19050</xdr:rowOff>
    </xdr:to>
    <xdr:sp macro="" textlink="">
      <xdr:nvSpPr>
        <xdr:cNvPr id="377839" name="Text Box 1017"/>
        <xdr:cNvSpPr txBox="1">
          <a:spLocks noChangeArrowheads="1"/>
        </xdr:cNvSpPr>
      </xdr:nvSpPr>
      <xdr:spPr bwMode="auto">
        <a:xfrm>
          <a:off x="1152525" y="27051000"/>
          <a:ext cx="76200" cy="209550"/>
        </a:xfrm>
        <a:prstGeom prst="rect">
          <a:avLst/>
        </a:prstGeom>
        <a:noFill/>
        <a:ln w="9525">
          <a:noFill/>
          <a:miter lim="800000"/>
          <a:headEnd/>
          <a:tailEnd/>
        </a:ln>
      </xdr:spPr>
    </xdr:sp>
    <xdr:clientData/>
  </xdr:twoCellAnchor>
  <xdr:twoCellAnchor editAs="oneCell">
    <xdr:from>
      <xdr:col>1</xdr:col>
      <xdr:colOff>0</xdr:colOff>
      <xdr:row>140</xdr:row>
      <xdr:rowOff>0</xdr:rowOff>
    </xdr:from>
    <xdr:to>
      <xdr:col>1</xdr:col>
      <xdr:colOff>76200</xdr:colOff>
      <xdr:row>141</xdr:row>
      <xdr:rowOff>19050</xdr:rowOff>
    </xdr:to>
    <xdr:sp macro="" textlink="">
      <xdr:nvSpPr>
        <xdr:cNvPr id="377840" name="Text Box 1018"/>
        <xdr:cNvSpPr txBox="1">
          <a:spLocks noChangeArrowheads="1"/>
        </xdr:cNvSpPr>
      </xdr:nvSpPr>
      <xdr:spPr bwMode="auto">
        <a:xfrm>
          <a:off x="1152525" y="27051000"/>
          <a:ext cx="76200" cy="209550"/>
        </a:xfrm>
        <a:prstGeom prst="rect">
          <a:avLst/>
        </a:prstGeom>
        <a:noFill/>
        <a:ln w="9525">
          <a:noFill/>
          <a:miter lim="800000"/>
          <a:headEnd/>
          <a:tailEnd/>
        </a:ln>
      </xdr:spPr>
    </xdr:sp>
    <xdr:clientData/>
  </xdr:twoCellAnchor>
  <xdr:twoCellAnchor editAs="oneCell">
    <xdr:from>
      <xdr:col>1</xdr:col>
      <xdr:colOff>0</xdr:colOff>
      <xdr:row>141</xdr:row>
      <xdr:rowOff>0</xdr:rowOff>
    </xdr:from>
    <xdr:to>
      <xdr:col>1</xdr:col>
      <xdr:colOff>76200</xdr:colOff>
      <xdr:row>142</xdr:row>
      <xdr:rowOff>19050</xdr:rowOff>
    </xdr:to>
    <xdr:sp macro="" textlink="">
      <xdr:nvSpPr>
        <xdr:cNvPr id="377841" name="Text Box 1019"/>
        <xdr:cNvSpPr txBox="1">
          <a:spLocks noChangeArrowheads="1"/>
        </xdr:cNvSpPr>
      </xdr:nvSpPr>
      <xdr:spPr bwMode="auto">
        <a:xfrm>
          <a:off x="1152525" y="27241500"/>
          <a:ext cx="76200" cy="209550"/>
        </a:xfrm>
        <a:prstGeom prst="rect">
          <a:avLst/>
        </a:prstGeom>
        <a:noFill/>
        <a:ln w="9525">
          <a:noFill/>
          <a:miter lim="800000"/>
          <a:headEnd/>
          <a:tailEnd/>
        </a:ln>
      </xdr:spPr>
    </xdr:sp>
    <xdr:clientData/>
  </xdr:twoCellAnchor>
  <xdr:twoCellAnchor editAs="oneCell">
    <xdr:from>
      <xdr:col>1</xdr:col>
      <xdr:colOff>0</xdr:colOff>
      <xdr:row>141</xdr:row>
      <xdr:rowOff>0</xdr:rowOff>
    </xdr:from>
    <xdr:to>
      <xdr:col>1</xdr:col>
      <xdr:colOff>76200</xdr:colOff>
      <xdr:row>142</xdr:row>
      <xdr:rowOff>19050</xdr:rowOff>
    </xdr:to>
    <xdr:sp macro="" textlink="">
      <xdr:nvSpPr>
        <xdr:cNvPr id="377842" name="Text Box 1020"/>
        <xdr:cNvSpPr txBox="1">
          <a:spLocks noChangeArrowheads="1"/>
        </xdr:cNvSpPr>
      </xdr:nvSpPr>
      <xdr:spPr bwMode="auto">
        <a:xfrm>
          <a:off x="1152525" y="27241500"/>
          <a:ext cx="76200" cy="209550"/>
        </a:xfrm>
        <a:prstGeom prst="rect">
          <a:avLst/>
        </a:prstGeom>
        <a:noFill/>
        <a:ln w="9525">
          <a:noFill/>
          <a:miter lim="800000"/>
          <a:headEnd/>
          <a:tailEnd/>
        </a:ln>
      </xdr:spPr>
    </xdr:sp>
    <xdr:clientData/>
  </xdr:twoCellAnchor>
  <xdr:twoCellAnchor editAs="oneCell">
    <xdr:from>
      <xdr:col>1</xdr:col>
      <xdr:colOff>0</xdr:colOff>
      <xdr:row>141</xdr:row>
      <xdr:rowOff>0</xdr:rowOff>
    </xdr:from>
    <xdr:to>
      <xdr:col>1</xdr:col>
      <xdr:colOff>76200</xdr:colOff>
      <xdr:row>142</xdr:row>
      <xdr:rowOff>19050</xdr:rowOff>
    </xdr:to>
    <xdr:sp macro="" textlink="">
      <xdr:nvSpPr>
        <xdr:cNvPr id="377843" name="Text Box 1021"/>
        <xdr:cNvSpPr txBox="1">
          <a:spLocks noChangeArrowheads="1"/>
        </xdr:cNvSpPr>
      </xdr:nvSpPr>
      <xdr:spPr bwMode="auto">
        <a:xfrm>
          <a:off x="1152525" y="27241500"/>
          <a:ext cx="76200" cy="209550"/>
        </a:xfrm>
        <a:prstGeom prst="rect">
          <a:avLst/>
        </a:prstGeom>
        <a:noFill/>
        <a:ln w="9525">
          <a:noFill/>
          <a:miter lim="800000"/>
          <a:headEnd/>
          <a:tailEnd/>
        </a:ln>
      </xdr:spPr>
    </xdr:sp>
    <xdr:clientData/>
  </xdr:twoCellAnchor>
  <xdr:twoCellAnchor editAs="oneCell">
    <xdr:from>
      <xdr:col>1</xdr:col>
      <xdr:colOff>0</xdr:colOff>
      <xdr:row>141</xdr:row>
      <xdr:rowOff>0</xdr:rowOff>
    </xdr:from>
    <xdr:to>
      <xdr:col>1</xdr:col>
      <xdr:colOff>76200</xdr:colOff>
      <xdr:row>142</xdr:row>
      <xdr:rowOff>19050</xdr:rowOff>
    </xdr:to>
    <xdr:sp macro="" textlink="">
      <xdr:nvSpPr>
        <xdr:cNvPr id="377844" name="Text Box 1022"/>
        <xdr:cNvSpPr txBox="1">
          <a:spLocks noChangeArrowheads="1"/>
        </xdr:cNvSpPr>
      </xdr:nvSpPr>
      <xdr:spPr bwMode="auto">
        <a:xfrm>
          <a:off x="1152525" y="27241500"/>
          <a:ext cx="76200" cy="209550"/>
        </a:xfrm>
        <a:prstGeom prst="rect">
          <a:avLst/>
        </a:prstGeom>
        <a:noFill/>
        <a:ln w="9525">
          <a:noFill/>
          <a:miter lim="800000"/>
          <a:headEnd/>
          <a:tailEnd/>
        </a:ln>
      </xdr:spPr>
    </xdr:sp>
    <xdr:clientData/>
  </xdr:twoCellAnchor>
  <xdr:twoCellAnchor editAs="oneCell">
    <xdr:from>
      <xdr:col>1</xdr:col>
      <xdr:colOff>0</xdr:colOff>
      <xdr:row>142</xdr:row>
      <xdr:rowOff>0</xdr:rowOff>
    </xdr:from>
    <xdr:to>
      <xdr:col>1</xdr:col>
      <xdr:colOff>76200</xdr:colOff>
      <xdr:row>143</xdr:row>
      <xdr:rowOff>19050</xdr:rowOff>
    </xdr:to>
    <xdr:sp macro="" textlink="">
      <xdr:nvSpPr>
        <xdr:cNvPr id="377845" name="Text Box 1023"/>
        <xdr:cNvSpPr txBox="1">
          <a:spLocks noChangeArrowheads="1"/>
        </xdr:cNvSpPr>
      </xdr:nvSpPr>
      <xdr:spPr bwMode="auto">
        <a:xfrm>
          <a:off x="1152525" y="27432000"/>
          <a:ext cx="76200" cy="209550"/>
        </a:xfrm>
        <a:prstGeom prst="rect">
          <a:avLst/>
        </a:prstGeom>
        <a:noFill/>
        <a:ln w="9525">
          <a:noFill/>
          <a:miter lim="800000"/>
          <a:headEnd/>
          <a:tailEnd/>
        </a:ln>
      </xdr:spPr>
    </xdr:sp>
    <xdr:clientData/>
  </xdr:twoCellAnchor>
  <xdr:twoCellAnchor editAs="oneCell">
    <xdr:from>
      <xdr:col>1</xdr:col>
      <xdr:colOff>0</xdr:colOff>
      <xdr:row>142</xdr:row>
      <xdr:rowOff>0</xdr:rowOff>
    </xdr:from>
    <xdr:to>
      <xdr:col>1</xdr:col>
      <xdr:colOff>76200</xdr:colOff>
      <xdr:row>143</xdr:row>
      <xdr:rowOff>19050</xdr:rowOff>
    </xdr:to>
    <xdr:sp macro="" textlink="">
      <xdr:nvSpPr>
        <xdr:cNvPr id="377846" name="Text Box 1024"/>
        <xdr:cNvSpPr txBox="1">
          <a:spLocks noChangeArrowheads="1"/>
        </xdr:cNvSpPr>
      </xdr:nvSpPr>
      <xdr:spPr bwMode="auto">
        <a:xfrm>
          <a:off x="1152525" y="27432000"/>
          <a:ext cx="76200" cy="209550"/>
        </a:xfrm>
        <a:prstGeom prst="rect">
          <a:avLst/>
        </a:prstGeom>
        <a:noFill/>
        <a:ln w="9525">
          <a:noFill/>
          <a:miter lim="800000"/>
          <a:headEnd/>
          <a:tailEnd/>
        </a:ln>
      </xdr:spPr>
    </xdr:sp>
    <xdr:clientData/>
  </xdr:twoCellAnchor>
  <xdr:twoCellAnchor editAs="oneCell">
    <xdr:from>
      <xdr:col>1</xdr:col>
      <xdr:colOff>0</xdr:colOff>
      <xdr:row>142</xdr:row>
      <xdr:rowOff>0</xdr:rowOff>
    </xdr:from>
    <xdr:to>
      <xdr:col>1</xdr:col>
      <xdr:colOff>76200</xdr:colOff>
      <xdr:row>143</xdr:row>
      <xdr:rowOff>19050</xdr:rowOff>
    </xdr:to>
    <xdr:sp macro="" textlink="">
      <xdr:nvSpPr>
        <xdr:cNvPr id="377847" name="Text Box 1025"/>
        <xdr:cNvSpPr txBox="1">
          <a:spLocks noChangeArrowheads="1"/>
        </xdr:cNvSpPr>
      </xdr:nvSpPr>
      <xdr:spPr bwMode="auto">
        <a:xfrm>
          <a:off x="1152525" y="27432000"/>
          <a:ext cx="76200" cy="209550"/>
        </a:xfrm>
        <a:prstGeom prst="rect">
          <a:avLst/>
        </a:prstGeom>
        <a:noFill/>
        <a:ln w="9525">
          <a:noFill/>
          <a:miter lim="800000"/>
          <a:headEnd/>
          <a:tailEnd/>
        </a:ln>
      </xdr:spPr>
    </xdr:sp>
    <xdr:clientData/>
  </xdr:twoCellAnchor>
  <xdr:twoCellAnchor editAs="oneCell">
    <xdr:from>
      <xdr:col>1</xdr:col>
      <xdr:colOff>0</xdr:colOff>
      <xdr:row>142</xdr:row>
      <xdr:rowOff>0</xdr:rowOff>
    </xdr:from>
    <xdr:to>
      <xdr:col>1</xdr:col>
      <xdr:colOff>76200</xdr:colOff>
      <xdr:row>143</xdr:row>
      <xdr:rowOff>19050</xdr:rowOff>
    </xdr:to>
    <xdr:sp macro="" textlink="">
      <xdr:nvSpPr>
        <xdr:cNvPr id="377848" name="Text Box 1026"/>
        <xdr:cNvSpPr txBox="1">
          <a:spLocks noChangeArrowheads="1"/>
        </xdr:cNvSpPr>
      </xdr:nvSpPr>
      <xdr:spPr bwMode="auto">
        <a:xfrm>
          <a:off x="1152525" y="274320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49" name="Text Box 1027"/>
        <xdr:cNvSpPr txBox="1">
          <a:spLocks noChangeArrowheads="1"/>
        </xdr:cNvSpPr>
      </xdr:nvSpPr>
      <xdr:spPr bwMode="auto">
        <a:xfrm>
          <a:off x="1152525" y="276225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50" name="Text Box 1028"/>
        <xdr:cNvSpPr txBox="1">
          <a:spLocks noChangeArrowheads="1"/>
        </xdr:cNvSpPr>
      </xdr:nvSpPr>
      <xdr:spPr bwMode="auto">
        <a:xfrm>
          <a:off x="1152525" y="276225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51" name="Text Box 1029"/>
        <xdr:cNvSpPr txBox="1">
          <a:spLocks noChangeArrowheads="1"/>
        </xdr:cNvSpPr>
      </xdr:nvSpPr>
      <xdr:spPr bwMode="auto">
        <a:xfrm>
          <a:off x="1152525" y="276225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52" name="Text Box 1030"/>
        <xdr:cNvSpPr txBox="1">
          <a:spLocks noChangeArrowheads="1"/>
        </xdr:cNvSpPr>
      </xdr:nvSpPr>
      <xdr:spPr bwMode="auto">
        <a:xfrm>
          <a:off x="1152525" y="276225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53" name="Text Box 1031"/>
        <xdr:cNvSpPr txBox="1">
          <a:spLocks noChangeArrowheads="1"/>
        </xdr:cNvSpPr>
      </xdr:nvSpPr>
      <xdr:spPr bwMode="auto">
        <a:xfrm>
          <a:off x="1152525" y="278130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54" name="Text Box 1032"/>
        <xdr:cNvSpPr txBox="1">
          <a:spLocks noChangeArrowheads="1"/>
        </xdr:cNvSpPr>
      </xdr:nvSpPr>
      <xdr:spPr bwMode="auto">
        <a:xfrm>
          <a:off x="1152525" y="278130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55" name="Text Box 1033"/>
        <xdr:cNvSpPr txBox="1">
          <a:spLocks noChangeArrowheads="1"/>
        </xdr:cNvSpPr>
      </xdr:nvSpPr>
      <xdr:spPr bwMode="auto">
        <a:xfrm>
          <a:off x="1152525" y="27813000"/>
          <a:ext cx="76200" cy="209550"/>
        </a:xfrm>
        <a:prstGeom prst="rect">
          <a:avLst/>
        </a:prstGeom>
        <a:noFill/>
        <a:ln w="9525">
          <a:noFill/>
          <a:miter lim="800000"/>
          <a:headEnd/>
          <a:tailEnd/>
        </a:ln>
      </xdr:spPr>
    </xdr:sp>
    <xdr:clientData/>
  </xdr:twoCellAnchor>
  <xdr:twoCellAnchor editAs="oneCell">
    <xdr:from>
      <xdr:col>1</xdr:col>
      <xdr:colOff>0</xdr:colOff>
      <xdr:row>143</xdr:row>
      <xdr:rowOff>0</xdr:rowOff>
    </xdr:from>
    <xdr:to>
      <xdr:col>1</xdr:col>
      <xdr:colOff>76200</xdr:colOff>
      <xdr:row>144</xdr:row>
      <xdr:rowOff>19050</xdr:rowOff>
    </xdr:to>
    <xdr:sp macro="" textlink="">
      <xdr:nvSpPr>
        <xdr:cNvPr id="377856" name="Text Box 1034"/>
        <xdr:cNvSpPr txBox="1">
          <a:spLocks noChangeArrowheads="1"/>
        </xdr:cNvSpPr>
      </xdr:nvSpPr>
      <xdr:spPr bwMode="auto">
        <a:xfrm>
          <a:off x="1152525" y="27813000"/>
          <a:ext cx="76200" cy="209550"/>
        </a:xfrm>
        <a:prstGeom prst="rect">
          <a:avLst/>
        </a:prstGeom>
        <a:noFill/>
        <a:ln w="9525">
          <a:noFill/>
          <a:miter lim="800000"/>
          <a:headEnd/>
          <a:tailEnd/>
        </a:ln>
      </xdr:spPr>
    </xdr:sp>
    <xdr:clientData/>
  </xdr:twoCellAnchor>
  <xdr:twoCellAnchor editAs="oneCell">
    <xdr:from>
      <xdr:col>1</xdr:col>
      <xdr:colOff>0</xdr:colOff>
      <xdr:row>144</xdr:row>
      <xdr:rowOff>0</xdr:rowOff>
    </xdr:from>
    <xdr:to>
      <xdr:col>1</xdr:col>
      <xdr:colOff>76200</xdr:colOff>
      <xdr:row>145</xdr:row>
      <xdr:rowOff>19050</xdr:rowOff>
    </xdr:to>
    <xdr:sp macro="" textlink="">
      <xdr:nvSpPr>
        <xdr:cNvPr id="377857" name="Text Box 1035"/>
        <xdr:cNvSpPr txBox="1">
          <a:spLocks noChangeArrowheads="1"/>
        </xdr:cNvSpPr>
      </xdr:nvSpPr>
      <xdr:spPr bwMode="auto">
        <a:xfrm>
          <a:off x="1152525" y="28003500"/>
          <a:ext cx="76200" cy="209550"/>
        </a:xfrm>
        <a:prstGeom prst="rect">
          <a:avLst/>
        </a:prstGeom>
        <a:noFill/>
        <a:ln w="9525">
          <a:noFill/>
          <a:miter lim="800000"/>
          <a:headEnd/>
          <a:tailEnd/>
        </a:ln>
      </xdr:spPr>
    </xdr:sp>
    <xdr:clientData/>
  </xdr:twoCellAnchor>
  <xdr:twoCellAnchor editAs="oneCell">
    <xdr:from>
      <xdr:col>1</xdr:col>
      <xdr:colOff>0</xdr:colOff>
      <xdr:row>144</xdr:row>
      <xdr:rowOff>0</xdr:rowOff>
    </xdr:from>
    <xdr:to>
      <xdr:col>1</xdr:col>
      <xdr:colOff>76200</xdr:colOff>
      <xdr:row>145</xdr:row>
      <xdr:rowOff>19050</xdr:rowOff>
    </xdr:to>
    <xdr:sp macro="" textlink="">
      <xdr:nvSpPr>
        <xdr:cNvPr id="377858" name="Text Box 1036"/>
        <xdr:cNvSpPr txBox="1">
          <a:spLocks noChangeArrowheads="1"/>
        </xdr:cNvSpPr>
      </xdr:nvSpPr>
      <xdr:spPr bwMode="auto">
        <a:xfrm>
          <a:off x="1152525" y="28003500"/>
          <a:ext cx="76200" cy="209550"/>
        </a:xfrm>
        <a:prstGeom prst="rect">
          <a:avLst/>
        </a:prstGeom>
        <a:noFill/>
        <a:ln w="9525">
          <a:noFill/>
          <a:miter lim="800000"/>
          <a:headEnd/>
          <a:tailEnd/>
        </a:ln>
      </xdr:spPr>
    </xdr:sp>
    <xdr:clientData/>
  </xdr:twoCellAnchor>
  <xdr:twoCellAnchor editAs="oneCell">
    <xdr:from>
      <xdr:col>1</xdr:col>
      <xdr:colOff>0</xdr:colOff>
      <xdr:row>144</xdr:row>
      <xdr:rowOff>0</xdr:rowOff>
    </xdr:from>
    <xdr:to>
      <xdr:col>1</xdr:col>
      <xdr:colOff>76200</xdr:colOff>
      <xdr:row>145</xdr:row>
      <xdr:rowOff>19050</xdr:rowOff>
    </xdr:to>
    <xdr:sp macro="" textlink="">
      <xdr:nvSpPr>
        <xdr:cNvPr id="377859" name="Text Box 1037"/>
        <xdr:cNvSpPr txBox="1">
          <a:spLocks noChangeArrowheads="1"/>
        </xdr:cNvSpPr>
      </xdr:nvSpPr>
      <xdr:spPr bwMode="auto">
        <a:xfrm>
          <a:off x="1152525" y="28003500"/>
          <a:ext cx="76200" cy="209550"/>
        </a:xfrm>
        <a:prstGeom prst="rect">
          <a:avLst/>
        </a:prstGeom>
        <a:noFill/>
        <a:ln w="9525">
          <a:noFill/>
          <a:miter lim="800000"/>
          <a:headEnd/>
          <a:tailEnd/>
        </a:ln>
      </xdr:spPr>
    </xdr:sp>
    <xdr:clientData/>
  </xdr:twoCellAnchor>
  <xdr:twoCellAnchor editAs="oneCell">
    <xdr:from>
      <xdr:col>1</xdr:col>
      <xdr:colOff>0</xdr:colOff>
      <xdr:row>144</xdr:row>
      <xdr:rowOff>0</xdr:rowOff>
    </xdr:from>
    <xdr:to>
      <xdr:col>1</xdr:col>
      <xdr:colOff>76200</xdr:colOff>
      <xdr:row>145</xdr:row>
      <xdr:rowOff>19050</xdr:rowOff>
    </xdr:to>
    <xdr:sp macro="" textlink="">
      <xdr:nvSpPr>
        <xdr:cNvPr id="377860" name="Text Box 1038"/>
        <xdr:cNvSpPr txBox="1">
          <a:spLocks noChangeArrowheads="1"/>
        </xdr:cNvSpPr>
      </xdr:nvSpPr>
      <xdr:spPr bwMode="auto">
        <a:xfrm>
          <a:off x="1152525" y="28003500"/>
          <a:ext cx="76200" cy="209550"/>
        </a:xfrm>
        <a:prstGeom prst="rect">
          <a:avLst/>
        </a:prstGeom>
        <a:noFill/>
        <a:ln w="9525">
          <a:noFill/>
          <a:miter lim="800000"/>
          <a:headEnd/>
          <a:tailEnd/>
        </a:ln>
      </xdr:spPr>
    </xdr:sp>
    <xdr:clientData/>
  </xdr:twoCellAnchor>
  <xdr:twoCellAnchor editAs="oneCell">
    <xdr:from>
      <xdr:col>1</xdr:col>
      <xdr:colOff>0</xdr:colOff>
      <xdr:row>145</xdr:row>
      <xdr:rowOff>0</xdr:rowOff>
    </xdr:from>
    <xdr:to>
      <xdr:col>1</xdr:col>
      <xdr:colOff>76200</xdr:colOff>
      <xdr:row>146</xdr:row>
      <xdr:rowOff>19050</xdr:rowOff>
    </xdr:to>
    <xdr:sp macro="" textlink="">
      <xdr:nvSpPr>
        <xdr:cNvPr id="377861" name="Text Box 1039"/>
        <xdr:cNvSpPr txBox="1">
          <a:spLocks noChangeArrowheads="1"/>
        </xdr:cNvSpPr>
      </xdr:nvSpPr>
      <xdr:spPr bwMode="auto">
        <a:xfrm>
          <a:off x="1152525" y="28194000"/>
          <a:ext cx="76200" cy="209550"/>
        </a:xfrm>
        <a:prstGeom prst="rect">
          <a:avLst/>
        </a:prstGeom>
        <a:noFill/>
        <a:ln w="9525">
          <a:noFill/>
          <a:miter lim="800000"/>
          <a:headEnd/>
          <a:tailEnd/>
        </a:ln>
      </xdr:spPr>
    </xdr:sp>
    <xdr:clientData/>
  </xdr:twoCellAnchor>
  <xdr:twoCellAnchor editAs="oneCell">
    <xdr:from>
      <xdr:col>1</xdr:col>
      <xdr:colOff>0</xdr:colOff>
      <xdr:row>145</xdr:row>
      <xdr:rowOff>0</xdr:rowOff>
    </xdr:from>
    <xdr:to>
      <xdr:col>1</xdr:col>
      <xdr:colOff>76200</xdr:colOff>
      <xdr:row>146</xdr:row>
      <xdr:rowOff>19050</xdr:rowOff>
    </xdr:to>
    <xdr:sp macro="" textlink="">
      <xdr:nvSpPr>
        <xdr:cNvPr id="377862" name="Text Box 1040"/>
        <xdr:cNvSpPr txBox="1">
          <a:spLocks noChangeArrowheads="1"/>
        </xdr:cNvSpPr>
      </xdr:nvSpPr>
      <xdr:spPr bwMode="auto">
        <a:xfrm>
          <a:off x="1152525" y="28194000"/>
          <a:ext cx="76200" cy="209550"/>
        </a:xfrm>
        <a:prstGeom prst="rect">
          <a:avLst/>
        </a:prstGeom>
        <a:noFill/>
        <a:ln w="9525">
          <a:noFill/>
          <a:miter lim="800000"/>
          <a:headEnd/>
          <a:tailEnd/>
        </a:ln>
      </xdr:spPr>
    </xdr:sp>
    <xdr:clientData/>
  </xdr:twoCellAnchor>
  <xdr:twoCellAnchor editAs="oneCell">
    <xdr:from>
      <xdr:col>1</xdr:col>
      <xdr:colOff>0</xdr:colOff>
      <xdr:row>145</xdr:row>
      <xdr:rowOff>0</xdr:rowOff>
    </xdr:from>
    <xdr:to>
      <xdr:col>1</xdr:col>
      <xdr:colOff>76200</xdr:colOff>
      <xdr:row>146</xdr:row>
      <xdr:rowOff>19050</xdr:rowOff>
    </xdr:to>
    <xdr:sp macro="" textlink="">
      <xdr:nvSpPr>
        <xdr:cNvPr id="377863" name="Text Box 1041"/>
        <xdr:cNvSpPr txBox="1">
          <a:spLocks noChangeArrowheads="1"/>
        </xdr:cNvSpPr>
      </xdr:nvSpPr>
      <xdr:spPr bwMode="auto">
        <a:xfrm>
          <a:off x="1152525" y="28194000"/>
          <a:ext cx="76200" cy="209550"/>
        </a:xfrm>
        <a:prstGeom prst="rect">
          <a:avLst/>
        </a:prstGeom>
        <a:noFill/>
        <a:ln w="9525">
          <a:noFill/>
          <a:miter lim="800000"/>
          <a:headEnd/>
          <a:tailEnd/>
        </a:ln>
      </xdr:spPr>
    </xdr:sp>
    <xdr:clientData/>
  </xdr:twoCellAnchor>
  <xdr:twoCellAnchor editAs="oneCell">
    <xdr:from>
      <xdr:col>1</xdr:col>
      <xdr:colOff>0</xdr:colOff>
      <xdr:row>145</xdr:row>
      <xdr:rowOff>0</xdr:rowOff>
    </xdr:from>
    <xdr:to>
      <xdr:col>1</xdr:col>
      <xdr:colOff>76200</xdr:colOff>
      <xdr:row>146</xdr:row>
      <xdr:rowOff>19050</xdr:rowOff>
    </xdr:to>
    <xdr:sp macro="" textlink="">
      <xdr:nvSpPr>
        <xdr:cNvPr id="377864" name="Text Box 1042"/>
        <xdr:cNvSpPr txBox="1">
          <a:spLocks noChangeArrowheads="1"/>
        </xdr:cNvSpPr>
      </xdr:nvSpPr>
      <xdr:spPr bwMode="auto">
        <a:xfrm>
          <a:off x="1152525" y="28194000"/>
          <a:ext cx="76200" cy="209550"/>
        </a:xfrm>
        <a:prstGeom prst="rect">
          <a:avLst/>
        </a:prstGeom>
        <a:noFill/>
        <a:ln w="9525">
          <a:noFill/>
          <a:miter lim="800000"/>
          <a:headEnd/>
          <a:tailEnd/>
        </a:ln>
      </xdr:spPr>
    </xdr:sp>
    <xdr:clientData/>
  </xdr:twoCellAnchor>
  <xdr:twoCellAnchor editAs="oneCell">
    <xdr:from>
      <xdr:col>1</xdr:col>
      <xdr:colOff>0</xdr:colOff>
      <xdr:row>146</xdr:row>
      <xdr:rowOff>0</xdr:rowOff>
    </xdr:from>
    <xdr:to>
      <xdr:col>1</xdr:col>
      <xdr:colOff>76200</xdr:colOff>
      <xdr:row>147</xdr:row>
      <xdr:rowOff>19050</xdr:rowOff>
    </xdr:to>
    <xdr:sp macro="" textlink="">
      <xdr:nvSpPr>
        <xdr:cNvPr id="377865" name="Text Box 1043"/>
        <xdr:cNvSpPr txBox="1">
          <a:spLocks noChangeArrowheads="1"/>
        </xdr:cNvSpPr>
      </xdr:nvSpPr>
      <xdr:spPr bwMode="auto">
        <a:xfrm>
          <a:off x="1152525" y="28384500"/>
          <a:ext cx="76200" cy="209550"/>
        </a:xfrm>
        <a:prstGeom prst="rect">
          <a:avLst/>
        </a:prstGeom>
        <a:noFill/>
        <a:ln w="9525">
          <a:noFill/>
          <a:miter lim="800000"/>
          <a:headEnd/>
          <a:tailEnd/>
        </a:ln>
      </xdr:spPr>
    </xdr:sp>
    <xdr:clientData/>
  </xdr:twoCellAnchor>
  <xdr:twoCellAnchor editAs="oneCell">
    <xdr:from>
      <xdr:col>1</xdr:col>
      <xdr:colOff>0</xdr:colOff>
      <xdr:row>146</xdr:row>
      <xdr:rowOff>0</xdr:rowOff>
    </xdr:from>
    <xdr:to>
      <xdr:col>1</xdr:col>
      <xdr:colOff>76200</xdr:colOff>
      <xdr:row>147</xdr:row>
      <xdr:rowOff>19050</xdr:rowOff>
    </xdr:to>
    <xdr:sp macro="" textlink="">
      <xdr:nvSpPr>
        <xdr:cNvPr id="377866" name="Text Box 1044"/>
        <xdr:cNvSpPr txBox="1">
          <a:spLocks noChangeArrowheads="1"/>
        </xdr:cNvSpPr>
      </xdr:nvSpPr>
      <xdr:spPr bwMode="auto">
        <a:xfrm>
          <a:off x="1152525" y="28384500"/>
          <a:ext cx="76200" cy="209550"/>
        </a:xfrm>
        <a:prstGeom prst="rect">
          <a:avLst/>
        </a:prstGeom>
        <a:noFill/>
        <a:ln w="9525">
          <a:noFill/>
          <a:miter lim="800000"/>
          <a:headEnd/>
          <a:tailEnd/>
        </a:ln>
      </xdr:spPr>
    </xdr:sp>
    <xdr:clientData/>
  </xdr:twoCellAnchor>
  <xdr:twoCellAnchor editAs="oneCell">
    <xdr:from>
      <xdr:col>1</xdr:col>
      <xdr:colOff>0</xdr:colOff>
      <xdr:row>146</xdr:row>
      <xdr:rowOff>0</xdr:rowOff>
    </xdr:from>
    <xdr:to>
      <xdr:col>1</xdr:col>
      <xdr:colOff>76200</xdr:colOff>
      <xdr:row>147</xdr:row>
      <xdr:rowOff>19050</xdr:rowOff>
    </xdr:to>
    <xdr:sp macro="" textlink="">
      <xdr:nvSpPr>
        <xdr:cNvPr id="377867" name="Text Box 1045"/>
        <xdr:cNvSpPr txBox="1">
          <a:spLocks noChangeArrowheads="1"/>
        </xdr:cNvSpPr>
      </xdr:nvSpPr>
      <xdr:spPr bwMode="auto">
        <a:xfrm>
          <a:off x="1152525" y="28384500"/>
          <a:ext cx="76200" cy="209550"/>
        </a:xfrm>
        <a:prstGeom prst="rect">
          <a:avLst/>
        </a:prstGeom>
        <a:noFill/>
        <a:ln w="9525">
          <a:noFill/>
          <a:miter lim="800000"/>
          <a:headEnd/>
          <a:tailEnd/>
        </a:ln>
      </xdr:spPr>
    </xdr:sp>
    <xdr:clientData/>
  </xdr:twoCellAnchor>
  <xdr:twoCellAnchor editAs="oneCell">
    <xdr:from>
      <xdr:col>1</xdr:col>
      <xdr:colOff>0</xdr:colOff>
      <xdr:row>146</xdr:row>
      <xdr:rowOff>0</xdr:rowOff>
    </xdr:from>
    <xdr:to>
      <xdr:col>1</xdr:col>
      <xdr:colOff>76200</xdr:colOff>
      <xdr:row>147</xdr:row>
      <xdr:rowOff>19050</xdr:rowOff>
    </xdr:to>
    <xdr:sp macro="" textlink="">
      <xdr:nvSpPr>
        <xdr:cNvPr id="377868" name="Text Box 1046"/>
        <xdr:cNvSpPr txBox="1">
          <a:spLocks noChangeArrowheads="1"/>
        </xdr:cNvSpPr>
      </xdr:nvSpPr>
      <xdr:spPr bwMode="auto">
        <a:xfrm>
          <a:off x="1152525" y="28384500"/>
          <a:ext cx="76200" cy="209550"/>
        </a:xfrm>
        <a:prstGeom prst="rect">
          <a:avLst/>
        </a:prstGeom>
        <a:noFill/>
        <a:ln w="9525">
          <a:noFill/>
          <a:miter lim="800000"/>
          <a:headEnd/>
          <a:tailEnd/>
        </a:ln>
      </xdr:spPr>
    </xdr:sp>
    <xdr:clientData/>
  </xdr:twoCellAnchor>
  <xdr:twoCellAnchor editAs="oneCell">
    <xdr:from>
      <xdr:col>1</xdr:col>
      <xdr:colOff>0</xdr:colOff>
      <xdr:row>147</xdr:row>
      <xdr:rowOff>0</xdr:rowOff>
    </xdr:from>
    <xdr:to>
      <xdr:col>1</xdr:col>
      <xdr:colOff>76200</xdr:colOff>
      <xdr:row>148</xdr:row>
      <xdr:rowOff>19050</xdr:rowOff>
    </xdr:to>
    <xdr:sp macro="" textlink="">
      <xdr:nvSpPr>
        <xdr:cNvPr id="377869" name="Text Box 1047"/>
        <xdr:cNvSpPr txBox="1">
          <a:spLocks noChangeArrowheads="1"/>
        </xdr:cNvSpPr>
      </xdr:nvSpPr>
      <xdr:spPr bwMode="auto">
        <a:xfrm>
          <a:off x="1152525" y="28575000"/>
          <a:ext cx="76200" cy="209550"/>
        </a:xfrm>
        <a:prstGeom prst="rect">
          <a:avLst/>
        </a:prstGeom>
        <a:noFill/>
        <a:ln w="9525">
          <a:noFill/>
          <a:miter lim="800000"/>
          <a:headEnd/>
          <a:tailEnd/>
        </a:ln>
      </xdr:spPr>
    </xdr:sp>
    <xdr:clientData/>
  </xdr:twoCellAnchor>
  <xdr:twoCellAnchor editAs="oneCell">
    <xdr:from>
      <xdr:col>1</xdr:col>
      <xdr:colOff>0</xdr:colOff>
      <xdr:row>147</xdr:row>
      <xdr:rowOff>0</xdr:rowOff>
    </xdr:from>
    <xdr:to>
      <xdr:col>1</xdr:col>
      <xdr:colOff>76200</xdr:colOff>
      <xdr:row>148</xdr:row>
      <xdr:rowOff>19050</xdr:rowOff>
    </xdr:to>
    <xdr:sp macro="" textlink="">
      <xdr:nvSpPr>
        <xdr:cNvPr id="377870" name="Text Box 1048"/>
        <xdr:cNvSpPr txBox="1">
          <a:spLocks noChangeArrowheads="1"/>
        </xdr:cNvSpPr>
      </xdr:nvSpPr>
      <xdr:spPr bwMode="auto">
        <a:xfrm>
          <a:off x="1152525" y="28575000"/>
          <a:ext cx="76200" cy="209550"/>
        </a:xfrm>
        <a:prstGeom prst="rect">
          <a:avLst/>
        </a:prstGeom>
        <a:noFill/>
        <a:ln w="9525">
          <a:noFill/>
          <a:miter lim="800000"/>
          <a:headEnd/>
          <a:tailEnd/>
        </a:ln>
      </xdr:spPr>
    </xdr:sp>
    <xdr:clientData/>
  </xdr:twoCellAnchor>
  <xdr:twoCellAnchor editAs="oneCell">
    <xdr:from>
      <xdr:col>1</xdr:col>
      <xdr:colOff>0</xdr:colOff>
      <xdr:row>147</xdr:row>
      <xdr:rowOff>0</xdr:rowOff>
    </xdr:from>
    <xdr:to>
      <xdr:col>1</xdr:col>
      <xdr:colOff>76200</xdr:colOff>
      <xdr:row>148</xdr:row>
      <xdr:rowOff>19050</xdr:rowOff>
    </xdr:to>
    <xdr:sp macro="" textlink="">
      <xdr:nvSpPr>
        <xdr:cNvPr id="377871" name="Text Box 1049"/>
        <xdr:cNvSpPr txBox="1">
          <a:spLocks noChangeArrowheads="1"/>
        </xdr:cNvSpPr>
      </xdr:nvSpPr>
      <xdr:spPr bwMode="auto">
        <a:xfrm>
          <a:off x="1152525" y="28575000"/>
          <a:ext cx="76200" cy="209550"/>
        </a:xfrm>
        <a:prstGeom prst="rect">
          <a:avLst/>
        </a:prstGeom>
        <a:noFill/>
        <a:ln w="9525">
          <a:noFill/>
          <a:miter lim="800000"/>
          <a:headEnd/>
          <a:tailEnd/>
        </a:ln>
      </xdr:spPr>
    </xdr:sp>
    <xdr:clientData/>
  </xdr:twoCellAnchor>
  <xdr:twoCellAnchor editAs="oneCell">
    <xdr:from>
      <xdr:col>1</xdr:col>
      <xdr:colOff>0</xdr:colOff>
      <xdr:row>147</xdr:row>
      <xdr:rowOff>0</xdr:rowOff>
    </xdr:from>
    <xdr:to>
      <xdr:col>1</xdr:col>
      <xdr:colOff>76200</xdr:colOff>
      <xdr:row>148</xdr:row>
      <xdr:rowOff>19050</xdr:rowOff>
    </xdr:to>
    <xdr:sp macro="" textlink="">
      <xdr:nvSpPr>
        <xdr:cNvPr id="377872" name="Text Box 1050"/>
        <xdr:cNvSpPr txBox="1">
          <a:spLocks noChangeArrowheads="1"/>
        </xdr:cNvSpPr>
      </xdr:nvSpPr>
      <xdr:spPr bwMode="auto">
        <a:xfrm>
          <a:off x="1152525" y="28575000"/>
          <a:ext cx="76200" cy="209550"/>
        </a:xfrm>
        <a:prstGeom prst="rect">
          <a:avLst/>
        </a:prstGeom>
        <a:noFill/>
        <a:ln w="9525">
          <a:noFill/>
          <a:miter lim="800000"/>
          <a:headEnd/>
          <a:tailEnd/>
        </a:ln>
      </xdr:spPr>
    </xdr:sp>
    <xdr:clientData/>
  </xdr:twoCellAnchor>
  <xdr:twoCellAnchor editAs="oneCell">
    <xdr:from>
      <xdr:col>1</xdr:col>
      <xdr:colOff>0</xdr:colOff>
      <xdr:row>148</xdr:row>
      <xdr:rowOff>0</xdr:rowOff>
    </xdr:from>
    <xdr:to>
      <xdr:col>1</xdr:col>
      <xdr:colOff>76200</xdr:colOff>
      <xdr:row>149</xdr:row>
      <xdr:rowOff>19050</xdr:rowOff>
    </xdr:to>
    <xdr:sp macro="" textlink="">
      <xdr:nvSpPr>
        <xdr:cNvPr id="377873" name="Text Box 1051"/>
        <xdr:cNvSpPr txBox="1">
          <a:spLocks noChangeArrowheads="1"/>
        </xdr:cNvSpPr>
      </xdr:nvSpPr>
      <xdr:spPr bwMode="auto">
        <a:xfrm>
          <a:off x="1152525" y="28765500"/>
          <a:ext cx="76200" cy="209550"/>
        </a:xfrm>
        <a:prstGeom prst="rect">
          <a:avLst/>
        </a:prstGeom>
        <a:noFill/>
        <a:ln w="9525">
          <a:noFill/>
          <a:miter lim="800000"/>
          <a:headEnd/>
          <a:tailEnd/>
        </a:ln>
      </xdr:spPr>
    </xdr:sp>
    <xdr:clientData/>
  </xdr:twoCellAnchor>
  <xdr:twoCellAnchor editAs="oneCell">
    <xdr:from>
      <xdr:col>1</xdr:col>
      <xdr:colOff>0</xdr:colOff>
      <xdr:row>148</xdr:row>
      <xdr:rowOff>0</xdr:rowOff>
    </xdr:from>
    <xdr:to>
      <xdr:col>1</xdr:col>
      <xdr:colOff>76200</xdr:colOff>
      <xdr:row>149</xdr:row>
      <xdr:rowOff>19050</xdr:rowOff>
    </xdr:to>
    <xdr:sp macro="" textlink="">
      <xdr:nvSpPr>
        <xdr:cNvPr id="377874" name="Text Box 1052"/>
        <xdr:cNvSpPr txBox="1">
          <a:spLocks noChangeArrowheads="1"/>
        </xdr:cNvSpPr>
      </xdr:nvSpPr>
      <xdr:spPr bwMode="auto">
        <a:xfrm>
          <a:off x="1152525" y="28765500"/>
          <a:ext cx="76200" cy="209550"/>
        </a:xfrm>
        <a:prstGeom prst="rect">
          <a:avLst/>
        </a:prstGeom>
        <a:noFill/>
        <a:ln w="9525">
          <a:noFill/>
          <a:miter lim="800000"/>
          <a:headEnd/>
          <a:tailEnd/>
        </a:ln>
      </xdr:spPr>
    </xdr:sp>
    <xdr:clientData/>
  </xdr:twoCellAnchor>
  <xdr:twoCellAnchor editAs="oneCell">
    <xdr:from>
      <xdr:col>1</xdr:col>
      <xdr:colOff>0</xdr:colOff>
      <xdr:row>148</xdr:row>
      <xdr:rowOff>0</xdr:rowOff>
    </xdr:from>
    <xdr:to>
      <xdr:col>1</xdr:col>
      <xdr:colOff>76200</xdr:colOff>
      <xdr:row>149</xdr:row>
      <xdr:rowOff>19050</xdr:rowOff>
    </xdr:to>
    <xdr:sp macro="" textlink="">
      <xdr:nvSpPr>
        <xdr:cNvPr id="377875" name="Text Box 1053"/>
        <xdr:cNvSpPr txBox="1">
          <a:spLocks noChangeArrowheads="1"/>
        </xdr:cNvSpPr>
      </xdr:nvSpPr>
      <xdr:spPr bwMode="auto">
        <a:xfrm>
          <a:off x="1152525" y="28765500"/>
          <a:ext cx="76200" cy="209550"/>
        </a:xfrm>
        <a:prstGeom prst="rect">
          <a:avLst/>
        </a:prstGeom>
        <a:noFill/>
        <a:ln w="9525">
          <a:noFill/>
          <a:miter lim="800000"/>
          <a:headEnd/>
          <a:tailEnd/>
        </a:ln>
      </xdr:spPr>
    </xdr:sp>
    <xdr:clientData/>
  </xdr:twoCellAnchor>
  <xdr:twoCellAnchor editAs="oneCell">
    <xdr:from>
      <xdr:col>1</xdr:col>
      <xdr:colOff>0</xdr:colOff>
      <xdr:row>148</xdr:row>
      <xdr:rowOff>0</xdr:rowOff>
    </xdr:from>
    <xdr:to>
      <xdr:col>1</xdr:col>
      <xdr:colOff>76200</xdr:colOff>
      <xdr:row>149</xdr:row>
      <xdr:rowOff>19050</xdr:rowOff>
    </xdr:to>
    <xdr:sp macro="" textlink="">
      <xdr:nvSpPr>
        <xdr:cNvPr id="377876" name="Text Box 1054"/>
        <xdr:cNvSpPr txBox="1">
          <a:spLocks noChangeArrowheads="1"/>
        </xdr:cNvSpPr>
      </xdr:nvSpPr>
      <xdr:spPr bwMode="auto">
        <a:xfrm>
          <a:off x="1152525" y="28765500"/>
          <a:ext cx="76200" cy="209550"/>
        </a:xfrm>
        <a:prstGeom prst="rect">
          <a:avLst/>
        </a:prstGeom>
        <a:noFill/>
        <a:ln w="9525">
          <a:noFill/>
          <a:miter lim="800000"/>
          <a:headEnd/>
          <a:tailEnd/>
        </a:ln>
      </xdr:spPr>
    </xdr:sp>
    <xdr:clientData/>
  </xdr:twoCellAnchor>
  <xdr:twoCellAnchor editAs="oneCell">
    <xdr:from>
      <xdr:col>1</xdr:col>
      <xdr:colOff>0</xdr:colOff>
      <xdr:row>149</xdr:row>
      <xdr:rowOff>0</xdr:rowOff>
    </xdr:from>
    <xdr:to>
      <xdr:col>1</xdr:col>
      <xdr:colOff>76200</xdr:colOff>
      <xdr:row>150</xdr:row>
      <xdr:rowOff>19050</xdr:rowOff>
    </xdr:to>
    <xdr:sp macro="" textlink="">
      <xdr:nvSpPr>
        <xdr:cNvPr id="377877" name="Text Box 1055"/>
        <xdr:cNvSpPr txBox="1">
          <a:spLocks noChangeArrowheads="1"/>
        </xdr:cNvSpPr>
      </xdr:nvSpPr>
      <xdr:spPr bwMode="auto">
        <a:xfrm>
          <a:off x="1152525" y="28956000"/>
          <a:ext cx="76200" cy="209550"/>
        </a:xfrm>
        <a:prstGeom prst="rect">
          <a:avLst/>
        </a:prstGeom>
        <a:noFill/>
        <a:ln w="9525">
          <a:noFill/>
          <a:miter lim="800000"/>
          <a:headEnd/>
          <a:tailEnd/>
        </a:ln>
      </xdr:spPr>
    </xdr:sp>
    <xdr:clientData/>
  </xdr:twoCellAnchor>
  <xdr:twoCellAnchor editAs="oneCell">
    <xdr:from>
      <xdr:col>1</xdr:col>
      <xdr:colOff>0</xdr:colOff>
      <xdr:row>149</xdr:row>
      <xdr:rowOff>0</xdr:rowOff>
    </xdr:from>
    <xdr:to>
      <xdr:col>1</xdr:col>
      <xdr:colOff>76200</xdr:colOff>
      <xdr:row>150</xdr:row>
      <xdr:rowOff>19050</xdr:rowOff>
    </xdr:to>
    <xdr:sp macro="" textlink="">
      <xdr:nvSpPr>
        <xdr:cNvPr id="377878" name="Text Box 1056"/>
        <xdr:cNvSpPr txBox="1">
          <a:spLocks noChangeArrowheads="1"/>
        </xdr:cNvSpPr>
      </xdr:nvSpPr>
      <xdr:spPr bwMode="auto">
        <a:xfrm>
          <a:off x="1152525" y="28956000"/>
          <a:ext cx="76200" cy="209550"/>
        </a:xfrm>
        <a:prstGeom prst="rect">
          <a:avLst/>
        </a:prstGeom>
        <a:noFill/>
        <a:ln w="9525">
          <a:noFill/>
          <a:miter lim="800000"/>
          <a:headEnd/>
          <a:tailEnd/>
        </a:ln>
      </xdr:spPr>
    </xdr:sp>
    <xdr:clientData/>
  </xdr:twoCellAnchor>
  <xdr:twoCellAnchor editAs="oneCell">
    <xdr:from>
      <xdr:col>1</xdr:col>
      <xdr:colOff>0</xdr:colOff>
      <xdr:row>149</xdr:row>
      <xdr:rowOff>0</xdr:rowOff>
    </xdr:from>
    <xdr:to>
      <xdr:col>1</xdr:col>
      <xdr:colOff>76200</xdr:colOff>
      <xdr:row>150</xdr:row>
      <xdr:rowOff>19050</xdr:rowOff>
    </xdr:to>
    <xdr:sp macro="" textlink="">
      <xdr:nvSpPr>
        <xdr:cNvPr id="377879" name="Text Box 1057"/>
        <xdr:cNvSpPr txBox="1">
          <a:spLocks noChangeArrowheads="1"/>
        </xdr:cNvSpPr>
      </xdr:nvSpPr>
      <xdr:spPr bwMode="auto">
        <a:xfrm>
          <a:off x="1152525" y="28956000"/>
          <a:ext cx="76200" cy="209550"/>
        </a:xfrm>
        <a:prstGeom prst="rect">
          <a:avLst/>
        </a:prstGeom>
        <a:noFill/>
        <a:ln w="9525">
          <a:noFill/>
          <a:miter lim="800000"/>
          <a:headEnd/>
          <a:tailEnd/>
        </a:ln>
      </xdr:spPr>
    </xdr:sp>
    <xdr:clientData/>
  </xdr:twoCellAnchor>
  <xdr:twoCellAnchor editAs="oneCell">
    <xdr:from>
      <xdr:col>1</xdr:col>
      <xdr:colOff>0</xdr:colOff>
      <xdr:row>149</xdr:row>
      <xdr:rowOff>0</xdr:rowOff>
    </xdr:from>
    <xdr:to>
      <xdr:col>1</xdr:col>
      <xdr:colOff>76200</xdr:colOff>
      <xdr:row>150</xdr:row>
      <xdr:rowOff>19050</xdr:rowOff>
    </xdr:to>
    <xdr:sp macro="" textlink="">
      <xdr:nvSpPr>
        <xdr:cNvPr id="377880" name="Text Box 1058"/>
        <xdr:cNvSpPr txBox="1">
          <a:spLocks noChangeArrowheads="1"/>
        </xdr:cNvSpPr>
      </xdr:nvSpPr>
      <xdr:spPr bwMode="auto">
        <a:xfrm>
          <a:off x="1152525" y="28956000"/>
          <a:ext cx="76200" cy="209550"/>
        </a:xfrm>
        <a:prstGeom prst="rect">
          <a:avLst/>
        </a:prstGeom>
        <a:noFill/>
        <a:ln w="9525">
          <a:noFill/>
          <a:miter lim="800000"/>
          <a:headEnd/>
          <a:tailEnd/>
        </a:ln>
      </xdr:spPr>
    </xdr:sp>
    <xdr:clientData/>
  </xdr:twoCellAnchor>
  <xdr:twoCellAnchor editAs="oneCell">
    <xdr:from>
      <xdr:col>1</xdr:col>
      <xdr:colOff>0</xdr:colOff>
      <xdr:row>150</xdr:row>
      <xdr:rowOff>0</xdr:rowOff>
    </xdr:from>
    <xdr:to>
      <xdr:col>1</xdr:col>
      <xdr:colOff>76200</xdr:colOff>
      <xdr:row>151</xdr:row>
      <xdr:rowOff>19050</xdr:rowOff>
    </xdr:to>
    <xdr:sp macro="" textlink="">
      <xdr:nvSpPr>
        <xdr:cNvPr id="377881" name="Text Box 1059"/>
        <xdr:cNvSpPr txBox="1">
          <a:spLocks noChangeArrowheads="1"/>
        </xdr:cNvSpPr>
      </xdr:nvSpPr>
      <xdr:spPr bwMode="auto">
        <a:xfrm>
          <a:off x="1152525" y="29146500"/>
          <a:ext cx="76200" cy="209550"/>
        </a:xfrm>
        <a:prstGeom prst="rect">
          <a:avLst/>
        </a:prstGeom>
        <a:noFill/>
        <a:ln w="9525">
          <a:noFill/>
          <a:miter lim="800000"/>
          <a:headEnd/>
          <a:tailEnd/>
        </a:ln>
      </xdr:spPr>
    </xdr:sp>
    <xdr:clientData/>
  </xdr:twoCellAnchor>
  <xdr:twoCellAnchor editAs="oneCell">
    <xdr:from>
      <xdr:col>1</xdr:col>
      <xdr:colOff>0</xdr:colOff>
      <xdr:row>150</xdr:row>
      <xdr:rowOff>0</xdr:rowOff>
    </xdr:from>
    <xdr:to>
      <xdr:col>1</xdr:col>
      <xdr:colOff>76200</xdr:colOff>
      <xdr:row>151</xdr:row>
      <xdr:rowOff>19050</xdr:rowOff>
    </xdr:to>
    <xdr:sp macro="" textlink="">
      <xdr:nvSpPr>
        <xdr:cNvPr id="377882" name="Text Box 1060"/>
        <xdr:cNvSpPr txBox="1">
          <a:spLocks noChangeArrowheads="1"/>
        </xdr:cNvSpPr>
      </xdr:nvSpPr>
      <xdr:spPr bwMode="auto">
        <a:xfrm>
          <a:off x="1152525" y="29146500"/>
          <a:ext cx="76200" cy="209550"/>
        </a:xfrm>
        <a:prstGeom prst="rect">
          <a:avLst/>
        </a:prstGeom>
        <a:noFill/>
        <a:ln w="9525">
          <a:noFill/>
          <a:miter lim="800000"/>
          <a:headEnd/>
          <a:tailEnd/>
        </a:ln>
      </xdr:spPr>
    </xdr:sp>
    <xdr:clientData/>
  </xdr:twoCellAnchor>
  <xdr:twoCellAnchor editAs="oneCell">
    <xdr:from>
      <xdr:col>1</xdr:col>
      <xdr:colOff>0</xdr:colOff>
      <xdr:row>150</xdr:row>
      <xdr:rowOff>0</xdr:rowOff>
    </xdr:from>
    <xdr:to>
      <xdr:col>1</xdr:col>
      <xdr:colOff>76200</xdr:colOff>
      <xdr:row>151</xdr:row>
      <xdr:rowOff>19050</xdr:rowOff>
    </xdr:to>
    <xdr:sp macro="" textlink="">
      <xdr:nvSpPr>
        <xdr:cNvPr id="377883" name="Text Box 1061"/>
        <xdr:cNvSpPr txBox="1">
          <a:spLocks noChangeArrowheads="1"/>
        </xdr:cNvSpPr>
      </xdr:nvSpPr>
      <xdr:spPr bwMode="auto">
        <a:xfrm>
          <a:off x="1152525" y="29146500"/>
          <a:ext cx="76200" cy="209550"/>
        </a:xfrm>
        <a:prstGeom prst="rect">
          <a:avLst/>
        </a:prstGeom>
        <a:noFill/>
        <a:ln w="9525">
          <a:noFill/>
          <a:miter lim="800000"/>
          <a:headEnd/>
          <a:tailEnd/>
        </a:ln>
      </xdr:spPr>
    </xdr:sp>
    <xdr:clientData/>
  </xdr:twoCellAnchor>
  <xdr:twoCellAnchor editAs="oneCell">
    <xdr:from>
      <xdr:col>1</xdr:col>
      <xdr:colOff>0</xdr:colOff>
      <xdr:row>150</xdr:row>
      <xdr:rowOff>0</xdr:rowOff>
    </xdr:from>
    <xdr:to>
      <xdr:col>1</xdr:col>
      <xdr:colOff>76200</xdr:colOff>
      <xdr:row>151</xdr:row>
      <xdr:rowOff>19050</xdr:rowOff>
    </xdr:to>
    <xdr:sp macro="" textlink="">
      <xdr:nvSpPr>
        <xdr:cNvPr id="377884" name="Text Box 1062"/>
        <xdr:cNvSpPr txBox="1">
          <a:spLocks noChangeArrowheads="1"/>
        </xdr:cNvSpPr>
      </xdr:nvSpPr>
      <xdr:spPr bwMode="auto">
        <a:xfrm>
          <a:off x="1152525" y="29146500"/>
          <a:ext cx="76200" cy="209550"/>
        </a:xfrm>
        <a:prstGeom prst="rect">
          <a:avLst/>
        </a:prstGeom>
        <a:noFill/>
        <a:ln w="9525">
          <a:noFill/>
          <a:miter lim="800000"/>
          <a:headEnd/>
          <a:tailEnd/>
        </a:ln>
      </xdr:spPr>
    </xdr:sp>
    <xdr:clientData/>
  </xdr:twoCellAnchor>
  <xdr:twoCellAnchor editAs="oneCell">
    <xdr:from>
      <xdr:col>1</xdr:col>
      <xdr:colOff>0</xdr:colOff>
      <xdr:row>151</xdr:row>
      <xdr:rowOff>0</xdr:rowOff>
    </xdr:from>
    <xdr:to>
      <xdr:col>1</xdr:col>
      <xdr:colOff>76200</xdr:colOff>
      <xdr:row>152</xdr:row>
      <xdr:rowOff>19050</xdr:rowOff>
    </xdr:to>
    <xdr:sp macro="" textlink="">
      <xdr:nvSpPr>
        <xdr:cNvPr id="377885" name="Text Box 1063"/>
        <xdr:cNvSpPr txBox="1">
          <a:spLocks noChangeArrowheads="1"/>
        </xdr:cNvSpPr>
      </xdr:nvSpPr>
      <xdr:spPr bwMode="auto">
        <a:xfrm>
          <a:off x="1152525" y="29337000"/>
          <a:ext cx="76200" cy="209550"/>
        </a:xfrm>
        <a:prstGeom prst="rect">
          <a:avLst/>
        </a:prstGeom>
        <a:noFill/>
        <a:ln w="9525">
          <a:noFill/>
          <a:miter lim="800000"/>
          <a:headEnd/>
          <a:tailEnd/>
        </a:ln>
      </xdr:spPr>
    </xdr:sp>
    <xdr:clientData/>
  </xdr:twoCellAnchor>
  <xdr:twoCellAnchor editAs="oneCell">
    <xdr:from>
      <xdr:col>1</xdr:col>
      <xdr:colOff>0</xdr:colOff>
      <xdr:row>151</xdr:row>
      <xdr:rowOff>0</xdr:rowOff>
    </xdr:from>
    <xdr:to>
      <xdr:col>1</xdr:col>
      <xdr:colOff>76200</xdr:colOff>
      <xdr:row>152</xdr:row>
      <xdr:rowOff>19050</xdr:rowOff>
    </xdr:to>
    <xdr:sp macro="" textlink="">
      <xdr:nvSpPr>
        <xdr:cNvPr id="377886" name="Text Box 1064"/>
        <xdr:cNvSpPr txBox="1">
          <a:spLocks noChangeArrowheads="1"/>
        </xdr:cNvSpPr>
      </xdr:nvSpPr>
      <xdr:spPr bwMode="auto">
        <a:xfrm>
          <a:off x="1152525" y="29337000"/>
          <a:ext cx="76200" cy="209550"/>
        </a:xfrm>
        <a:prstGeom prst="rect">
          <a:avLst/>
        </a:prstGeom>
        <a:noFill/>
        <a:ln w="9525">
          <a:noFill/>
          <a:miter lim="800000"/>
          <a:headEnd/>
          <a:tailEnd/>
        </a:ln>
      </xdr:spPr>
    </xdr:sp>
    <xdr:clientData/>
  </xdr:twoCellAnchor>
  <xdr:twoCellAnchor editAs="oneCell">
    <xdr:from>
      <xdr:col>1</xdr:col>
      <xdr:colOff>0</xdr:colOff>
      <xdr:row>151</xdr:row>
      <xdr:rowOff>0</xdr:rowOff>
    </xdr:from>
    <xdr:to>
      <xdr:col>1</xdr:col>
      <xdr:colOff>76200</xdr:colOff>
      <xdr:row>152</xdr:row>
      <xdr:rowOff>19050</xdr:rowOff>
    </xdr:to>
    <xdr:sp macro="" textlink="">
      <xdr:nvSpPr>
        <xdr:cNvPr id="377887" name="Text Box 1065"/>
        <xdr:cNvSpPr txBox="1">
          <a:spLocks noChangeArrowheads="1"/>
        </xdr:cNvSpPr>
      </xdr:nvSpPr>
      <xdr:spPr bwMode="auto">
        <a:xfrm>
          <a:off x="1152525" y="29337000"/>
          <a:ext cx="76200" cy="209550"/>
        </a:xfrm>
        <a:prstGeom prst="rect">
          <a:avLst/>
        </a:prstGeom>
        <a:noFill/>
        <a:ln w="9525">
          <a:noFill/>
          <a:miter lim="800000"/>
          <a:headEnd/>
          <a:tailEnd/>
        </a:ln>
      </xdr:spPr>
    </xdr:sp>
    <xdr:clientData/>
  </xdr:twoCellAnchor>
  <xdr:twoCellAnchor editAs="oneCell">
    <xdr:from>
      <xdr:col>1</xdr:col>
      <xdr:colOff>0</xdr:colOff>
      <xdr:row>151</xdr:row>
      <xdr:rowOff>0</xdr:rowOff>
    </xdr:from>
    <xdr:to>
      <xdr:col>1</xdr:col>
      <xdr:colOff>76200</xdr:colOff>
      <xdr:row>152</xdr:row>
      <xdr:rowOff>19050</xdr:rowOff>
    </xdr:to>
    <xdr:sp macro="" textlink="">
      <xdr:nvSpPr>
        <xdr:cNvPr id="377888" name="Text Box 1066"/>
        <xdr:cNvSpPr txBox="1">
          <a:spLocks noChangeArrowheads="1"/>
        </xdr:cNvSpPr>
      </xdr:nvSpPr>
      <xdr:spPr bwMode="auto">
        <a:xfrm>
          <a:off x="1152525" y="29337000"/>
          <a:ext cx="76200" cy="209550"/>
        </a:xfrm>
        <a:prstGeom prst="rect">
          <a:avLst/>
        </a:prstGeom>
        <a:noFill/>
        <a:ln w="9525">
          <a:noFill/>
          <a:miter lim="800000"/>
          <a:headEnd/>
          <a:tailEnd/>
        </a:ln>
      </xdr:spPr>
    </xdr:sp>
    <xdr:clientData/>
  </xdr:twoCellAnchor>
  <xdr:twoCellAnchor editAs="oneCell">
    <xdr:from>
      <xdr:col>1</xdr:col>
      <xdr:colOff>0</xdr:colOff>
      <xdr:row>152</xdr:row>
      <xdr:rowOff>0</xdr:rowOff>
    </xdr:from>
    <xdr:to>
      <xdr:col>1</xdr:col>
      <xdr:colOff>76200</xdr:colOff>
      <xdr:row>153</xdr:row>
      <xdr:rowOff>19050</xdr:rowOff>
    </xdr:to>
    <xdr:sp macro="" textlink="">
      <xdr:nvSpPr>
        <xdr:cNvPr id="377889" name="Text Box 1067"/>
        <xdr:cNvSpPr txBox="1">
          <a:spLocks noChangeArrowheads="1"/>
        </xdr:cNvSpPr>
      </xdr:nvSpPr>
      <xdr:spPr bwMode="auto">
        <a:xfrm>
          <a:off x="1152525" y="29527500"/>
          <a:ext cx="76200" cy="209550"/>
        </a:xfrm>
        <a:prstGeom prst="rect">
          <a:avLst/>
        </a:prstGeom>
        <a:noFill/>
        <a:ln w="9525">
          <a:noFill/>
          <a:miter lim="800000"/>
          <a:headEnd/>
          <a:tailEnd/>
        </a:ln>
      </xdr:spPr>
    </xdr:sp>
    <xdr:clientData/>
  </xdr:twoCellAnchor>
  <xdr:twoCellAnchor editAs="oneCell">
    <xdr:from>
      <xdr:col>1</xdr:col>
      <xdr:colOff>0</xdr:colOff>
      <xdr:row>152</xdr:row>
      <xdr:rowOff>0</xdr:rowOff>
    </xdr:from>
    <xdr:to>
      <xdr:col>1</xdr:col>
      <xdr:colOff>76200</xdr:colOff>
      <xdr:row>153</xdr:row>
      <xdr:rowOff>19050</xdr:rowOff>
    </xdr:to>
    <xdr:sp macro="" textlink="">
      <xdr:nvSpPr>
        <xdr:cNvPr id="377890" name="Text Box 1068"/>
        <xdr:cNvSpPr txBox="1">
          <a:spLocks noChangeArrowheads="1"/>
        </xdr:cNvSpPr>
      </xdr:nvSpPr>
      <xdr:spPr bwMode="auto">
        <a:xfrm>
          <a:off x="1152525" y="29527500"/>
          <a:ext cx="76200" cy="209550"/>
        </a:xfrm>
        <a:prstGeom prst="rect">
          <a:avLst/>
        </a:prstGeom>
        <a:noFill/>
        <a:ln w="9525">
          <a:noFill/>
          <a:miter lim="800000"/>
          <a:headEnd/>
          <a:tailEnd/>
        </a:ln>
      </xdr:spPr>
    </xdr:sp>
    <xdr:clientData/>
  </xdr:twoCellAnchor>
  <xdr:twoCellAnchor editAs="oneCell">
    <xdr:from>
      <xdr:col>1</xdr:col>
      <xdr:colOff>0</xdr:colOff>
      <xdr:row>152</xdr:row>
      <xdr:rowOff>0</xdr:rowOff>
    </xdr:from>
    <xdr:to>
      <xdr:col>1</xdr:col>
      <xdr:colOff>76200</xdr:colOff>
      <xdr:row>153</xdr:row>
      <xdr:rowOff>19050</xdr:rowOff>
    </xdr:to>
    <xdr:sp macro="" textlink="">
      <xdr:nvSpPr>
        <xdr:cNvPr id="377891" name="Text Box 1069"/>
        <xdr:cNvSpPr txBox="1">
          <a:spLocks noChangeArrowheads="1"/>
        </xdr:cNvSpPr>
      </xdr:nvSpPr>
      <xdr:spPr bwMode="auto">
        <a:xfrm>
          <a:off x="1152525" y="29527500"/>
          <a:ext cx="76200" cy="209550"/>
        </a:xfrm>
        <a:prstGeom prst="rect">
          <a:avLst/>
        </a:prstGeom>
        <a:noFill/>
        <a:ln w="9525">
          <a:noFill/>
          <a:miter lim="800000"/>
          <a:headEnd/>
          <a:tailEnd/>
        </a:ln>
      </xdr:spPr>
    </xdr:sp>
    <xdr:clientData/>
  </xdr:twoCellAnchor>
  <xdr:twoCellAnchor editAs="oneCell">
    <xdr:from>
      <xdr:col>1</xdr:col>
      <xdr:colOff>0</xdr:colOff>
      <xdr:row>152</xdr:row>
      <xdr:rowOff>0</xdr:rowOff>
    </xdr:from>
    <xdr:to>
      <xdr:col>1</xdr:col>
      <xdr:colOff>76200</xdr:colOff>
      <xdr:row>153</xdr:row>
      <xdr:rowOff>19050</xdr:rowOff>
    </xdr:to>
    <xdr:sp macro="" textlink="">
      <xdr:nvSpPr>
        <xdr:cNvPr id="377892" name="Text Box 1070"/>
        <xdr:cNvSpPr txBox="1">
          <a:spLocks noChangeArrowheads="1"/>
        </xdr:cNvSpPr>
      </xdr:nvSpPr>
      <xdr:spPr bwMode="auto">
        <a:xfrm>
          <a:off x="1152525" y="29527500"/>
          <a:ext cx="76200" cy="209550"/>
        </a:xfrm>
        <a:prstGeom prst="rect">
          <a:avLst/>
        </a:prstGeom>
        <a:noFill/>
        <a:ln w="9525">
          <a:noFill/>
          <a:miter lim="800000"/>
          <a:headEnd/>
          <a:tailEnd/>
        </a:ln>
      </xdr:spPr>
    </xdr:sp>
    <xdr:clientData/>
  </xdr:twoCellAnchor>
  <xdr:twoCellAnchor editAs="oneCell">
    <xdr:from>
      <xdr:col>1</xdr:col>
      <xdr:colOff>0</xdr:colOff>
      <xdr:row>153</xdr:row>
      <xdr:rowOff>0</xdr:rowOff>
    </xdr:from>
    <xdr:to>
      <xdr:col>1</xdr:col>
      <xdr:colOff>76200</xdr:colOff>
      <xdr:row>154</xdr:row>
      <xdr:rowOff>19050</xdr:rowOff>
    </xdr:to>
    <xdr:sp macro="" textlink="">
      <xdr:nvSpPr>
        <xdr:cNvPr id="377893" name="Text Box 1071"/>
        <xdr:cNvSpPr txBox="1">
          <a:spLocks noChangeArrowheads="1"/>
        </xdr:cNvSpPr>
      </xdr:nvSpPr>
      <xdr:spPr bwMode="auto">
        <a:xfrm>
          <a:off x="1152525" y="29718000"/>
          <a:ext cx="76200" cy="209550"/>
        </a:xfrm>
        <a:prstGeom prst="rect">
          <a:avLst/>
        </a:prstGeom>
        <a:noFill/>
        <a:ln w="9525">
          <a:noFill/>
          <a:miter lim="800000"/>
          <a:headEnd/>
          <a:tailEnd/>
        </a:ln>
      </xdr:spPr>
    </xdr:sp>
    <xdr:clientData/>
  </xdr:twoCellAnchor>
  <xdr:twoCellAnchor editAs="oneCell">
    <xdr:from>
      <xdr:col>1</xdr:col>
      <xdr:colOff>0</xdr:colOff>
      <xdr:row>153</xdr:row>
      <xdr:rowOff>0</xdr:rowOff>
    </xdr:from>
    <xdr:to>
      <xdr:col>1</xdr:col>
      <xdr:colOff>76200</xdr:colOff>
      <xdr:row>154</xdr:row>
      <xdr:rowOff>19050</xdr:rowOff>
    </xdr:to>
    <xdr:sp macro="" textlink="">
      <xdr:nvSpPr>
        <xdr:cNvPr id="377894" name="Text Box 1072"/>
        <xdr:cNvSpPr txBox="1">
          <a:spLocks noChangeArrowheads="1"/>
        </xdr:cNvSpPr>
      </xdr:nvSpPr>
      <xdr:spPr bwMode="auto">
        <a:xfrm>
          <a:off x="1152525" y="29718000"/>
          <a:ext cx="76200" cy="209550"/>
        </a:xfrm>
        <a:prstGeom prst="rect">
          <a:avLst/>
        </a:prstGeom>
        <a:noFill/>
        <a:ln w="9525">
          <a:noFill/>
          <a:miter lim="800000"/>
          <a:headEnd/>
          <a:tailEnd/>
        </a:ln>
      </xdr:spPr>
    </xdr:sp>
    <xdr:clientData/>
  </xdr:twoCellAnchor>
  <xdr:twoCellAnchor editAs="oneCell">
    <xdr:from>
      <xdr:col>1</xdr:col>
      <xdr:colOff>0</xdr:colOff>
      <xdr:row>153</xdr:row>
      <xdr:rowOff>0</xdr:rowOff>
    </xdr:from>
    <xdr:to>
      <xdr:col>1</xdr:col>
      <xdr:colOff>76200</xdr:colOff>
      <xdr:row>154</xdr:row>
      <xdr:rowOff>19050</xdr:rowOff>
    </xdr:to>
    <xdr:sp macro="" textlink="">
      <xdr:nvSpPr>
        <xdr:cNvPr id="377895" name="Text Box 1073"/>
        <xdr:cNvSpPr txBox="1">
          <a:spLocks noChangeArrowheads="1"/>
        </xdr:cNvSpPr>
      </xdr:nvSpPr>
      <xdr:spPr bwMode="auto">
        <a:xfrm>
          <a:off x="1152525" y="29718000"/>
          <a:ext cx="76200" cy="209550"/>
        </a:xfrm>
        <a:prstGeom prst="rect">
          <a:avLst/>
        </a:prstGeom>
        <a:noFill/>
        <a:ln w="9525">
          <a:noFill/>
          <a:miter lim="800000"/>
          <a:headEnd/>
          <a:tailEnd/>
        </a:ln>
      </xdr:spPr>
    </xdr:sp>
    <xdr:clientData/>
  </xdr:twoCellAnchor>
  <xdr:twoCellAnchor editAs="oneCell">
    <xdr:from>
      <xdr:col>1</xdr:col>
      <xdr:colOff>0</xdr:colOff>
      <xdr:row>153</xdr:row>
      <xdr:rowOff>0</xdr:rowOff>
    </xdr:from>
    <xdr:to>
      <xdr:col>1</xdr:col>
      <xdr:colOff>76200</xdr:colOff>
      <xdr:row>154</xdr:row>
      <xdr:rowOff>19050</xdr:rowOff>
    </xdr:to>
    <xdr:sp macro="" textlink="">
      <xdr:nvSpPr>
        <xdr:cNvPr id="377896" name="Text Box 1074"/>
        <xdr:cNvSpPr txBox="1">
          <a:spLocks noChangeArrowheads="1"/>
        </xdr:cNvSpPr>
      </xdr:nvSpPr>
      <xdr:spPr bwMode="auto">
        <a:xfrm>
          <a:off x="1152525" y="29718000"/>
          <a:ext cx="76200" cy="209550"/>
        </a:xfrm>
        <a:prstGeom prst="rect">
          <a:avLst/>
        </a:prstGeom>
        <a:noFill/>
        <a:ln w="9525">
          <a:noFill/>
          <a:miter lim="800000"/>
          <a:headEnd/>
          <a:tailEnd/>
        </a:ln>
      </xdr:spPr>
    </xdr:sp>
    <xdr:clientData/>
  </xdr:twoCellAnchor>
  <xdr:twoCellAnchor editAs="oneCell">
    <xdr:from>
      <xdr:col>1</xdr:col>
      <xdr:colOff>0</xdr:colOff>
      <xdr:row>154</xdr:row>
      <xdr:rowOff>0</xdr:rowOff>
    </xdr:from>
    <xdr:to>
      <xdr:col>1</xdr:col>
      <xdr:colOff>76200</xdr:colOff>
      <xdr:row>155</xdr:row>
      <xdr:rowOff>19050</xdr:rowOff>
    </xdr:to>
    <xdr:sp macro="" textlink="">
      <xdr:nvSpPr>
        <xdr:cNvPr id="377897" name="Text Box 1075"/>
        <xdr:cNvSpPr txBox="1">
          <a:spLocks noChangeArrowheads="1"/>
        </xdr:cNvSpPr>
      </xdr:nvSpPr>
      <xdr:spPr bwMode="auto">
        <a:xfrm>
          <a:off x="1152525" y="29908500"/>
          <a:ext cx="76200" cy="209550"/>
        </a:xfrm>
        <a:prstGeom prst="rect">
          <a:avLst/>
        </a:prstGeom>
        <a:noFill/>
        <a:ln w="9525">
          <a:noFill/>
          <a:miter lim="800000"/>
          <a:headEnd/>
          <a:tailEnd/>
        </a:ln>
      </xdr:spPr>
    </xdr:sp>
    <xdr:clientData/>
  </xdr:twoCellAnchor>
  <xdr:twoCellAnchor editAs="oneCell">
    <xdr:from>
      <xdr:col>1</xdr:col>
      <xdr:colOff>0</xdr:colOff>
      <xdr:row>154</xdr:row>
      <xdr:rowOff>0</xdr:rowOff>
    </xdr:from>
    <xdr:to>
      <xdr:col>1</xdr:col>
      <xdr:colOff>76200</xdr:colOff>
      <xdr:row>155</xdr:row>
      <xdr:rowOff>19050</xdr:rowOff>
    </xdr:to>
    <xdr:sp macro="" textlink="">
      <xdr:nvSpPr>
        <xdr:cNvPr id="377898" name="Text Box 1076"/>
        <xdr:cNvSpPr txBox="1">
          <a:spLocks noChangeArrowheads="1"/>
        </xdr:cNvSpPr>
      </xdr:nvSpPr>
      <xdr:spPr bwMode="auto">
        <a:xfrm>
          <a:off x="1152525" y="29908500"/>
          <a:ext cx="76200" cy="209550"/>
        </a:xfrm>
        <a:prstGeom prst="rect">
          <a:avLst/>
        </a:prstGeom>
        <a:noFill/>
        <a:ln w="9525">
          <a:noFill/>
          <a:miter lim="800000"/>
          <a:headEnd/>
          <a:tailEnd/>
        </a:ln>
      </xdr:spPr>
    </xdr:sp>
    <xdr:clientData/>
  </xdr:twoCellAnchor>
  <xdr:twoCellAnchor editAs="oneCell">
    <xdr:from>
      <xdr:col>1</xdr:col>
      <xdr:colOff>0</xdr:colOff>
      <xdr:row>154</xdr:row>
      <xdr:rowOff>0</xdr:rowOff>
    </xdr:from>
    <xdr:to>
      <xdr:col>1</xdr:col>
      <xdr:colOff>76200</xdr:colOff>
      <xdr:row>155</xdr:row>
      <xdr:rowOff>19050</xdr:rowOff>
    </xdr:to>
    <xdr:sp macro="" textlink="">
      <xdr:nvSpPr>
        <xdr:cNvPr id="377899" name="Text Box 1077"/>
        <xdr:cNvSpPr txBox="1">
          <a:spLocks noChangeArrowheads="1"/>
        </xdr:cNvSpPr>
      </xdr:nvSpPr>
      <xdr:spPr bwMode="auto">
        <a:xfrm>
          <a:off x="1152525" y="29908500"/>
          <a:ext cx="76200" cy="209550"/>
        </a:xfrm>
        <a:prstGeom prst="rect">
          <a:avLst/>
        </a:prstGeom>
        <a:noFill/>
        <a:ln w="9525">
          <a:noFill/>
          <a:miter lim="800000"/>
          <a:headEnd/>
          <a:tailEnd/>
        </a:ln>
      </xdr:spPr>
    </xdr:sp>
    <xdr:clientData/>
  </xdr:twoCellAnchor>
  <xdr:twoCellAnchor editAs="oneCell">
    <xdr:from>
      <xdr:col>1</xdr:col>
      <xdr:colOff>0</xdr:colOff>
      <xdr:row>154</xdr:row>
      <xdr:rowOff>0</xdr:rowOff>
    </xdr:from>
    <xdr:to>
      <xdr:col>1</xdr:col>
      <xdr:colOff>76200</xdr:colOff>
      <xdr:row>155</xdr:row>
      <xdr:rowOff>19050</xdr:rowOff>
    </xdr:to>
    <xdr:sp macro="" textlink="">
      <xdr:nvSpPr>
        <xdr:cNvPr id="377900" name="Text Box 1078"/>
        <xdr:cNvSpPr txBox="1">
          <a:spLocks noChangeArrowheads="1"/>
        </xdr:cNvSpPr>
      </xdr:nvSpPr>
      <xdr:spPr bwMode="auto">
        <a:xfrm>
          <a:off x="1152525" y="29908500"/>
          <a:ext cx="76200" cy="209550"/>
        </a:xfrm>
        <a:prstGeom prst="rect">
          <a:avLst/>
        </a:prstGeom>
        <a:noFill/>
        <a:ln w="9525">
          <a:noFill/>
          <a:miter lim="800000"/>
          <a:headEnd/>
          <a:tailEnd/>
        </a:ln>
      </xdr:spPr>
    </xdr:sp>
    <xdr:clientData/>
  </xdr:twoCellAnchor>
  <xdr:twoCellAnchor editAs="oneCell">
    <xdr:from>
      <xdr:col>1</xdr:col>
      <xdr:colOff>0</xdr:colOff>
      <xdr:row>155</xdr:row>
      <xdr:rowOff>0</xdr:rowOff>
    </xdr:from>
    <xdr:to>
      <xdr:col>1</xdr:col>
      <xdr:colOff>76200</xdr:colOff>
      <xdr:row>156</xdr:row>
      <xdr:rowOff>19050</xdr:rowOff>
    </xdr:to>
    <xdr:sp macro="" textlink="">
      <xdr:nvSpPr>
        <xdr:cNvPr id="377901" name="Text Box 1079"/>
        <xdr:cNvSpPr txBox="1">
          <a:spLocks noChangeArrowheads="1"/>
        </xdr:cNvSpPr>
      </xdr:nvSpPr>
      <xdr:spPr bwMode="auto">
        <a:xfrm>
          <a:off x="1152525" y="30099000"/>
          <a:ext cx="76200" cy="209550"/>
        </a:xfrm>
        <a:prstGeom prst="rect">
          <a:avLst/>
        </a:prstGeom>
        <a:noFill/>
        <a:ln w="9525">
          <a:noFill/>
          <a:miter lim="800000"/>
          <a:headEnd/>
          <a:tailEnd/>
        </a:ln>
      </xdr:spPr>
    </xdr:sp>
    <xdr:clientData/>
  </xdr:twoCellAnchor>
  <xdr:twoCellAnchor editAs="oneCell">
    <xdr:from>
      <xdr:col>1</xdr:col>
      <xdr:colOff>0</xdr:colOff>
      <xdr:row>155</xdr:row>
      <xdr:rowOff>0</xdr:rowOff>
    </xdr:from>
    <xdr:to>
      <xdr:col>1</xdr:col>
      <xdr:colOff>76200</xdr:colOff>
      <xdr:row>156</xdr:row>
      <xdr:rowOff>19050</xdr:rowOff>
    </xdr:to>
    <xdr:sp macro="" textlink="">
      <xdr:nvSpPr>
        <xdr:cNvPr id="377902" name="Text Box 1080"/>
        <xdr:cNvSpPr txBox="1">
          <a:spLocks noChangeArrowheads="1"/>
        </xdr:cNvSpPr>
      </xdr:nvSpPr>
      <xdr:spPr bwMode="auto">
        <a:xfrm>
          <a:off x="1152525" y="30099000"/>
          <a:ext cx="76200" cy="209550"/>
        </a:xfrm>
        <a:prstGeom prst="rect">
          <a:avLst/>
        </a:prstGeom>
        <a:noFill/>
        <a:ln w="9525">
          <a:noFill/>
          <a:miter lim="800000"/>
          <a:headEnd/>
          <a:tailEnd/>
        </a:ln>
      </xdr:spPr>
    </xdr:sp>
    <xdr:clientData/>
  </xdr:twoCellAnchor>
  <xdr:twoCellAnchor editAs="oneCell">
    <xdr:from>
      <xdr:col>1</xdr:col>
      <xdr:colOff>0</xdr:colOff>
      <xdr:row>155</xdr:row>
      <xdr:rowOff>0</xdr:rowOff>
    </xdr:from>
    <xdr:to>
      <xdr:col>1</xdr:col>
      <xdr:colOff>76200</xdr:colOff>
      <xdr:row>156</xdr:row>
      <xdr:rowOff>19050</xdr:rowOff>
    </xdr:to>
    <xdr:sp macro="" textlink="">
      <xdr:nvSpPr>
        <xdr:cNvPr id="377903" name="Text Box 1081"/>
        <xdr:cNvSpPr txBox="1">
          <a:spLocks noChangeArrowheads="1"/>
        </xdr:cNvSpPr>
      </xdr:nvSpPr>
      <xdr:spPr bwMode="auto">
        <a:xfrm>
          <a:off x="1152525" y="30099000"/>
          <a:ext cx="76200" cy="209550"/>
        </a:xfrm>
        <a:prstGeom prst="rect">
          <a:avLst/>
        </a:prstGeom>
        <a:noFill/>
        <a:ln w="9525">
          <a:noFill/>
          <a:miter lim="800000"/>
          <a:headEnd/>
          <a:tailEnd/>
        </a:ln>
      </xdr:spPr>
    </xdr:sp>
    <xdr:clientData/>
  </xdr:twoCellAnchor>
  <xdr:twoCellAnchor editAs="oneCell">
    <xdr:from>
      <xdr:col>1</xdr:col>
      <xdr:colOff>0</xdr:colOff>
      <xdr:row>155</xdr:row>
      <xdr:rowOff>0</xdr:rowOff>
    </xdr:from>
    <xdr:to>
      <xdr:col>1</xdr:col>
      <xdr:colOff>76200</xdr:colOff>
      <xdr:row>156</xdr:row>
      <xdr:rowOff>19050</xdr:rowOff>
    </xdr:to>
    <xdr:sp macro="" textlink="">
      <xdr:nvSpPr>
        <xdr:cNvPr id="377904" name="Text Box 1082"/>
        <xdr:cNvSpPr txBox="1">
          <a:spLocks noChangeArrowheads="1"/>
        </xdr:cNvSpPr>
      </xdr:nvSpPr>
      <xdr:spPr bwMode="auto">
        <a:xfrm>
          <a:off x="1152525" y="30099000"/>
          <a:ext cx="76200" cy="209550"/>
        </a:xfrm>
        <a:prstGeom prst="rect">
          <a:avLst/>
        </a:prstGeom>
        <a:noFill/>
        <a:ln w="9525">
          <a:noFill/>
          <a:miter lim="800000"/>
          <a:headEnd/>
          <a:tailEnd/>
        </a:ln>
      </xdr:spPr>
    </xdr:sp>
    <xdr:clientData/>
  </xdr:twoCellAnchor>
  <xdr:twoCellAnchor editAs="oneCell">
    <xdr:from>
      <xdr:col>1</xdr:col>
      <xdr:colOff>0</xdr:colOff>
      <xdr:row>156</xdr:row>
      <xdr:rowOff>0</xdr:rowOff>
    </xdr:from>
    <xdr:to>
      <xdr:col>1</xdr:col>
      <xdr:colOff>76200</xdr:colOff>
      <xdr:row>157</xdr:row>
      <xdr:rowOff>19050</xdr:rowOff>
    </xdr:to>
    <xdr:sp macro="" textlink="">
      <xdr:nvSpPr>
        <xdr:cNvPr id="377905" name="Text Box 1083"/>
        <xdr:cNvSpPr txBox="1">
          <a:spLocks noChangeArrowheads="1"/>
        </xdr:cNvSpPr>
      </xdr:nvSpPr>
      <xdr:spPr bwMode="auto">
        <a:xfrm>
          <a:off x="1152525" y="30289500"/>
          <a:ext cx="76200" cy="209550"/>
        </a:xfrm>
        <a:prstGeom prst="rect">
          <a:avLst/>
        </a:prstGeom>
        <a:noFill/>
        <a:ln w="9525">
          <a:noFill/>
          <a:miter lim="800000"/>
          <a:headEnd/>
          <a:tailEnd/>
        </a:ln>
      </xdr:spPr>
    </xdr:sp>
    <xdr:clientData/>
  </xdr:twoCellAnchor>
  <xdr:twoCellAnchor editAs="oneCell">
    <xdr:from>
      <xdr:col>1</xdr:col>
      <xdr:colOff>0</xdr:colOff>
      <xdr:row>156</xdr:row>
      <xdr:rowOff>0</xdr:rowOff>
    </xdr:from>
    <xdr:to>
      <xdr:col>1</xdr:col>
      <xdr:colOff>76200</xdr:colOff>
      <xdr:row>157</xdr:row>
      <xdr:rowOff>19050</xdr:rowOff>
    </xdr:to>
    <xdr:sp macro="" textlink="">
      <xdr:nvSpPr>
        <xdr:cNvPr id="377906" name="Text Box 1084"/>
        <xdr:cNvSpPr txBox="1">
          <a:spLocks noChangeArrowheads="1"/>
        </xdr:cNvSpPr>
      </xdr:nvSpPr>
      <xdr:spPr bwMode="auto">
        <a:xfrm>
          <a:off x="1152525" y="30289500"/>
          <a:ext cx="76200" cy="209550"/>
        </a:xfrm>
        <a:prstGeom prst="rect">
          <a:avLst/>
        </a:prstGeom>
        <a:noFill/>
        <a:ln w="9525">
          <a:noFill/>
          <a:miter lim="800000"/>
          <a:headEnd/>
          <a:tailEnd/>
        </a:ln>
      </xdr:spPr>
    </xdr:sp>
    <xdr:clientData/>
  </xdr:twoCellAnchor>
  <xdr:twoCellAnchor editAs="oneCell">
    <xdr:from>
      <xdr:col>1</xdr:col>
      <xdr:colOff>0</xdr:colOff>
      <xdr:row>156</xdr:row>
      <xdr:rowOff>0</xdr:rowOff>
    </xdr:from>
    <xdr:to>
      <xdr:col>1</xdr:col>
      <xdr:colOff>76200</xdr:colOff>
      <xdr:row>157</xdr:row>
      <xdr:rowOff>19050</xdr:rowOff>
    </xdr:to>
    <xdr:sp macro="" textlink="">
      <xdr:nvSpPr>
        <xdr:cNvPr id="377907" name="Text Box 1085"/>
        <xdr:cNvSpPr txBox="1">
          <a:spLocks noChangeArrowheads="1"/>
        </xdr:cNvSpPr>
      </xdr:nvSpPr>
      <xdr:spPr bwMode="auto">
        <a:xfrm>
          <a:off x="1152525" y="30289500"/>
          <a:ext cx="76200" cy="209550"/>
        </a:xfrm>
        <a:prstGeom prst="rect">
          <a:avLst/>
        </a:prstGeom>
        <a:noFill/>
        <a:ln w="9525">
          <a:noFill/>
          <a:miter lim="800000"/>
          <a:headEnd/>
          <a:tailEnd/>
        </a:ln>
      </xdr:spPr>
    </xdr:sp>
    <xdr:clientData/>
  </xdr:twoCellAnchor>
  <xdr:twoCellAnchor editAs="oneCell">
    <xdr:from>
      <xdr:col>1</xdr:col>
      <xdr:colOff>0</xdr:colOff>
      <xdr:row>156</xdr:row>
      <xdr:rowOff>0</xdr:rowOff>
    </xdr:from>
    <xdr:to>
      <xdr:col>1</xdr:col>
      <xdr:colOff>76200</xdr:colOff>
      <xdr:row>157</xdr:row>
      <xdr:rowOff>19050</xdr:rowOff>
    </xdr:to>
    <xdr:sp macro="" textlink="">
      <xdr:nvSpPr>
        <xdr:cNvPr id="377908" name="Text Box 1086"/>
        <xdr:cNvSpPr txBox="1">
          <a:spLocks noChangeArrowheads="1"/>
        </xdr:cNvSpPr>
      </xdr:nvSpPr>
      <xdr:spPr bwMode="auto">
        <a:xfrm>
          <a:off x="1152525" y="30289500"/>
          <a:ext cx="76200" cy="209550"/>
        </a:xfrm>
        <a:prstGeom prst="rect">
          <a:avLst/>
        </a:prstGeom>
        <a:noFill/>
        <a:ln w="9525">
          <a:noFill/>
          <a:miter lim="800000"/>
          <a:headEnd/>
          <a:tailEnd/>
        </a:ln>
      </xdr:spPr>
    </xdr:sp>
    <xdr:clientData/>
  </xdr:twoCellAnchor>
  <xdr:twoCellAnchor editAs="oneCell">
    <xdr:from>
      <xdr:col>1</xdr:col>
      <xdr:colOff>0</xdr:colOff>
      <xdr:row>157</xdr:row>
      <xdr:rowOff>0</xdr:rowOff>
    </xdr:from>
    <xdr:to>
      <xdr:col>1</xdr:col>
      <xdr:colOff>76200</xdr:colOff>
      <xdr:row>158</xdr:row>
      <xdr:rowOff>19050</xdr:rowOff>
    </xdr:to>
    <xdr:sp macro="" textlink="">
      <xdr:nvSpPr>
        <xdr:cNvPr id="377909" name="Text Box 1087"/>
        <xdr:cNvSpPr txBox="1">
          <a:spLocks noChangeArrowheads="1"/>
        </xdr:cNvSpPr>
      </xdr:nvSpPr>
      <xdr:spPr bwMode="auto">
        <a:xfrm>
          <a:off x="1152525" y="30480000"/>
          <a:ext cx="76200" cy="209550"/>
        </a:xfrm>
        <a:prstGeom prst="rect">
          <a:avLst/>
        </a:prstGeom>
        <a:noFill/>
        <a:ln w="9525">
          <a:noFill/>
          <a:miter lim="800000"/>
          <a:headEnd/>
          <a:tailEnd/>
        </a:ln>
      </xdr:spPr>
    </xdr:sp>
    <xdr:clientData/>
  </xdr:twoCellAnchor>
  <xdr:twoCellAnchor editAs="oneCell">
    <xdr:from>
      <xdr:col>1</xdr:col>
      <xdr:colOff>0</xdr:colOff>
      <xdr:row>157</xdr:row>
      <xdr:rowOff>0</xdr:rowOff>
    </xdr:from>
    <xdr:to>
      <xdr:col>1</xdr:col>
      <xdr:colOff>76200</xdr:colOff>
      <xdr:row>158</xdr:row>
      <xdr:rowOff>19050</xdr:rowOff>
    </xdr:to>
    <xdr:sp macro="" textlink="">
      <xdr:nvSpPr>
        <xdr:cNvPr id="377910" name="Text Box 1088"/>
        <xdr:cNvSpPr txBox="1">
          <a:spLocks noChangeArrowheads="1"/>
        </xdr:cNvSpPr>
      </xdr:nvSpPr>
      <xdr:spPr bwMode="auto">
        <a:xfrm>
          <a:off x="1152525" y="30480000"/>
          <a:ext cx="76200" cy="209550"/>
        </a:xfrm>
        <a:prstGeom prst="rect">
          <a:avLst/>
        </a:prstGeom>
        <a:noFill/>
        <a:ln w="9525">
          <a:noFill/>
          <a:miter lim="800000"/>
          <a:headEnd/>
          <a:tailEnd/>
        </a:ln>
      </xdr:spPr>
    </xdr:sp>
    <xdr:clientData/>
  </xdr:twoCellAnchor>
  <xdr:twoCellAnchor editAs="oneCell">
    <xdr:from>
      <xdr:col>1</xdr:col>
      <xdr:colOff>0</xdr:colOff>
      <xdr:row>157</xdr:row>
      <xdr:rowOff>0</xdr:rowOff>
    </xdr:from>
    <xdr:to>
      <xdr:col>1</xdr:col>
      <xdr:colOff>76200</xdr:colOff>
      <xdr:row>158</xdr:row>
      <xdr:rowOff>19050</xdr:rowOff>
    </xdr:to>
    <xdr:sp macro="" textlink="">
      <xdr:nvSpPr>
        <xdr:cNvPr id="377911" name="Text Box 1089"/>
        <xdr:cNvSpPr txBox="1">
          <a:spLocks noChangeArrowheads="1"/>
        </xdr:cNvSpPr>
      </xdr:nvSpPr>
      <xdr:spPr bwMode="auto">
        <a:xfrm>
          <a:off x="1152525" y="30480000"/>
          <a:ext cx="76200" cy="209550"/>
        </a:xfrm>
        <a:prstGeom prst="rect">
          <a:avLst/>
        </a:prstGeom>
        <a:noFill/>
        <a:ln w="9525">
          <a:noFill/>
          <a:miter lim="800000"/>
          <a:headEnd/>
          <a:tailEnd/>
        </a:ln>
      </xdr:spPr>
    </xdr:sp>
    <xdr:clientData/>
  </xdr:twoCellAnchor>
  <xdr:twoCellAnchor editAs="oneCell">
    <xdr:from>
      <xdr:col>1</xdr:col>
      <xdr:colOff>0</xdr:colOff>
      <xdr:row>157</xdr:row>
      <xdr:rowOff>0</xdr:rowOff>
    </xdr:from>
    <xdr:to>
      <xdr:col>1</xdr:col>
      <xdr:colOff>76200</xdr:colOff>
      <xdr:row>158</xdr:row>
      <xdr:rowOff>19050</xdr:rowOff>
    </xdr:to>
    <xdr:sp macro="" textlink="">
      <xdr:nvSpPr>
        <xdr:cNvPr id="377912" name="Text Box 1090"/>
        <xdr:cNvSpPr txBox="1">
          <a:spLocks noChangeArrowheads="1"/>
        </xdr:cNvSpPr>
      </xdr:nvSpPr>
      <xdr:spPr bwMode="auto">
        <a:xfrm>
          <a:off x="1152525" y="30480000"/>
          <a:ext cx="76200" cy="209550"/>
        </a:xfrm>
        <a:prstGeom prst="rect">
          <a:avLst/>
        </a:prstGeom>
        <a:noFill/>
        <a:ln w="9525">
          <a:noFill/>
          <a:miter lim="800000"/>
          <a:headEnd/>
          <a:tailEnd/>
        </a:ln>
      </xdr:spPr>
    </xdr:sp>
    <xdr:clientData/>
  </xdr:twoCellAnchor>
  <xdr:twoCellAnchor editAs="oneCell">
    <xdr:from>
      <xdr:col>1</xdr:col>
      <xdr:colOff>0</xdr:colOff>
      <xdr:row>158</xdr:row>
      <xdr:rowOff>0</xdr:rowOff>
    </xdr:from>
    <xdr:to>
      <xdr:col>1</xdr:col>
      <xdr:colOff>76200</xdr:colOff>
      <xdr:row>159</xdr:row>
      <xdr:rowOff>19050</xdr:rowOff>
    </xdr:to>
    <xdr:sp macro="" textlink="">
      <xdr:nvSpPr>
        <xdr:cNvPr id="377913" name="Text Box 1091"/>
        <xdr:cNvSpPr txBox="1">
          <a:spLocks noChangeArrowheads="1"/>
        </xdr:cNvSpPr>
      </xdr:nvSpPr>
      <xdr:spPr bwMode="auto">
        <a:xfrm>
          <a:off x="1152525" y="30670500"/>
          <a:ext cx="76200" cy="209550"/>
        </a:xfrm>
        <a:prstGeom prst="rect">
          <a:avLst/>
        </a:prstGeom>
        <a:noFill/>
        <a:ln w="9525">
          <a:noFill/>
          <a:miter lim="800000"/>
          <a:headEnd/>
          <a:tailEnd/>
        </a:ln>
      </xdr:spPr>
    </xdr:sp>
    <xdr:clientData/>
  </xdr:twoCellAnchor>
  <xdr:twoCellAnchor editAs="oneCell">
    <xdr:from>
      <xdr:col>1</xdr:col>
      <xdr:colOff>0</xdr:colOff>
      <xdr:row>158</xdr:row>
      <xdr:rowOff>0</xdr:rowOff>
    </xdr:from>
    <xdr:to>
      <xdr:col>1</xdr:col>
      <xdr:colOff>76200</xdr:colOff>
      <xdr:row>159</xdr:row>
      <xdr:rowOff>19050</xdr:rowOff>
    </xdr:to>
    <xdr:sp macro="" textlink="">
      <xdr:nvSpPr>
        <xdr:cNvPr id="377914" name="Text Box 1092"/>
        <xdr:cNvSpPr txBox="1">
          <a:spLocks noChangeArrowheads="1"/>
        </xdr:cNvSpPr>
      </xdr:nvSpPr>
      <xdr:spPr bwMode="auto">
        <a:xfrm>
          <a:off x="1152525" y="30670500"/>
          <a:ext cx="76200" cy="209550"/>
        </a:xfrm>
        <a:prstGeom prst="rect">
          <a:avLst/>
        </a:prstGeom>
        <a:noFill/>
        <a:ln w="9525">
          <a:noFill/>
          <a:miter lim="800000"/>
          <a:headEnd/>
          <a:tailEnd/>
        </a:ln>
      </xdr:spPr>
    </xdr:sp>
    <xdr:clientData/>
  </xdr:twoCellAnchor>
  <xdr:twoCellAnchor editAs="oneCell">
    <xdr:from>
      <xdr:col>1</xdr:col>
      <xdr:colOff>0</xdr:colOff>
      <xdr:row>158</xdr:row>
      <xdr:rowOff>0</xdr:rowOff>
    </xdr:from>
    <xdr:to>
      <xdr:col>1</xdr:col>
      <xdr:colOff>76200</xdr:colOff>
      <xdr:row>159</xdr:row>
      <xdr:rowOff>19050</xdr:rowOff>
    </xdr:to>
    <xdr:sp macro="" textlink="">
      <xdr:nvSpPr>
        <xdr:cNvPr id="377915" name="Text Box 1093"/>
        <xdr:cNvSpPr txBox="1">
          <a:spLocks noChangeArrowheads="1"/>
        </xdr:cNvSpPr>
      </xdr:nvSpPr>
      <xdr:spPr bwMode="auto">
        <a:xfrm>
          <a:off x="1152525" y="30670500"/>
          <a:ext cx="76200" cy="209550"/>
        </a:xfrm>
        <a:prstGeom prst="rect">
          <a:avLst/>
        </a:prstGeom>
        <a:noFill/>
        <a:ln w="9525">
          <a:noFill/>
          <a:miter lim="800000"/>
          <a:headEnd/>
          <a:tailEnd/>
        </a:ln>
      </xdr:spPr>
    </xdr:sp>
    <xdr:clientData/>
  </xdr:twoCellAnchor>
  <xdr:twoCellAnchor editAs="oneCell">
    <xdr:from>
      <xdr:col>1</xdr:col>
      <xdr:colOff>0</xdr:colOff>
      <xdr:row>158</xdr:row>
      <xdr:rowOff>0</xdr:rowOff>
    </xdr:from>
    <xdr:to>
      <xdr:col>1</xdr:col>
      <xdr:colOff>76200</xdr:colOff>
      <xdr:row>159</xdr:row>
      <xdr:rowOff>19050</xdr:rowOff>
    </xdr:to>
    <xdr:sp macro="" textlink="">
      <xdr:nvSpPr>
        <xdr:cNvPr id="377916" name="Text Box 1094"/>
        <xdr:cNvSpPr txBox="1">
          <a:spLocks noChangeArrowheads="1"/>
        </xdr:cNvSpPr>
      </xdr:nvSpPr>
      <xdr:spPr bwMode="auto">
        <a:xfrm>
          <a:off x="1152525" y="30670500"/>
          <a:ext cx="76200" cy="209550"/>
        </a:xfrm>
        <a:prstGeom prst="rect">
          <a:avLst/>
        </a:prstGeom>
        <a:noFill/>
        <a:ln w="9525">
          <a:noFill/>
          <a:miter lim="800000"/>
          <a:headEnd/>
          <a:tailEnd/>
        </a:ln>
      </xdr:spPr>
    </xdr:sp>
    <xdr:clientData/>
  </xdr:twoCellAnchor>
  <xdr:twoCellAnchor editAs="oneCell">
    <xdr:from>
      <xdr:col>1</xdr:col>
      <xdr:colOff>0</xdr:colOff>
      <xdr:row>159</xdr:row>
      <xdr:rowOff>0</xdr:rowOff>
    </xdr:from>
    <xdr:to>
      <xdr:col>1</xdr:col>
      <xdr:colOff>76200</xdr:colOff>
      <xdr:row>160</xdr:row>
      <xdr:rowOff>19050</xdr:rowOff>
    </xdr:to>
    <xdr:sp macro="" textlink="">
      <xdr:nvSpPr>
        <xdr:cNvPr id="377917" name="Text Box 1095"/>
        <xdr:cNvSpPr txBox="1">
          <a:spLocks noChangeArrowheads="1"/>
        </xdr:cNvSpPr>
      </xdr:nvSpPr>
      <xdr:spPr bwMode="auto">
        <a:xfrm>
          <a:off x="1152525" y="30861000"/>
          <a:ext cx="76200" cy="209550"/>
        </a:xfrm>
        <a:prstGeom prst="rect">
          <a:avLst/>
        </a:prstGeom>
        <a:noFill/>
        <a:ln w="9525">
          <a:noFill/>
          <a:miter lim="800000"/>
          <a:headEnd/>
          <a:tailEnd/>
        </a:ln>
      </xdr:spPr>
    </xdr:sp>
    <xdr:clientData/>
  </xdr:twoCellAnchor>
  <xdr:twoCellAnchor editAs="oneCell">
    <xdr:from>
      <xdr:col>1</xdr:col>
      <xdr:colOff>0</xdr:colOff>
      <xdr:row>159</xdr:row>
      <xdr:rowOff>0</xdr:rowOff>
    </xdr:from>
    <xdr:to>
      <xdr:col>1</xdr:col>
      <xdr:colOff>76200</xdr:colOff>
      <xdr:row>160</xdr:row>
      <xdr:rowOff>19050</xdr:rowOff>
    </xdr:to>
    <xdr:sp macro="" textlink="">
      <xdr:nvSpPr>
        <xdr:cNvPr id="377918" name="Text Box 1096"/>
        <xdr:cNvSpPr txBox="1">
          <a:spLocks noChangeArrowheads="1"/>
        </xdr:cNvSpPr>
      </xdr:nvSpPr>
      <xdr:spPr bwMode="auto">
        <a:xfrm>
          <a:off x="1152525" y="30861000"/>
          <a:ext cx="76200" cy="209550"/>
        </a:xfrm>
        <a:prstGeom prst="rect">
          <a:avLst/>
        </a:prstGeom>
        <a:noFill/>
        <a:ln w="9525">
          <a:noFill/>
          <a:miter lim="800000"/>
          <a:headEnd/>
          <a:tailEnd/>
        </a:ln>
      </xdr:spPr>
    </xdr:sp>
    <xdr:clientData/>
  </xdr:twoCellAnchor>
  <xdr:twoCellAnchor editAs="oneCell">
    <xdr:from>
      <xdr:col>1</xdr:col>
      <xdr:colOff>0</xdr:colOff>
      <xdr:row>159</xdr:row>
      <xdr:rowOff>0</xdr:rowOff>
    </xdr:from>
    <xdr:to>
      <xdr:col>1</xdr:col>
      <xdr:colOff>76200</xdr:colOff>
      <xdr:row>160</xdr:row>
      <xdr:rowOff>19050</xdr:rowOff>
    </xdr:to>
    <xdr:sp macro="" textlink="">
      <xdr:nvSpPr>
        <xdr:cNvPr id="377919" name="Text Box 1097"/>
        <xdr:cNvSpPr txBox="1">
          <a:spLocks noChangeArrowheads="1"/>
        </xdr:cNvSpPr>
      </xdr:nvSpPr>
      <xdr:spPr bwMode="auto">
        <a:xfrm>
          <a:off x="1152525" y="30861000"/>
          <a:ext cx="76200" cy="209550"/>
        </a:xfrm>
        <a:prstGeom prst="rect">
          <a:avLst/>
        </a:prstGeom>
        <a:noFill/>
        <a:ln w="9525">
          <a:noFill/>
          <a:miter lim="800000"/>
          <a:headEnd/>
          <a:tailEnd/>
        </a:ln>
      </xdr:spPr>
    </xdr:sp>
    <xdr:clientData/>
  </xdr:twoCellAnchor>
  <xdr:twoCellAnchor editAs="oneCell">
    <xdr:from>
      <xdr:col>1</xdr:col>
      <xdr:colOff>0</xdr:colOff>
      <xdr:row>159</xdr:row>
      <xdr:rowOff>0</xdr:rowOff>
    </xdr:from>
    <xdr:to>
      <xdr:col>1</xdr:col>
      <xdr:colOff>76200</xdr:colOff>
      <xdr:row>160</xdr:row>
      <xdr:rowOff>19050</xdr:rowOff>
    </xdr:to>
    <xdr:sp macro="" textlink="">
      <xdr:nvSpPr>
        <xdr:cNvPr id="377920" name="Text Box 1098"/>
        <xdr:cNvSpPr txBox="1">
          <a:spLocks noChangeArrowheads="1"/>
        </xdr:cNvSpPr>
      </xdr:nvSpPr>
      <xdr:spPr bwMode="auto">
        <a:xfrm>
          <a:off x="1152525" y="30861000"/>
          <a:ext cx="76200" cy="209550"/>
        </a:xfrm>
        <a:prstGeom prst="rect">
          <a:avLst/>
        </a:prstGeom>
        <a:noFill/>
        <a:ln w="9525">
          <a:noFill/>
          <a:miter lim="800000"/>
          <a:headEnd/>
          <a:tailEnd/>
        </a:ln>
      </xdr:spPr>
    </xdr:sp>
    <xdr:clientData/>
  </xdr:twoCellAnchor>
  <xdr:twoCellAnchor editAs="oneCell">
    <xdr:from>
      <xdr:col>1</xdr:col>
      <xdr:colOff>0</xdr:colOff>
      <xdr:row>160</xdr:row>
      <xdr:rowOff>0</xdr:rowOff>
    </xdr:from>
    <xdr:to>
      <xdr:col>1</xdr:col>
      <xdr:colOff>76200</xdr:colOff>
      <xdr:row>161</xdr:row>
      <xdr:rowOff>19050</xdr:rowOff>
    </xdr:to>
    <xdr:sp macro="" textlink="">
      <xdr:nvSpPr>
        <xdr:cNvPr id="377921" name="Text Box 1099"/>
        <xdr:cNvSpPr txBox="1">
          <a:spLocks noChangeArrowheads="1"/>
        </xdr:cNvSpPr>
      </xdr:nvSpPr>
      <xdr:spPr bwMode="auto">
        <a:xfrm>
          <a:off x="1152525" y="31051500"/>
          <a:ext cx="76200" cy="209550"/>
        </a:xfrm>
        <a:prstGeom prst="rect">
          <a:avLst/>
        </a:prstGeom>
        <a:noFill/>
        <a:ln w="9525">
          <a:noFill/>
          <a:miter lim="800000"/>
          <a:headEnd/>
          <a:tailEnd/>
        </a:ln>
      </xdr:spPr>
    </xdr:sp>
    <xdr:clientData/>
  </xdr:twoCellAnchor>
  <xdr:twoCellAnchor editAs="oneCell">
    <xdr:from>
      <xdr:col>1</xdr:col>
      <xdr:colOff>0</xdr:colOff>
      <xdr:row>160</xdr:row>
      <xdr:rowOff>0</xdr:rowOff>
    </xdr:from>
    <xdr:to>
      <xdr:col>1</xdr:col>
      <xdr:colOff>76200</xdr:colOff>
      <xdr:row>161</xdr:row>
      <xdr:rowOff>19050</xdr:rowOff>
    </xdr:to>
    <xdr:sp macro="" textlink="">
      <xdr:nvSpPr>
        <xdr:cNvPr id="377922" name="Text Box 1100"/>
        <xdr:cNvSpPr txBox="1">
          <a:spLocks noChangeArrowheads="1"/>
        </xdr:cNvSpPr>
      </xdr:nvSpPr>
      <xdr:spPr bwMode="auto">
        <a:xfrm>
          <a:off x="1152525" y="31051500"/>
          <a:ext cx="76200" cy="209550"/>
        </a:xfrm>
        <a:prstGeom prst="rect">
          <a:avLst/>
        </a:prstGeom>
        <a:noFill/>
        <a:ln w="9525">
          <a:noFill/>
          <a:miter lim="800000"/>
          <a:headEnd/>
          <a:tailEnd/>
        </a:ln>
      </xdr:spPr>
    </xdr:sp>
    <xdr:clientData/>
  </xdr:twoCellAnchor>
  <xdr:twoCellAnchor editAs="oneCell">
    <xdr:from>
      <xdr:col>1</xdr:col>
      <xdr:colOff>0</xdr:colOff>
      <xdr:row>160</xdr:row>
      <xdr:rowOff>0</xdr:rowOff>
    </xdr:from>
    <xdr:to>
      <xdr:col>1</xdr:col>
      <xdr:colOff>76200</xdr:colOff>
      <xdr:row>161</xdr:row>
      <xdr:rowOff>19050</xdr:rowOff>
    </xdr:to>
    <xdr:sp macro="" textlink="">
      <xdr:nvSpPr>
        <xdr:cNvPr id="377923" name="Text Box 1101"/>
        <xdr:cNvSpPr txBox="1">
          <a:spLocks noChangeArrowheads="1"/>
        </xdr:cNvSpPr>
      </xdr:nvSpPr>
      <xdr:spPr bwMode="auto">
        <a:xfrm>
          <a:off x="1152525" y="31051500"/>
          <a:ext cx="76200" cy="209550"/>
        </a:xfrm>
        <a:prstGeom prst="rect">
          <a:avLst/>
        </a:prstGeom>
        <a:noFill/>
        <a:ln w="9525">
          <a:noFill/>
          <a:miter lim="800000"/>
          <a:headEnd/>
          <a:tailEnd/>
        </a:ln>
      </xdr:spPr>
    </xdr:sp>
    <xdr:clientData/>
  </xdr:twoCellAnchor>
  <xdr:twoCellAnchor editAs="oneCell">
    <xdr:from>
      <xdr:col>1</xdr:col>
      <xdr:colOff>0</xdr:colOff>
      <xdr:row>160</xdr:row>
      <xdr:rowOff>0</xdr:rowOff>
    </xdr:from>
    <xdr:to>
      <xdr:col>1</xdr:col>
      <xdr:colOff>76200</xdr:colOff>
      <xdr:row>161</xdr:row>
      <xdr:rowOff>19050</xdr:rowOff>
    </xdr:to>
    <xdr:sp macro="" textlink="">
      <xdr:nvSpPr>
        <xdr:cNvPr id="377924" name="Text Box 1102"/>
        <xdr:cNvSpPr txBox="1">
          <a:spLocks noChangeArrowheads="1"/>
        </xdr:cNvSpPr>
      </xdr:nvSpPr>
      <xdr:spPr bwMode="auto">
        <a:xfrm>
          <a:off x="1152525" y="31051500"/>
          <a:ext cx="76200" cy="209550"/>
        </a:xfrm>
        <a:prstGeom prst="rect">
          <a:avLst/>
        </a:prstGeom>
        <a:noFill/>
        <a:ln w="9525">
          <a:noFill/>
          <a:miter lim="800000"/>
          <a:headEnd/>
          <a:tailEnd/>
        </a:ln>
      </xdr:spPr>
    </xdr:sp>
    <xdr:clientData/>
  </xdr:twoCellAnchor>
  <xdr:twoCellAnchor editAs="oneCell">
    <xdr:from>
      <xdr:col>1</xdr:col>
      <xdr:colOff>0</xdr:colOff>
      <xdr:row>161</xdr:row>
      <xdr:rowOff>0</xdr:rowOff>
    </xdr:from>
    <xdr:to>
      <xdr:col>1</xdr:col>
      <xdr:colOff>76200</xdr:colOff>
      <xdr:row>162</xdr:row>
      <xdr:rowOff>19050</xdr:rowOff>
    </xdr:to>
    <xdr:sp macro="" textlink="">
      <xdr:nvSpPr>
        <xdr:cNvPr id="377925" name="Text Box 1103"/>
        <xdr:cNvSpPr txBox="1">
          <a:spLocks noChangeArrowheads="1"/>
        </xdr:cNvSpPr>
      </xdr:nvSpPr>
      <xdr:spPr bwMode="auto">
        <a:xfrm>
          <a:off x="1152525" y="31242000"/>
          <a:ext cx="76200" cy="209550"/>
        </a:xfrm>
        <a:prstGeom prst="rect">
          <a:avLst/>
        </a:prstGeom>
        <a:noFill/>
        <a:ln w="9525">
          <a:noFill/>
          <a:miter lim="800000"/>
          <a:headEnd/>
          <a:tailEnd/>
        </a:ln>
      </xdr:spPr>
    </xdr:sp>
    <xdr:clientData/>
  </xdr:twoCellAnchor>
  <xdr:twoCellAnchor editAs="oneCell">
    <xdr:from>
      <xdr:col>1</xdr:col>
      <xdr:colOff>0</xdr:colOff>
      <xdr:row>161</xdr:row>
      <xdr:rowOff>0</xdr:rowOff>
    </xdr:from>
    <xdr:to>
      <xdr:col>1</xdr:col>
      <xdr:colOff>76200</xdr:colOff>
      <xdr:row>162</xdr:row>
      <xdr:rowOff>19050</xdr:rowOff>
    </xdr:to>
    <xdr:sp macro="" textlink="">
      <xdr:nvSpPr>
        <xdr:cNvPr id="377926" name="Text Box 1104"/>
        <xdr:cNvSpPr txBox="1">
          <a:spLocks noChangeArrowheads="1"/>
        </xdr:cNvSpPr>
      </xdr:nvSpPr>
      <xdr:spPr bwMode="auto">
        <a:xfrm>
          <a:off x="1152525" y="31242000"/>
          <a:ext cx="76200" cy="209550"/>
        </a:xfrm>
        <a:prstGeom prst="rect">
          <a:avLst/>
        </a:prstGeom>
        <a:noFill/>
        <a:ln w="9525">
          <a:noFill/>
          <a:miter lim="800000"/>
          <a:headEnd/>
          <a:tailEnd/>
        </a:ln>
      </xdr:spPr>
    </xdr:sp>
    <xdr:clientData/>
  </xdr:twoCellAnchor>
  <xdr:twoCellAnchor editAs="oneCell">
    <xdr:from>
      <xdr:col>1</xdr:col>
      <xdr:colOff>0</xdr:colOff>
      <xdr:row>161</xdr:row>
      <xdr:rowOff>0</xdr:rowOff>
    </xdr:from>
    <xdr:to>
      <xdr:col>1</xdr:col>
      <xdr:colOff>76200</xdr:colOff>
      <xdr:row>162</xdr:row>
      <xdr:rowOff>19050</xdr:rowOff>
    </xdr:to>
    <xdr:sp macro="" textlink="">
      <xdr:nvSpPr>
        <xdr:cNvPr id="377927" name="Text Box 1105"/>
        <xdr:cNvSpPr txBox="1">
          <a:spLocks noChangeArrowheads="1"/>
        </xdr:cNvSpPr>
      </xdr:nvSpPr>
      <xdr:spPr bwMode="auto">
        <a:xfrm>
          <a:off x="1152525" y="31242000"/>
          <a:ext cx="76200" cy="209550"/>
        </a:xfrm>
        <a:prstGeom prst="rect">
          <a:avLst/>
        </a:prstGeom>
        <a:noFill/>
        <a:ln w="9525">
          <a:noFill/>
          <a:miter lim="800000"/>
          <a:headEnd/>
          <a:tailEnd/>
        </a:ln>
      </xdr:spPr>
    </xdr:sp>
    <xdr:clientData/>
  </xdr:twoCellAnchor>
  <xdr:twoCellAnchor editAs="oneCell">
    <xdr:from>
      <xdr:col>1</xdr:col>
      <xdr:colOff>0</xdr:colOff>
      <xdr:row>161</xdr:row>
      <xdr:rowOff>0</xdr:rowOff>
    </xdr:from>
    <xdr:to>
      <xdr:col>1</xdr:col>
      <xdr:colOff>76200</xdr:colOff>
      <xdr:row>162</xdr:row>
      <xdr:rowOff>19050</xdr:rowOff>
    </xdr:to>
    <xdr:sp macro="" textlink="">
      <xdr:nvSpPr>
        <xdr:cNvPr id="377928" name="Text Box 1106"/>
        <xdr:cNvSpPr txBox="1">
          <a:spLocks noChangeArrowheads="1"/>
        </xdr:cNvSpPr>
      </xdr:nvSpPr>
      <xdr:spPr bwMode="auto">
        <a:xfrm>
          <a:off x="1152525" y="31242000"/>
          <a:ext cx="76200" cy="209550"/>
        </a:xfrm>
        <a:prstGeom prst="rect">
          <a:avLst/>
        </a:prstGeom>
        <a:noFill/>
        <a:ln w="9525">
          <a:noFill/>
          <a:miter lim="800000"/>
          <a:headEnd/>
          <a:tailEnd/>
        </a:ln>
      </xdr:spPr>
    </xdr:sp>
    <xdr:clientData/>
  </xdr:twoCellAnchor>
  <xdr:twoCellAnchor editAs="oneCell">
    <xdr:from>
      <xdr:col>1</xdr:col>
      <xdr:colOff>0</xdr:colOff>
      <xdr:row>162</xdr:row>
      <xdr:rowOff>0</xdr:rowOff>
    </xdr:from>
    <xdr:to>
      <xdr:col>1</xdr:col>
      <xdr:colOff>76200</xdr:colOff>
      <xdr:row>163</xdr:row>
      <xdr:rowOff>19050</xdr:rowOff>
    </xdr:to>
    <xdr:sp macro="" textlink="">
      <xdr:nvSpPr>
        <xdr:cNvPr id="377929" name="Text Box 1107"/>
        <xdr:cNvSpPr txBox="1">
          <a:spLocks noChangeArrowheads="1"/>
        </xdr:cNvSpPr>
      </xdr:nvSpPr>
      <xdr:spPr bwMode="auto">
        <a:xfrm>
          <a:off x="1152525" y="31432500"/>
          <a:ext cx="76200" cy="209550"/>
        </a:xfrm>
        <a:prstGeom prst="rect">
          <a:avLst/>
        </a:prstGeom>
        <a:noFill/>
        <a:ln w="9525">
          <a:noFill/>
          <a:miter lim="800000"/>
          <a:headEnd/>
          <a:tailEnd/>
        </a:ln>
      </xdr:spPr>
    </xdr:sp>
    <xdr:clientData/>
  </xdr:twoCellAnchor>
  <xdr:twoCellAnchor editAs="oneCell">
    <xdr:from>
      <xdr:col>1</xdr:col>
      <xdr:colOff>0</xdr:colOff>
      <xdr:row>162</xdr:row>
      <xdr:rowOff>0</xdr:rowOff>
    </xdr:from>
    <xdr:to>
      <xdr:col>1</xdr:col>
      <xdr:colOff>76200</xdr:colOff>
      <xdr:row>163</xdr:row>
      <xdr:rowOff>19050</xdr:rowOff>
    </xdr:to>
    <xdr:sp macro="" textlink="">
      <xdr:nvSpPr>
        <xdr:cNvPr id="377930" name="Text Box 1108"/>
        <xdr:cNvSpPr txBox="1">
          <a:spLocks noChangeArrowheads="1"/>
        </xdr:cNvSpPr>
      </xdr:nvSpPr>
      <xdr:spPr bwMode="auto">
        <a:xfrm>
          <a:off x="1152525" y="31432500"/>
          <a:ext cx="76200" cy="209550"/>
        </a:xfrm>
        <a:prstGeom prst="rect">
          <a:avLst/>
        </a:prstGeom>
        <a:noFill/>
        <a:ln w="9525">
          <a:noFill/>
          <a:miter lim="800000"/>
          <a:headEnd/>
          <a:tailEnd/>
        </a:ln>
      </xdr:spPr>
    </xdr:sp>
    <xdr:clientData/>
  </xdr:twoCellAnchor>
  <xdr:twoCellAnchor editAs="oneCell">
    <xdr:from>
      <xdr:col>1</xdr:col>
      <xdr:colOff>0</xdr:colOff>
      <xdr:row>162</xdr:row>
      <xdr:rowOff>0</xdr:rowOff>
    </xdr:from>
    <xdr:to>
      <xdr:col>1</xdr:col>
      <xdr:colOff>76200</xdr:colOff>
      <xdr:row>163</xdr:row>
      <xdr:rowOff>19050</xdr:rowOff>
    </xdr:to>
    <xdr:sp macro="" textlink="">
      <xdr:nvSpPr>
        <xdr:cNvPr id="377931" name="Text Box 1109"/>
        <xdr:cNvSpPr txBox="1">
          <a:spLocks noChangeArrowheads="1"/>
        </xdr:cNvSpPr>
      </xdr:nvSpPr>
      <xdr:spPr bwMode="auto">
        <a:xfrm>
          <a:off x="1152525" y="31432500"/>
          <a:ext cx="76200" cy="209550"/>
        </a:xfrm>
        <a:prstGeom prst="rect">
          <a:avLst/>
        </a:prstGeom>
        <a:noFill/>
        <a:ln w="9525">
          <a:noFill/>
          <a:miter lim="800000"/>
          <a:headEnd/>
          <a:tailEnd/>
        </a:ln>
      </xdr:spPr>
    </xdr:sp>
    <xdr:clientData/>
  </xdr:twoCellAnchor>
  <xdr:twoCellAnchor editAs="oneCell">
    <xdr:from>
      <xdr:col>1</xdr:col>
      <xdr:colOff>0</xdr:colOff>
      <xdr:row>162</xdr:row>
      <xdr:rowOff>0</xdr:rowOff>
    </xdr:from>
    <xdr:to>
      <xdr:col>1</xdr:col>
      <xdr:colOff>76200</xdr:colOff>
      <xdr:row>163</xdr:row>
      <xdr:rowOff>19050</xdr:rowOff>
    </xdr:to>
    <xdr:sp macro="" textlink="">
      <xdr:nvSpPr>
        <xdr:cNvPr id="377932" name="Text Box 1110"/>
        <xdr:cNvSpPr txBox="1">
          <a:spLocks noChangeArrowheads="1"/>
        </xdr:cNvSpPr>
      </xdr:nvSpPr>
      <xdr:spPr bwMode="auto">
        <a:xfrm>
          <a:off x="1152525" y="31432500"/>
          <a:ext cx="76200" cy="209550"/>
        </a:xfrm>
        <a:prstGeom prst="rect">
          <a:avLst/>
        </a:prstGeom>
        <a:noFill/>
        <a:ln w="9525">
          <a:noFill/>
          <a:miter lim="800000"/>
          <a:headEnd/>
          <a:tailEnd/>
        </a:ln>
      </xdr:spPr>
    </xdr:sp>
    <xdr:clientData/>
  </xdr:twoCellAnchor>
  <xdr:twoCellAnchor editAs="oneCell">
    <xdr:from>
      <xdr:col>1</xdr:col>
      <xdr:colOff>0</xdr:colOff>
      <xdr:row>163</xdr:row>
      <xdr:rowOff>0</xdr:rowOff>
    </xdr:from>
    <xdr:to>
      <xdr:col>1</xdr:col>
      <xdr:colOff>76200</xdr:colOff>
      <xdr:row>164</xdr:row>
      <xdr:rowOff>19050</xdr:rowOff>
    </xdr:to>
    <xdr:sp macro="" textlink="">
      <xdr:nvSpPr>
        <xdr:cNvPr id="377933" name="Text Box 1111"/>
        <xdr:cNvSpPr txBox="1">
          <a:spLocks noChangeArrowheads="1"/>
        </xdr:cNvSpPr>
      </xdr:nvSpPr>
      <xdr:spPr bwMode="auto">
        <a:xfrm>
          <a:off x="1152525" y="31623000"/>
          <a:ext cx="76200" cy="209550"/>
        </a:xfrm>
        <a:prstGeom prst="rect">
          <a:avLst/>
        </a:prstGeom>
        <a:noFill/>
        <a:ln w="9525">
          <a:noFill/>
          <a:miter lim="800000"/>
          <a:headEnd/>
          <a:tailEnd/>
        </a:ln>
      </xdr:spPr>
    </xdr:sp>
    <xdr:clientData/>
  </xdr:twoCellAnchor>
  <xdr:twoCellAnchor editAs="oneCell">
    <xdr:from>
      <xdr:col>1</xdr:col>
      <xdr:colOff>0</xdr:colOff>
      <xdr:row>163</xdr:row>
      <xdr:rowOff>0</xdr:rowOff>
    </xdr:from>
    <xdr:to>
      <xdr:col>1</xdr:col>
      <xdr:colOff>76200</xdr:colOff>
      <xdr:row>164</xdr:row>
      <xdr:rowOff>19050</xdr:rowOff>
    </xdr:to>
    <xdr:sp macro="" textlink="">
      <xdr:nvSpPr>
        <xdr:cNvPr id="377934" name="Text Box 1112"/>
        <xdr:cNvSpPr txBox="1">
          <a:spLocks noChangeArrowheads="1"/>
        </xdr:cNvSpPr>
      </xdr:nvSpPr>
      <xdr:spPr bwMode="auto">
        <a:xfrm>
          <a:off x="1152525" y="31623000"/>
          <a:ext cx="76200" cy="209550"/>
        </a:xfrm>
        <a:prstGeom prst="rect">
          <a:avLst/>
        </a:prstGeom>
        <a:noFill/>
        <a:ln w="9525">
          <a:noFill/>
          <a:miter lim="800000"/>
          <a:headEnd/>
          <a:tailEnd/>
        </a:ln>
      </xdr:spPr>
    </xdr:sp>
    <xdr:clientData/>
  </xdr:twoCellAnchor>
  <xdr:twoCellAnchor editAs="oneCell">
    <xdr:from>
      <xdr:col>1</xdr:col>
      <xdr:colOff>0</xdr:colOff>
      <xdr:row>163</xdr:row>
      <xdr:rowOff>0</xdr:rowOff>
    </xdr:from>
    <xdr:to>
      <xdr:col>1</xdr:col>
      <xdr:colOff>76200</xdr:colOff>
      <xdr:row>164</xdr:row>
      <xdr:rowOff>19050</xdr:rowOff>
    </xdr:to>
    <xdr:sp macro="" textlink="">
      <xdr:nvSpPr>
        <xdr:cNvPr id="377935" name="Text Box 1113"/>
        <xdr:cNvSpPr txBox="1">
          <a:spLocks noChangeArrowheads="1"/>
        </xdr:cNvSpPr>
      </xdr:nvSpPr>
      <xdr:spPr bwMode="auto">
        <a:xfrm>
          <a:off x="1152525" y="31623000"/>
          <a:ext cx="76200" cy="209550"/>
        </a:xfrm>
        <a:prstGeom prst="rect">
          <a:avLst/>
        </a:prstGeom>
        <a:noFill/>
        <a:ln w="9525">
          <a:noFill/>
          <a:miter lim="800000"/>
          <a:headEnd/>
          <a:tailEnd/>
        </a:ln>
      </xdr:spPr>
    </xdr:sp>
    <xdr:clientData/>
  </xdr:twoCellAnchor>
  <xdr:twoCellAnchor editAs="oneCell">
    <xdr:from>
      <xdr:col>1</xdr:col>
      <xdr:colOff>0</xdr:colOff>
      <xdr:row>163</xdr:row>
      <xdr:rowOff>0</xdr:rowOff>
    </xdr:from>
    <xdr:to>
      <xdr:col>1</xdr:col>
      <xdr:colOff>76200</xdr:colOff>
      <xdr:row>164</xdr:row>
      <xdr:rowOff>19050</xdr:rowOff>
    </xdr:to>
    <xdr:sp macro="" textlink="">
      <xdr:nvSpPr>
        <xdr:cNvPr id="377936" name="Text Box 1114"/>
        <xdr:cNvSpPr txBox="1">
          <a:spLocks noChangeArrowheads="1"/>
        </xdr:cNvSpPr>
      </xdr:nvSpPr>
      <xdr:spPr bwMode="auto">
        <a:xfrm>
          <a:off x="1152525" y="31623000"/>
          <a:ext cx="76200" cy="209550"/>
        </a:xfrm>
        <a:prstGeom prst="rect">
          <a:avLst/>
        </a:prstGeom>
        <a:noFill/>
        <a:ln w="9525">
          <a:noFill/>
          <a:miter lim="800000"/>
          <a:headEnd/>
          <a:tailEnd/>
        </a:ln>
      </xdr:spPr>
    </xdr:sp>
    <xdr:clientData/>
  </xdr:twoCellAnchor>
  <xdr:twoCellAnchor editAs="oneCell">
    <xdr:from>
      <xdr:col>1</xdr:col>
      <xdr:colOff>0</xdr:colOff>
      <xdr:row>164</xdr:row>
      <xdr:rowOff>0</xdr:rowOff>
    </xdr:from>
    <xdr:to>
      <xdr:col>1</xdr:col>
      <xdr:colOff>76200</xdr:colOff>
      <xdr:row>165</xdr:row>
      <xdr:rowOff>19050</xdr:rowOff>
    </xdr:to>
    <xdr:sp macro="" textlink="">
      <xdr:nvSpPr>
        <xdr:cNvPr id="377937" name="Text Box 1115"/>
        <xdr:cNvSpPr txBox="1">
          <a:spLocks noChangeArrowheads="1"/>
        </xdr:cNvSpPr>
      </xdr:nvSpPr>
      <xdr:spPr bwMode="auto">
        <a:xfrm>
          <a:off x="1152525" y="31813500"/>
          <a:ext cx="76200" cy="209550"/>
        </a:xfrm>
        <a:prstGeom prst="rect">
          <a:avLst/>
        </a:prstGeom>
        <a:noFill/>
        <a:ln w="9525">
          <a:noFill/>
          <a:miter lim="800000"/>
          <a:headEnd/>
          <a:tailEnd/>
        </a:ln>
      </xdr:spPr>
    </xdr:sp>
    <xdr:clientData/>
  </xdr:twoCellAnchor>
  <xdr:twoCellAnchor editAs="oneCell">
    <xdr:from>
      <xdr:col>1</xdr:col>
      <xdr:colOff>0</xdr:colOff>
      <xdr:row>164</xdr:row>
      <xdr:rowOff>0</xdr:rowOff>
    </xdr:from>
    <xdr:to>
      <xdr:col>1</xdr:col>
      <xdr:colOff>76200</xdr:colOff>
      <xdr:row>165</xdr:row>
      <xdr:rowOff>19050</xdr:rowOff>
    </xdr:to>
    <xdr:sp macro="" textlink="">
      <xdr:nvSpPr>
        <xdr:cNvPr id="377938" name="Text Box 1116"/>
        <xdr:cNvSpPr txBox="1">
          <a:spLocks noChangeArrowheads="1"/>
        </xdr:cNvSpPr>
      </xdr:nvSpPr>
      <xdr:spPr bwMode="auto">
        <a:xfrm>
          <a:off x="1152525" y="31813500"/>
          <a:ext cx="76200" cy="209550"/>
        </a:xfrm>
        <a:prstGeom prst="rect">
          <a:avLst/>
        </a:prstGeom>
        <a:noFill/>
        <a:ln w="9525">
          <a:noFill/>
          <a:miter lim="800000"/>
          <a:headEnd/>
          <a:tailEnd/>
        </a:ln>
      </xdr:spPr>
    </xdr:sp>
    <xdr:clientData/>
  </xdr:twoCellAnchor>
  <xdr:twoCellAnchor editAs="oneCell">
    <xdr:from>
      <xdr:col>1</xdr:col>
      <xdr:colOff>0</xdr:colOff>
      <xdr:row>164</xdr:row>
      <xdr:rowOff>0</xdr:rowOff>
    </xdr:from>
    <xdr:to>
      <xdr:col>1</xdr:col>
      <xdr:colOff>76200</xdr:colOff>
      <xdr:row>165</xdr:row>
      <xdr:rowOff>19050</xdr:rowOff>
    </xdr:to>
    <xdr:sp macro="" textlink="">
      <xdr:nvSpPr>
        <xdr:cNvPr id="377939" name="Text Box 1117"/>
        <xdr:cNvSpPr txBox="1">
          <a:spLocks noChangeArrowheads="1"/>
        </xdr:cNvSpPr>
      </xdr:nvSpPr>
      <xdr:spPr bwMode="auto">
        <a:xfrm>
          <a:off x="1152525" y="31813500"/>
          <a:ext cx="76200" cy="209550"/>
        </a:xfrm>
        <a:prstGeom prst="rect">
          <a:avLst/>
        </a:prstGeom>
        <a:noFill/>
        <a:ln w="9525">
          <a:noFill/>
          <a:miter lim="800000"/>
          <a:headEnd/>
          <a:tailEnd/>
        </a:ln>
      </xdr:spPr>
    </xdr:sp>
    <xdr:clientData/>
  </xdr:twoCellAnchor>
  <xdr:twoCellAnchor editAs="oneCell">
    <xdr:from>
      <xdr:col>1</xdr:col>
      <xdr:colOff>0</xdr:colOff>
      <xdr:row>164</xdr:row>
      <xdr:rowOff>0</xdr:rowOff>
    </xdr:from>
    <xdr:to>
      <xdr:col>1</xdr:col>
      <xdr:colOff>76200</xdr:colOff>
      <xdr:row>165</xdr:row>
      <xdr:rowOff>19050</xdr:rowOff>
    </xdr:to>
    <xdr:sp macro="" textlink="">
      <xdr:nvSpPr>
        <xdr:cNvPr id="377940" name="Text Box 1118"/>
        <xdr:cNvSpPr txBox="1">
          <a:spLocks noChangeArrowheads="1"/>
        </xdr:cNvSpPr>
      </xdr:nvSpPr>
      <xdr:spPr bwMode="auto">
        <a:xfrm>
          <a:off x="1152525" y="31813500"/>
          <a:ext cx="76200" cy="209550"/>
        </a:xfrm>
        <a:prstGeom prst="rect">
          <a:avLst/>
        </a:prstGeom>
        <a:noFill/>
        <a:ln w="9525">
          <a:noFill/>
          <a:miter lim="800000"/>
          <a:headEnd/>
          <a:tailEnd/>
        </a:ln>
      </xdr:spPr>
    </xdr:sp>
    <xdr:clientData/>
  </xdr:twoCellAnchor>
  <xdr:twoCellAnchor editAs="oneCell">
    <xdr:from>
      <xdr:col>1</xdr:col>
      <xdr:colOff>0</xdr:colOff>
      <xdr:row>165</xdr:row>
      <xdr:rowOff>0</xdr:rowOff>
    </xdr:from>
    <xdr:to>
      <xdr:col>1</xdr:col>
      <xdr:colOff>76200</xdr:colOff>
      <xdr:row>166</xdr:row>
      <xdr:rowOff>19050</xdr:rowOff>
    </xdr:to>
    <xdr:sp macro="" textlink="">
      <xdr:nvSpPr>
        <xdr:cNvPr id="377941" name="Text Box 1119"/>
        <xdr:cNvSpPr txBox="1">
          <a:spLocks noChangeArrowheads="1"/>
        </xdr:cNvSpPr>
      </xdr:nvSpPr>
      <xdr:spPr bwMode="auto">
        <a:xfrm>
          <a:off x="1152525" y="32004000"/>
          <a:ext cx="76200" cy="209550"/>
        </a:xfrm>
        <a:prstGeom prst="rect">
          <a:avLst/>
        </a:prstGeom>
        <a:noFill/>
        <a:ln w="9525">
          <a:noFill/>
          <a:miter lim="800000"/>
          <a:headEnd/>
          <a:tailEnd/>
        </a:ln>
      </xdr:spPr>
    </xdr:sp>
    <xdr:clientData/>
  </xdr:twoCellAnchor>
  <xdr:twoCellAnchor editAs="oneCell">
    <xdr:from>
      <xdr:col>1</xdr:col>
      <xdr:colOff>0</xdr:colOff>
      <xdr:row>165</xdr:row>
      <xdr:rowOff>0</xdr:rowOff>
    </xdr:from>
    <xdr:to>
      <xdr:col>1</xdr:col>
      <xdr:colOff>76200</xdr:colOff>
      <xdr:row>166</xdr:row>
      <xdr:rowOff>19050</xdr:rowOff>
    </xdr:to>
    <xdr:sp macro="" textlink="">
      <xdr:nvSpPr>
        <xdr:cNvPr id="377942" name="Text Box 1120"/>
        <xdr:cNvSpPr txBox="1">
          <a:spLocks noChangeArrowheads="1"/>
        </xdr:cNvSpPr>
      </xdr:nvSpPr>
      <xdr:spPr bwMode="auto">
        <a:xfrm>
          <a:off x="1152525" y="32004000"/>
          <a:ext cx="76200" cy="209550"/>
        </a:xfrm>
        <a:prstGeom prst="rect">
          <a:avLst/>
        </a:prstGeom>
        <a:noFill/>
        <a:ln w="9525">
          <a:noFill/>
          <a:miter lim="800000"/>
          <a:headEnd/>
          <a:tailEnd/>
        </a:ln>
      </xdr:spPr>
    </xdr:sp>
    <xdr:clientData/>
  </xdr:twoCellAnchor>
  <xdr:twoCellAnchor editAs="oneCell">
    <xdr:from>
      <xdr:col>1</xdr:col>
      <xdr:colOff>0</xdr:colOff>
      <xdr:row>165</xdr:row>
      <xdr:rowOff>0</xdr:rowOff>
    </xdr:from>
    <xdr:to>
      <xdr:col>1</xdr:col>
      <xdr:colOff>76200</xdr:colOff>
      <xdr:row>166</xdr:row>
      <xdr:rowOff>19050</xdr:rowOff>
    </xdr:to>
    <xdr:sp macro="" textlink="">
      <xdr:nvSpPr>
        <xdr:cNvPr id="377943" name="Text Box 1121"/>
        <xdr:cNvSpPr txBox="1">
          <a:spLocks noChangeArrowheads="1"/>
        </xdr:cNvSpPr>
      </xdr:nvSpPr>
      <xdr:spPr bwMode="auto">
        <a:xfrm>
          <a:off x="1152525" y="32004000"/>
          <a:ext cx="76200" cy="209550"/>
        </a:xfrm>
        <a:prstGeom prst="rect">
          <a:avLst/>
        </a:prstGeom>
        <a:noFill/>
        <a:ln w="9525">
          <a:noFill/>
          <a:miter lim="800000"/>
          <a:headEnd/>
          <a:tailEnd/>
        </a:ln>
      </xdr:spPr>
    </xdr:sp>
    <xdr:clientData/>
  </xdr:twoCellAnchor>
  <xdr:twoCellAnchor editAs="oneCell">
    <xdr:from>
      <xdr:col>1</xdr:col>
      <xdr:colOff>0</xdr:colOff>
      <xdr:row>165</xdr:row>
      <xdr:rowOff>0</xdr:rowOff>
    </xdr:from>
    <xdr:to>
      <xdr:col>1</xdr:col>
      <xdr:colOff>76200</xdr:colOff>
      <xdr:row>166</xdr:row>
      <xdr:rowOff>19050</xdr:rowOff>
    </xdr:to>
    <xdr:sp macro="" textlink="">
      <xdr:nvSpPr>
        <xdr:cNvPr id="377944" name="Text Box 1122"/>
        <xdr:cNvSpPr txBox="1">
          <a:spLocks noChangeArrowheads="1"/>
        </xdr:cNvSpPr>
      </xdr:nvSpPr>
      <xdr:spPr bwMode="auto">
        <a:xfrm>
          <a:off x="1152525" y="32004000"/>
          <a:ext cx="76200" cy="209550"/>
        </a:xfrm>
        <a:prstGeom prst="rect">
          <a:avLst/>
        </a:prstGeom>
        <a:noFill/>
        <a:ln w="9525">
          <a:noFill/>
          <a:miter lim="800000"/>
          <a:headEnd/>
          <a:tailEnd/>
        </a:ln>
      </xdr:spPr>
    </xdr:sp>
    <xdr:clientData/>
  </xdr:twoCellAnchor>
  <xdr:twoCellAnchor editAs="oneCell">
    <xdr:from>
      <xdr:col>1</xdr:col>
      <xdr:colOff>0</xdr:colOff>
      <xdr:row>166</xdr:row>
      <xdr:rowOff>0</xdr:rowOff>
    </xdr:from>
    <xdr:to>
      <xdr:col>1</xdr:col>
      <xdr:colOff>76200</xdr:colOff>
      <xdr:row>167</xdr:row>
      <xdr:rowOff>19050</xdr:rowOff>
    </xdr:to>
    <xdr:sp macro="" textlink="">
      <xdr:nvSpPr>
        <xdr:cNvPr id="377945" name="Text Box 1123"/>
        <xdr:cNvSpPr txBox="1">
          <a:spLocks noChangeArrowheads="1"/>
        </xdr:cNvSpPr>
      </xdr:nvSpPr>
      <xdr:spPr bwMode="auto">
        <a:xfrm>
          <a:off x="1152525" y="32194500"/>
          <a:ext cx="76200" cy="209550"/>
        </a:xfrm>
        <a:prstGeom prst="rect">
          <a:avLst/>
        </a:prstGeom>
        <a:noFill/>
        <a:ln w="9525">
          <a:noFill/>
          <a:miter lim="800000"/>
          <a:headEnd/>
          <a:tailEnd/>
        </a:ln>
      </xdr:spPr>
    </xdr:sp>
    <xdr:clientData/>
  </xdr:twoCellAnchor>
  <xdr:twoCellAnchor editAs="oneCell">
    <xdr:from>
      <xdr:col>1</xdr:col>
      <xdr:colOff>0</xdr:colOff>
      <xdr:row>166</xdr:row>
      <xdr:rowOff>0</xdr:rowOff>
    </xdr:from>
    <xdr:to>
      <xdr:col>1</xdr:col>
      <xdr:colOff>76200</xdr:colOff>
      <xdr:row>167</xdr:row>
      <xdr:rowOff>19050</xdr:rowOff>
    </xdr:to>
    <xdr:sp macro="" textlink="">
      <xdr:nvSpPr>
        <xdr:cNvPr id="377946" name="Text Box 1124"/>
        <xdr:cNvSpPr txBox="1">
          <a:spLocks noChangeArrowheads="1"/>
        </xdr:cNvSpPr>
      </xdr:nvSpPr>
      <xdr:spPr bwMode="auto">
        <a:xfrm>
          <a:off x="1152525" y="32194500"/>
          <a:ext cx="76200" cy="209550"/>
        </a:xfrm>
        <a:prstGeom prst="rect">
          <a:avLst/>
        </a:prstGeom>
        <a:noFill/>
        <a:ln w="9525">
          <a:noFill/>
          <a:miter lim="800000"/>
          <a:headEnd/>
          <a:tailEnd/>
        </a:ln>
      </xdr:spPr>
    </xdr:sp>
    <xdr:clientData/>
  </xdr:twoCellAnchor>
  <xdr:twoCellAnchor editAs="oneCell">
    <xdr:from>
      <xdr:col>1</xdr:col>
      <xdr:colOff>0</xdr:colOff>
      <xdr:row>166</xdr:row>
      <xdr:rowOff>0</xdr:rowOff>
    </xdr:from>
    <xdr:to>
      <xdr:col>1</xdr:col>
      <xdr:colOff>76200</xdr:colOff>
      <xdr:row>167</xdr:row>
      <xdr:rowOff>19050</xdr:rowOff>
    </xdr:to>
    <xdr:sp macro="" textlink="">
      <xdr:nvSpPr>
        <xdr:cNvPr id="377947" name="Text Box 1125"/>
        <xdr:cNvSpPr txBox="1">
          <a:spLocks noChangeArrowheads="1"/>
        </xdr:cNvSpPr>
      </xdr:nvSpPr>
      <xdr:spPr bwMode="auto">
        <a:xfrm>
          <a:off x="1152525" y="32194500"/>
          <a:ext cx="76200" cy="209550"/>
        </a:xfrm>
        <a:prstGeom prst="rect">
          <a:avLst/>
        </a:prstGeom>
        <a:noFill/>
        <a:ln w="9525">
          <a:noFill/>
          <a:miter lim="800000"/>
          <a:headEnd/>
          <a:tailEnd/>
        </a:ln>
      </xdr:spPr>
    </xdr:sp>
    <xdr:clientData/>
  </xdr:twoCellAnchor>
  <xdr:twoCellAnchor editAs="oneCell">
    <xdr:from>
      <xdr:col>1</xdr:col>
      <xdr:colOff>0</xdr:colOff>
      <xdr:row>166</xdr:row>
      <xdr:rowOff>0</xdr:rowOff>
    </xdr:from>
    <xdr:to>
      <xdr:col>1</xdr:col>
      <xdr:colOff>76200</xdr:colOff>
      <xdr:row>167</xdr:row>
      <xdr:rowOff>19050</xdr:rowOff>
    </xdr:to>
    <xdr:sp macro="" textlink="">
      <xdr:nvSpPr>
        <xdr:cNvPr id="377948" name="Text Box 1126"/>
        <xdr:cNvSpPr txBox="1">
          <a:spLocks noChangeArrowheads="1"/>
        </xdr:cNvSpPr>
      </xdr:nvSpPr>
      <xdr:spPr bwMode="auto">
        <a:xfrm>
          <a:off x="1152525" y="32194500"/>
          <a:ext cx="76200" cy="209550"/>
        </a:xfrm>
        <a:prstGeom prst="rect">
          <a:avLst/>
        </a:prstGeom>
        <a:noFill/>
        <a:ln w="9525">
          <a:noFill/>
          <a:miter lim="800000"/>
          <a:headEnd/>
          <a:tailEnd/>
        </a:ln>
      </xdr:spPr>
    </xdr:sp>
    <xdr:clientData/>
  </xdr:twoCellAnchor>
  <xdr:twoCellAnchor editAs="oneCell">
    <xdr:from>
      <xdr:col>1</xdr:col>
      <xdr:colOff>0</xdr:colOff>
      <xdr:row>167</xdr:row>
      <xdr:rowOff>0</xdr:rowOff>
    </xdr:from>
    <xdr:to>
      <xdr:col>1</xdr:col>
      <xdr:colOff>76200</xdr:colOff>
      <xdr:row>168</xdr:row>
      <xdr:rowOff>19050</xdr:rowOff>
    </xdr:to>
    <xdr:sp macro="" textlink="">
      <xdr:nvSpPr>
        <xdr:cNvPr id="377949" name="Text Box 1127"/>
        <xdr:cNvSpPr txBox="1">
          <a:spLocks noChangeArrowheads="1"/>
        </xdr:cNvSpPr>
      </xdr:nvSpPr>
      <xdr:spPr bwMode="auto">
        <a:xfrm>
          <a:off x="1152525" y="32385000"/>
          <a:ext cx="76200" cy="209550"/>
        </a:xfrm>
        <a:prstGeom prst="rect">
          <a:avLst/>
        </a:prstGeom>
        <a:noFill/>
        <a:ln w="9525">
          <a:noFill/>
          <a:miter lim="800000"/>
          <a:headEnd/>
          <a:tailEnd/>
        </a:ln>
      </xdr:spPr>
    </xdr:sp>
    <xdr:clientData/>
  </xdr:twoCellAnchor>
  <xdr:twoCellAnchor editAs="oneCell">
    <xdr:from>
      <xdr:col>1</xdr:col>
      <xdr:colOff>0</xdr:colOff>
      <xdr:row>167</xdr:row>
      <xdr:rowOff>0</xdr:rowOff>
    </xdr:from>
    <xdr:to>
      <xdr:col>1</xdr:col>
      <xdr:colOff>76200</xdr:colOff>
      <xdr:row>168</xdr:row>
      <xdr:rowOff>19050</xdr:rowOff>
    </xdr:to>
    <xdr:sp macro="" textlink="">
      <xdr:nvSpPr>
        <xdr:cNvPr id="377950" name="Text Box 1128"/>
        <xdr:cNvSpPr txBox="1">
          <a:spLocks noChangeArrowheads="1"/>
        </xdr:cNvSpPr>
      </xdr:nvSpPr>
      <xdr:spPr bwMode="auto">
        <a:xfrm>
          <a:off x="1152525" y="32385000"/>
          <a:ext cx="76200" cy="209550"/>
        </a:xfrm>
        <a:prstGeom prst="rect">
          <a:avLst/>
        </a:prstGeom>
        <a:noFill/>
        <a:ln w="9525">
          <a:noFill/>
          <a:miter lim="800000"/>
          <a:headEnd/>
          <a:tailEnd/>
        </a:ln>
      </xdr:spPr>
    </xdr:sp>
    <xdr:clientData/>
  </xdr:twoCellAnchor>
  <xdr:twoCellAnchor editAs="oneCell">
    <xdr:from>
      <xdr:col>1</xdr:col>
      <xdr:colOff>0</xdr:colOff>
      <xdr:row>167</xdr:row>
      <xdr:rowOff>0</xdr:rowOff>
    </xdr:from>
    <xdr:to>
      <xdr:col>1</xdr:col>
      <xdr:colOff>76200</xdr:colOff>
      <xdr:row>168</xdr:row>
      <xdr:rowOff>19050</xdr:rowOff>
    </xdr:to>
    <xdr:sp macro="" textlink="">
      <xdr:nvSpPr>
        <xdr:cNvPr id="377951" name="Text Box 1129"/>
        <xdr:cNvSpPr txBox="1">
          <a:spLocks noChangeArrowheads="1"/>
        </xdr:cNvSpPr>
      </xdr:nvSpPr>
      <xdr:spPr bwMode="auto">
        <a:xfrm>
          <a:off x="1152525" y="32385000"/>
          <a:ext cx="76200" cy="209550"/>
        </a:xfrm>
        <a:prstGeom prst="rect">
          <a:avLst/>
        </a:prstGeom>
        <a:noFill/>
        <a:ln w="9525">
          <a:noFill/>
          <a:miter lim="800000"/>
          <a:headEnd/>
          <a:tailEnd/>
        </a:ln>
      </xdr:spPr>
    </xdr:sp>
    <xdr:clientData/>
  </xdr:twoCellAnchor>
  <xdr:twoCellAnchor editAs="oneCell">
    <xdr:from>
      <xdr:col>1</xdr:col>
      <xdr:colOff>0</xdr:colOff>
      <xdr:row>167</xdr:row>
      <xdr:rowOff>0</xdr:rowOff>
    </xdr:from>
    <xdr:to>
      <xdr:col>1</xdr:col>
      <xdr:colOff>76200</xdr:colOff>
      <xdr:row>168</xdr:row>
      <xdr:rowOff>19050</xdr:rowOff>
    </xdr:to>
    <xdr:sp macro="" textlink="">
      <xdr:nvSpPr>
        <xdr:cNvPr id="377952" name="Text Box 1130"/>
        <xdr:cNvSpPr txBox="1">
          <a:spLocks noChangeArrowheads="1"/>
        </xdr:cNvSpPr>
      </xdr:nvSpPr>
      <xdr:spPr bwMode="auto">
        <a:xfrm>
          <a:off x="1152525" y="32385000"/>
          <a:ext cx="76200" cy="209550"/>
        </a:xfrm>
        <a:prstGeom prst="rect">
          <a:avLst/>
        </a:prstGeom>
        <a:noFill/>
        <a:ln w="9525">
          <a:noFill/>
          <a:miter lim="800000"/>
          <a:headEnd/>
          <a:tailEnd/>
        </a:ln>
      </xdr:spPr>
    </xdr:sp>
    <xdr:clientData/>
  </xdr:twoCellAnchor>
  <xdr:twoCellAnchor editAs="oneCell">
    <xdr:from>
      <xdr:col>1</xdr:col>
      <xdr:colOff>0</xdr:colOff>
      <xdr:row>168</xdr:row>
      <xdr:rowOff>0</xdr:rowOff>
    </xdr:from>
    <xdr:to>
      <xdr:col>1</xdr:col>
      <xdr:colOff>76200</xdr:colOff>
      <xdr:row>169</xdr:row>
      <xdr:rowOff>19050</xdr:rowOff>
    </xdr:to>
    <xdr:sp macro="" textlink="">
      <xdr:nvSpPr>
        <xdr:cNvPr id="377953" name="Text Box 1131"/>
        <xdr:cNvSpPr txBox="1">
          <a:spLocks noChangeArrowheads="1"/>
        </xdr:cNvSpPr>
      </xdr:nvSpPr>
      <xdr:spPr bwMode="auto">
        <a:xfrm>
          <a:off x="1152525" y="32575500"/>
          <a:ext cx="76200" cy="209550"/>
        </a:xfrm>
        <a:prstGeom prst="rect">
          <a:avLst/>
        </a:prstGeom>
        <a:noFill/>
        <a:ln w="9525">
          <a:noFill/>
          <a:miter lim="800000"/>
          <a:headEnd/>
          <a:tailEnd/>
        </a:ln>
      </xdr:spPr>
    </xdr:sp>
    <xdr:clientData/>
  </xdr:twoCellAnchor>
  <xdr:twoCellAnchor editAs="oneCell">
    <xdr:from>
      <xdr:col>1</xdr:col>
      <xdr:colOff>0</xdr:colOff>
      <xdr:row>168</xdr:row>
      <xdr:rowOff>0</xdr:rowOff>
    </xdr:from>
    <xdr:to>
      <xdr:col>1</xdr:col>
      <xdr:colOff>76200</xdr:colOff>
      <xdr:row>169</xdr:row>
      <xdr:rowOff>19050</xdr:rowOff>
    </xdr:to>
    <xdr:sp macro="" textlink="">
      <xdr:nvSpPr>
        <xdr:cNvPr id="377954" name="Text Box 1132"/>
        <xdr:cNvSpPr txBox="1">
          <a:spLocks noChangeArrowheads="1"/>
        </xdr:cNvSpPr>
      </xdr:nvSpPr>
      <xdr:spPr bwMode="auto">
        <a:xfrm>
          <a:off x="1152525" y="32575500"/>
          <a:ext cx="76200" cy="209550"/>
        </a:xfrm>
        <a:prstGeom prst="rect">
          <a:avLst/>
        </a:prstGeom>
        <a:noFill/>
        <a:ln w="9525">
          <a:noFill/>
          <a:miter lim="800000"/>
          <a:headEnd/>
          <a:tailEnd/>
        </a:ln>
      </xdr:spPr>
    </xdr:sp>
    <xdr:clientData/>
  </xdr:twoCellAnchor>
  <xdr:twoCellAnchor editAs="oneCell">
    <xdr:from>
      <xdr:col>1</xdr:col>
      <xdr:colOff>0</xdr:colOff>
      <xdr:row>168</xdr:row>
      <xdr:rowOff>0</xdr:rowOff>
    </xdr:from>
    <xdr:to>
      <xdr:col>1</xdr:col>
      <xdr:colOff>76200</xdr:colOff>
      <xdr:row>169</xdr:row>
      <xdr:rowOff>19050</xdr:rowOff>
    </xdr:to>
    <xdr:sp macro="" textlink="">
      <xdr:nvSpPr>
        <xdr:cNvPr id="377955" name="Text Box 1133"/>
        <xdr:cNvSpPr txBox="1">
          <a:spLocks noChangeArrowheads="1"/>
        </xdr:cNvSpPr>
      </xdr:nvSpPr>
      <xdr:spPr bwMode="auto">
        <a:xfrm>
          <a:off x="1152525" y="32575500"/>
          <a:ext cx="76200" cy="209550"/>
        </a:xfrm>
        <a:prstGeom prst="rect">
          <a:avLst/>
        </a:prstGeom>
        <a:noFill/>
        <a:ln w="9525">
          <a:noFill/>
          <a:miter lim="800000"/>
          <a:headEnd/>
          <a:tailEnd/>
        </a:ln>
      </xdr:spPr>
    </xdr:sp>
    <xdr:clientData/>
  </xdr:twoCellAnchor>
  <xdr:twoCellAnchor editAs="oneCell">
    <xdr:from>
      <xdr:col>1</xdr:col>
      <xdr:colOff>0</xdr:colOff>
      <xdr:row>168</xdr:row>
      <xdr:rowOff>0</xdr:rowOff>
    </xdr:from>
    <xdr:to>
      <xdr:col>1</xdr:col>
      <xdr:colOff>76200</xdr:colOff>
      <xdr:row>169</xdr:row>
      <xdr:rowOff>19050</xdr:rowOff>
    </xdr:to>
    <xdr:sp macro="" textlink="">
      <xdr:nvSpPr>
        <xdr:cNvPr id="377956" name="Text Box 1134"/>
        <xdr:cNvSpPr txBox="1">
          <a:spLocks noChangeArrowheads="1"/>
        </xdr:cNvSpPr>
      </xdr:nvSpPr>
      <xdr:spPr bwMode="auto">
        <a:xfrm>
          <a:off x="1152525" y="32575500"/>
          <a:ext cx="76200" cy="209550"/>
        </a:xfrm>
        <a:prstGeom prst="rect">
          <a:avLst/>
        </a:prstGeom>
        <a:noFill/>
        <a:ln w="9525">
          <a:noFill/>
          <a:miter lim="800000"/>
          <a:headEnd/>
          <a:tailEnd/>
        </a:ln>
      </xdr:spPr>
    </xdr:sp>
    <xdr:clientData/>
  </xdr:twoCellAnchor>
  <xdr:twoCellAnchor editAs="oneCell">
    <xdr:from>
      <xdr:col>1</xdr:col>
      <xdr:colOff>0</xdr:colOff>
      <xdr:row>169</xdr:row>
      <xdr:rowOff>0</xdr:rowOff>
    </xdr:from>
    <xdr:to>
      <xdr:col>1</xdr:col>
      <xdr:colOff>76200</xdr:colOff>
      <xdr:row>170</xdr:row>
      <xdr:rowOff>19050</xdr:rowOff>
    </xdr:to>
    <xdr:sp macro="" textlink="">
      <xdr:nvSpPr>
        <xdr:cNvPr id="377957" name="Text Box 1135"/>
        <xdr:cNvSpPr txBox="1">
          <a:spLocks noChangeArrowheads="1"/>
        </xdr:cNvSpPr>
      </xdr:nvSpPr>
      <xdr:spPr bwMode="auto">
        <a:xfrm>
          <a:off x="1152525" y="32766000"/>
          <a:ext cx="76200" cy="209550"/>
        </a:xfrm>
        <a:prstGeom prst="rect">
          <a:avLst/>
        </a:prstGeom>
        <a:noFill/>
        <a:ln w="9525">
          <a:noFill/>
          <a:miter lim="800000"/>
          <a:headEnd/>
          <a:tailEnd/>
        </a:ln>
      </xdr:spPr>
    </xdr:sp>
    <xdr:clientData/>
  </xdr:twoCellAnchor>
  <xdr:twoCellAnchor editAs="oneCell">
    <xdr:from>
      <xdr:col>1</xdr:col>
      <xdr:colOff>0</xdr:colOff>
      <xdr:row>169</xdr:row>
      <xdr:rowOff>0</xdr:rowOff>
    </xdr:from>
    <xdr:to>
      <xdr:col>1</xdr:col>
      <xdr:colOff>76200</xdr:colOff>
      <xdr:row>170</xdr:row>
      <xdr:rowOff>19050</xdr:rowOff>
    </xdr:to>
    <xdr:sp macro="" textlink="">
      <xdr:nvSpPr>
        <xdr:cNvPr id="377958" name="Text Box 1136"/>
        <xdr:cNvSpPr txBox="1">
          <a:spLocks noChangeArrowheads="1"/>
        </xdr:cNvSpPr>
      </xdr:nvSpPr>
      <xdr:spPr bwMode="auto">
        <a:xfrm>
          <a:off x="1152525" y="32766000"/>
          <a:ext cx="76200" cy="209550"/>
        </a:xfrm>
        <a:prstGeom prst="rect">
          <a:avLst/>
        </a:prstGeom>
        <a:noFill/>
        <a:ln w="9525">
          <a:noFill/>
          <a:miter lim="800000"/>
          <a:headEnd/>
          <a:tailEnd/>
        </a:ln>
      </xdr:spPr>
    </xdr:sp>
    <xdr:clientData/>
  </xdr:twoCellAnchor>
  <xdr:twoCellAnchor editAs="oneCell">
    <xdr:from>
      <xdr:col>1</xdr:col>
      <xdr:colOff>0</xdr:colOff>
      <xdr:row>169</xdr:row>
      <xdr:rowOff>0</xdr:rowOff>
    </xdr:from>
    <xdr:to>
      <xdr:col>1</xdr:col>
      <xdr:colOff>76200</xdr:colOff>
      <xdr:row>170</xdr:row>
      <xdr:rowOff>19050</xdr:rowOff>
    </xdr:to>
    <xdr:sp macro="" textlink="">
      <xdr:nvSpPr>
        <xdr:cNvPr id="377959" name="Text Box 1137"/>
        <xdr:cNvSpPr txBox="1">
          <a:spLocks noChangeArrowheads="1"/>
        </xdr:cNvSpPr>
      </xdr:nvSpPr>
      <xdr:spPr bwMode="auto">
        <a:xfrm>
          <a:off x="1152525" y="32766000"/>
          <a:ext cx="76200" cy="209550"/>
        </a:xfrm>
        <a:prstGeom prst="rect">
          <a:avLst/>
        </a:prstGeom>
        <a:noFill/>
        <a:ln w="9525">
          <a:noFill/>
          <a:miter lim="800000"/>
          <a:headEnd/>
          <a:tailEnd/>
        </a:ln>
      </xdr:spPr>
    </xdr:sp>
    <xdr:clientData/>
  </xdr:twoCellAnchor>
  <xdr:twoCellAnchor editAs="oneCell">
    <xdr:from>
      <xdr:col>1</xdr:col>
      <xdr:colOff>0</xdr:colOff>
      <xdr:row>169</xdr:row>
      <xdr:rowOff>0</xdr:rowOff>
    </xdr:from>
    <xdr:to>
      <xdr:col>1</xdr:col>
      <xdr:colOff>76200</xdr:colOff>
      <xdr:row>170</xdr:row>
      <xdr:rowOff>19050</xdr:rowOff>
    </xdr:to>
    <xdr:sp macro="" textlink="">
      <xdr:nvSpPr>
        <xdr:cNvPr id="377960" name="Text Box 1138"/>
        <xdr:cNvSpPr txBox="1">
          <a:spLocks noChangeArrowheads="1"/>
        </xdr:cNvSpPr>
      </xdr:nvSpPr>
      <xdr:spPr bwMode="auto">
        <a:xfrm>
          <a:off x="1152525" y="32766000"/>
          <a:ext cx="76200" cy="209550"/>
        </a:xfrm>
        <a:prstGeom prst="rect">
          <a:avLst/>
        </a:prstGeom>
        <a:noFill/>
        <a:ln w="9525">
          <a:noFill/>
          <a:miter lim="800000"/>
          <a:headEnd/>
          <a:tailEnd/>
        </a:ln>
      </xdr:spPr>
    </xdr:sp>
    <xdr:clientData/>
  </xdr:twoCellAnchor>
  <xdr:twoCellAnchor editAs="oneCell">
    <xdr:from>
      <xdr:col>1</xdr:col>
      <xdr:colOff>0</xdr:colOff>
      <xdr:row>170</xdr:row>
      <xdr:rowOff>0</xdr:rowOff>
    </xdr:from>
    <xdr:to>
      <xdr:col>1</xdr:col>
      <xdr:colOff>76200</xdr:colOff>
      <xdr:row>171</xdr:row>
      <xdr:rowOff>19050</xdr:rowOff>
    </xdr:to>
    <xdr:sp macro="" textlink="">
      <xdr:nvSpPr>
        <xdr:cNvPr id="377961" name="Text Box 1139"/>
        <xdr:cNvSpPr txBox="1">
          <a:spLocks noChangeArrowheads="1"/>
        </xdr:cNvSpPr>
      </xdr:nvSpPr>
      <xdr:spPr bwMode="auto">
        <a:xfrm>
          <a:off x="1152525" y="32956500"/>
          <a:ext cx="76200" cy="209550"/>
        </a:xfrm>
        <a:prstGeom prst="rect">
          <a:avLst/>
        </a:prstGeom>
        <a:noFill/>
        <a:ln w="9525">
          <a:noFill/>
          <a:miter lim="800000"/>
          <a:headEnd/>
          <a:tailEnd/>
        </a:ln>
      </xdr:spPr>
    </xdr:sp>
    <xdr:clientData/>
  </xdr:twoCellAnchor>
  <xdr:twoCellAnchor editAs="oneCell">
    <xdr:from>
      <xdr:col>1</xdr:col>
      <xdr:colOff>0</xdr:colOff>
      <xdr:row>170</xdr:row>
      <xdr:rowOff>0</xdr:rowOff>
    </xdr:from>
    <xdr:to>
      <xdr:col>1</xdr:col>
      <xdr:colOff>76200</xdr:colOff>
      <xdr:row>171</xdr:row>
      <xdr:rowOff>19050</xdr:rowOff>
    </xdr:to>
    <xdr:sp macro="" textlink="">
      <xdr:nvSpPr>
        <xdr:cNvPr id="377962" name="Text Box 1140"/>
        <xdr:cNvSpPr txBox="1">
          <a:spLocks noChangeArrowheads="1"/>
        </xdr:cNvSpPr>
      </xdr:nvSpPr>
      <xdr:spPr bwMode="auto">
        <a:xfrm>
          <a:off x="1152525" y="32956500"/>
          <a:ext cx="76200" cy="209550"/>
        </a:xfrm>
        <a:prstGeom prst="rect">
          <a:avLst/>
        </a:prstGeom>
        <a:noFill/>
        <a:ln w="9525">
          <a:noFill/>
          <a:miter lim="800000"/>
          <a:headEnd/>
          <a:tailEnd/>
        </a:ln>
      </xdr:spPr>
    </xdr:sp>
    <xdr:clientData/>
  </xdr:twoCellAnchor>
  <xdr:twoCellAnchor editAs="oneCell">
    <xdr:from>
      <xdr:col>1</xdr:col>
      <xdr:colOff>0</xdr:colOff>
      <xdr:row>170</xdr:row>
      <xdr:rowOff>0</xdr:rowOff>
    </xdr:from>
    <xdr:to>
      <xdr:col>1</xdr:col>
      <xdr:colOff>76200</xdr:colOff>
      <xdr:row>171</xdr:row>
      <xdr:rowOff>19050</xdr:rowOff>
    </xdr:to>
    <xdr:sp macro="" textlink="">
      <xdr:nvSpPr>
        <xdr:cNvPr id="377963" name="Text Box 1141"/>
        <xdr:cNvSpPr txBox="1">
          <a:spLocks noChangeArrowheads="1"/>
        </xdr:cNvSpPr>
      </xdr:nvSpPr>
      <xdr:spPr bwMode="auto">
        <a:xfrm>
          <a:off x="1152525" y="32956500"/>
          <a:ext cx="76200" cy="209550"/>
        </a:xfrm>
        <a:prstGeom prst="rect">
          <a:avLst/>
        </a:prstGeom>
        <a:noFill/>
        <a:ln w="9525">
          <a:noFill/>
          <a:miter lim="800000"/>
          <a:headEnd/>
          <a:tailEnd/>
        </a:ln>
      </xdr:spPr>
    </xdr:sp>
    <xdr:clientData/>
  </xdr:twoCellAnchor>
  <xdr:twoCellAnchor editAs="oneCell">
    <xdr:from>
      <xdr:col>1</xdr:col>
      <xdr:colOff>0</xdr:colOff>
      <xdr:row>170</xdr:row>
      <xdr:rowOff>0</xdr:rowOff>
    </xdr:from>
    <xdr:to>
      <xdr:col>1</xdr:col>
      <xdr:colOff>76200</xdr:colOff>
      <xdr:row>171</xdr:row>
      <xdr:rowOff>19050</xdr:rowOff>
    </xdr:to>
    <xdr:sp macro="" textlink="">
      <xdr:nvSpPr>
        <xdr:cNvPr id="377964" name="Text Box 1142"/>
        <xdr:cNvSpPr txBox="1">
          <a:spLocks noChangeArrowheads="1"/>
        </xdr:cNvSpPr>
      </xdr:nvSpPr>
      <xdr:spPr bwMode="auto">
        <a:xfrm>
          <a:off x="1152525" y="32956500"/>
          <a:ext cx="76200" cy="209550"/>
        </a:xfrm>
        <a:prstGeom prst="rect">
          <a:avLst/>
        </a:prstGeom>
        <a:noFill/>
        <a:ln w="9525">
          <a:noFill/>
          <a:miter lim="800000"/>
          <a:headEnd/>
          <a:tailEnd/>
        </a:ln>
      </xdr:spPr>
    </xdr:sp>
    <xdr:clientData/>
  </xdr:twoCellAnchor>
  <xdr:twoCellAnchor editAs="oneCell">
    <xdr:from>
      <xdr:col>1</xdr:col>
      <xdr:colOff>0</xdr:colOff>
      <xdr:row>171</xdr:row>
      <xdr:rowOff>0</xdr:rowOff>
    </xdr:from>
    <xdr:to>
      <xdr:col>1</xdr:col>
      <xdr:colOff>76200</xdr:colOff>
      <xdr:row>172</xdr:row>
      <xdr:rowOff>19050</xdr:rowOff>
    </xdr:to>
    <xdr:sp macro="" textlink="">
      <xdr:nvSpPr>
        <xdr:cNvPr id="377965" name="Text Box 1143"/>
        <xdr:cNvSpPr txBox="1">
          <a:spLocks noChangeArrowheads="1"/>
        </xdr:cNvSpPr>
      </xdr:nvSpPr>
      <xdr:spPr bwMode="auto">
        <a:xfrm>
          <a:off x="1152525" y="33147000"/>
          <a:ext cx="76200" cy="209550"/>
        </a:xfrm>
        <a:prstGeom prst="rect">
          <a:avLst/>
        </a:prstGeom>
        <a:noFill/>
        <a:ln w="9525">
          <a:noFill/>
          <a:miter lim="800000"/>
          <a:headEnd/>
          <a:tailEnd/>
        </a:ln>
      </xdr:spPr>
    </xdr:sp>
    <xdr:clientData/>
  </xdr:twoCellAnchor>
  <xdr:twoCellAnchor editAs="oneCell">
    <xdr:from>
      <xdr:col>1</xdr:col>
      <xdr:colOff>0</xdr:colOff>
      <xdr:row>171</xdr:row>
      <xdr:rowOff>0</xdr:rowOff>
    </xdr:from>
    <xdr:to>
      <xdr:col>1</xdr:col>
      <xdr:colOff>76200</xdr:colOff>
      <xdr:row>172</xdr:row>
      <xdr:rowOff>19050</xdr:rowOff>
    </xdr:to>
    <xdr:sp macro="" textlink="">
      <xdr:nvSpPr>
        <xdr:cNvPr id="377966" name="Text Box 1144"/>
        <xdr:cNvSpPr txBox="1">
          <a:spLocks noChangeArrowheads="1"/>
        </xdr:cNvSpPr>
      </xdr:nvSpPr>
      <xdr:spPr bwMode="auto">
        <a:xfrm>
          <a:off x="1152525" y="33147000"/>
          <a:ext cx="76200" cy="209550"/>
        </a:xfrm>
        <a:prstGeom prst="rect">
          <a:avLst/>
        </a:prstGeom>
        <a:noFill/>
        <a:ln w="9525">
          <a:noFill/>
          <a:miter lim="800000"/>
          <a:headEnd/>
          <a:tailEnd/>
        </a:ln>
      </xdr:spPr>
    </xdr:sp>
    <xdr:clientData/>
  </xdr:twoCellAnchor>
  <xdr:twoCellAnchor editAs="oneCell">
    <xdr:from>
      <xdr:col>1</xdr:col>
      <xdr:colOff>0</xdr:colOff>
      <xdr:row>171</xdr:row>
      <xdr:rowOff>0</xdr:rowOff>
    </xdr:from>
    <xdr:to>
      <xdr:col>1</xdr:col>
      <xdr:colOff>76200</xdr:colOff>
      <xdr:row>172</xdr:row>
      <xdr:rowOff>19050</xdr:rowOff>
    </xdr:to>
    <xdr:sp macro="" textlink="">
      <xdr:nvSpPr>
        <xdr:cNvPr id="377967" name="Text Box 1145"/>
        <xdr:cNvSpPr txBox="1">
          <a:spLocks noChangeArrowheads="1"/>
        </xdr:cNvSpPr>
      </xdr:nvSpPr>
      <xdr:spPr bwMode="auto">
        <a:xfrm>
          <a:off x="1152525" y="33147000"/>
          <a:ext cx="76200" cy="209550"/>
        </a:xfrm>
        <a:prstGeom prst="rect">
          <a:avLst/>
        </a:prstGeom>
        <a:noFill/>
        <a:ln w="9525">
          <a:noFill/>
          <a:miter lim="800000"/>
          <a:headEnd/>
          <a:tailEnd/>
        </a:ln>
      </xdr:spPr>
    </xdr:sp>
    <xdr:clientData/>
  </xdr:twoCellAnchor>
  <xdr:twoCellAnchor editAs="oneCell">
    <xdr:from>
      <xdr:col>1</xdr:col>
      <xdr:colOff>0</xdr:colOff>
      <xdr:row>171</xdr:row>
      <xdr:rowOff>0</xdr:rowOff>
    </xdr:from>
    <xdr:to>
      <xdr:col>1</xdr:col>
      <xdr:colOff>76200</xdr:colOff>
      <xdr:row>172</xdr:row>
      <xdr:rowOff>19050</xdr:rowOff>
    </xdr:to>
    <xdr:sp macro="" textlink="">
      <xdr:nvSpPr>
        <xdr:cNvPr id="377968" name="Text Box 1146"/>
        <xdr:cNvSpPr txBox="1">
          <a:spLocks noChangeArrowheads="1"/>
        </xdr:cNvSpPr>
      </xdr:nvSpPr>
      <xdr:spPr bwMode="auto">
        <a:xfrm>
          <a:off x="1152525" y="33147000"/>
          <a:ext cx="76200" cy="209550"/>
        </a:xfrm>
        <a:prstGeom prst="rect">
          <a:avLst/>
        </a:prstGeom>
        <a:noFill/>
        <a:ln w="9525">
          <a:noFill/>
          <a:miter lim="800000"/>
          <a:headEnd/>
          <a:tailEnd/>
        </a:ln>
      </xdr:spPr>
    </xdr:sp>
    <xdr:clientData/>
  </xdr:twoCellAnchor>
  <xdr:twoCellAnchor editAs="oneCell">
    <xdr:from>
      <xdr:col>1</xdr:col>
      <xdr:colOff>0</xdr:colOff>
      <xdr:row>172</xdr:row>
      <xdr:rowOff>0</xdr:rowOff>
    </xdr:from>
    <xdr:to>
      <xdr:col>1</xdr:col>
      <xdr:colOff>76200</xdr:colOff>
      <xdr:row>173</xdr:row>
      <xdr:rowOff>19050</xdr:rowOff>
    </xdr:to>
    <xdr:sp macro="" textlink="">
      <xdr:nvSpPr>
        <xdr:cNvPr id="377969" name="Text Box 1147"/>
        <xdr:cNvSpPr txBox="1">
          <a:spLocks noChangeArrowheads="1"/>
        </xdr:cNvSpPr>
      </xdr:nvSpPr>
      <xdr:spPr bwMode="auto">
        <a:xfrm>
          <a:off x="1152525" y="33337500"/>
          <a:ext cx="76200" cy="209550"/>
        </a:xfrm>
        <a:prstGeom prst="rect">
          <a:avLst/>
        </a:prstGeom>
        <a:noFill/>
        <a:ln w="9525">
          <a:noFill/>
          <a:miter lim="800000"/>
          <a:headEnd/>
          <a:tailEnd/>
        </a:ln>
      </xdr:spPr>
    </xdr:sp>
    <xdr:clientData/>
  </xdr:twoCellAnchor>
  <xdr:twoCellAnchor editAs="oneCell">
    <xdr:from>
      <xdr:col>1</xdr:col>
      <xdr:colOff>0</xdr:colOff>
      <xdr:row>172</xdr:row>
      <xdr:rowOff>0</xdr:rowOff>
    </xdr:from>
    <xdr:to>
      <xdr:col>1</xdr:col>
      <xdr:colOff>76200</xdr:colOff>
      <xdr:row>173</xdr:row>
      <xdr:rowOff>19050</xdr:rowOff>
    </xdr:to>
    <xdr:sp macro="" textlink="">
      <xdr:nvSpPr>
        <xdr:cNvPr id="377970" name="Text Box 1148"/>
        <xdr:cNvSpPr txBox="1">
          <a:spLocks noChangeArrowheads="1"/>
        </xdr:cNvSpPr>
      </xdr:nvSpPr>
      <xdr:spPr bwMode="auto">
        <a:xfrm>
          <a:off x="1152525" y="33337500"/>
          <a:ext cx="76200" cy="209550"/>
        </a:xfrm>
        <a:prstGeom prst="rect">
          <a:avLst/>
        </a:prstGeom>
        <a:noFill/>
        <a:ln w="9525">
          <a:noFill/>
          <a:miter lim="800000"/>
          <a:headEnd/>
          <a:tailEnd/>
        </a:ln>
      </xdr:spPr>
    </xdr:sp>
    <xdr:clientData/>
  </xdr:twoCellAnchor>
  <xdr:twoCellAnchor editAs="oneCell">
    <xdr:from>
      <xdr:col>1</xdr:col>
      <xdr:colOff>0</xdr:colOff>
      <xdr:row>172</xdr:row>
      <xdr:rowOff>0</xdr:rowOff>
    </xdr:from>
    <xdr:to>
      <xdr:col>1</xdr:col>
      <xdr:colOff>76200</xdr:colOff>
      <xdr:row>173</xdr:row>
      <xdr:rowOff>19050</xdr:rowOff>
    </xdr:to>
    <xdr:sp macro="" textlink="">
      <xdr:nvSpPr>
        <xdr:cNvPr id="377971" name="Text Box 1149"/>
        <xdr:cNvSpPr txBox="1">
          <a:spLocks noChangeArrowheads="1"/>
        </xdr:cNvSpPr>
      </xdr:nvSpPr>
      <xdr:spPr bwMode="auto">
        <a:xfrm>
          <a:off x="1152525" y="33337500"/>
          <a:ext cx="76200" cy="209550"/>
        </a:xfrm>
        <a:prstGeom prst="rect">
          <a:avLst/>
        </a:prstGeom>
        <a:noFill/>
        <a:ln w="9525">
          <a:noFill/>
          <a:miter lim="800000"/>
          <a:headEnd/>
          <a:tailEnd/>
        </a:ln>
      </xdr:spPr>
    </xdr:sp>
    <xdr:clientData/>
  </xdr:twoCellAnchor>
  <xdr:twoCellAnchor editAs="oneCell">
    <xdr:from>
      <xdr:col>1</xdr:col>
      <xdr:colOff>0</xdr:colOff>
      <xdr:row>172</xdr:row>
      <xdr:rowOff>0</xdr:rowOff>
    </xdr:from>
    <xdr:to>
      <xdr:col>1</xdr:col>
      <xdr:colOff>76200</xdr:colOff>
      <xdr:row>173</xdr:row>
      <xdr:rowOff>19050</xdr:rowOff>
    </xdr:to>
    <xdr:sp macro="" textlink="">
      <xdr:nvSpPr>
        <xdr:cNvPr id="377972" name="Text Box 1150"/>
        <xdr:cNvSpPr txBox="1">
          <a:spLocks noChangeArrowheads="1"/>
        </xdr:cNvSpPr>
      </xdr:nvSpPr>
      <xdr:spPr bwMode="auto">
        <a:xfrm>
          <a:off x="1152525" y="33337500"/>
          <a:ext cx="76200" cy="209550"/>
        </a:xfrm>
        <a:prstGeom prst="rect">
          <a:avLst/>
        </a:prstGeom>
        <a:noFill/>
        <a:ln w="9525">
          <a:noFill/>
          <a:miter lim="800000"/>
          <a:headEnd/>
          <a:tailEnd/>
        </a:ln>
      </xdr:spPr>
    </xdr:sp>
    <xdr:clientData/>
  </xdr:twoCellAnchor>
  <xdr:twoCellAnchor editAs="oneCell">
    <xdr:from>
      <xdr:col>1</xdr:col>
      <xdr:colOff>0</xdr:colOff>
      <xdr:row>173</xdr:row>
      <xdr:rowOff>0</xdr:rowOff>
    </xdr:from>
    <xdr:to>
      <xdr:col>1</xdr:col>
      <xdr:colOff>76200</xdr:colOff>
      <xdr:row>174</xdr:row>
      <xdr:rowOff>19050</xdr:rowOff>
    </xdr:to>
    <xdr:sp macro="" textlink="">
      <xdr:nvSpPr>
        <xdr:cNvPr id="377973" name="Text Box 1151"/>
        <xdr:cNvSpPr txBox="1">
          <a:spLocks noChangeArrowheads="1"/>
        </xdr:cNvSpPr>
      </xdr:nvSpPr>
      <xdr:spPr bwMode="auto">
        <a:xfrm>
          <a:off x="1152525" y="33528000"/>
          <a:ext cx="76200" cy="209550"/>
        </a:xfrm>
        <a:prstGeom prst="rect">
          <a:avLst/>
        </a:prstGeom>
        <a:noFill/>
        <a:ln w="9525">
          <a:noFill/>
          <a:miter lim="800000"/>
          <a:headEnd/>
          <a:tailEnd/>
        </a:ln>
      </xdr:spPr>
    </xdr:sp>
    <xdr:clientData/>
  </xdr:twoCellAnchor>
  <xdr:twoCellAnchor editAs="oneCell">
    <xdr:from>
      <xdr:col>1</xdr:col>
      <xdr:colOff>0</xdr:colOff>
      <xdr:row>173</xdr:row>
      <xdr:rowOff>0</xdr:rowOff>
    </xdr:from>
    <xdr:to>
      <xdr:col>1</xdr:col>
      <xdr:colOff>76200</xdr:colOff>
      <xdr:row>174</xdr:row>
      <xdr:rowOff>19050</xdr:rowOff>
    </xdr:to>
    <xdr:sp macro="" textlink="">
      <xdr:nvSpPr>
        <xdr:cNvPr id="377974" name="Text Box 1152"/>
        <xdr:cNvSpPr txBox="1">
          <a:spLocks noChangeArrowheads="1"/>
        </xdr:cNvSpPr>
      </xdr:nvSpPr>
      <xdr:spPr bwMode="auto">
        <a:xfrm>
          <a:off x="1152525" y="33528000"/>
          <a:ext cx="76200" cy="209550"/>
        </a:xfrm>
        <a:prstGeom prst="rect">
          <a:avLst/>
        </a:prstGeom>
        <a:noFill/>
        <a:ln w="9525">
          <a:noFill/>
          <a:miter lim="800000"/>
          <a:headEnd/>
          <a:tailEnd/>
        </a:ln>
      </xdr:spPr>
    </xdr:sp>
    <xdr:clientData/>
  </xdr:twoCellAnchor>
  <xdr:twoCellAnchor editAs="oneCell">
    <xdr:from>
      <xdr:col>1</xdr:col>
      <xdr:colOff>0</xdr:colOff>
      <xdr:row>173</xdr:row>
      <xdr:rowOff>0</xdr:rowOff>
    </xdr:from>
    <xdr:to>
      <xdr:col>1</xdr:col>
      <xdr:colOff>76200</xdr:colOff>
      <xdr:row>174</xdr:row>
      <xdr:rowOff>19050</xdr:rowOff>
    </xdr:to>
    <xdr:sp macro="" textlink="">
      <xdr:nvSpPr>
        <xdr:cNvPr id="377975" name="Text Box 1153"/>
        <xdr:cNvSpPr txBox="1">
          <a:spLocks noChangeArrowheads="1"/>
        </xdr:cNvSpPr>
      </xdr:nvSpPr>
      <xdr:spPr bwMode="auto">
        <a:xfrm>
          <a:off x="1152525" y="33528000"/>
          <a:ext cx="76200" cy="209550"/>
        </a:xfrm>
        <a:prstGeom prst="rect">
          <a:avLst/>
        </a:prstGeom>
        <a:noFill/>
        <a:ln w="9525">
          <a:noFill/>
          <a:miter lim="800000"/>
          <a:headEnd/>
          <a:tailEnd/>
        </a:ln>
      </xdr:spPr>
    </xdr:sp>
    <xdr:clientData/>
  </xdr:twoCellAnchor>
  <xdr:twoCellAnchor editAs="oneCell">
    <xdr:from>
      <xdr:col>1</xdr:col>
      <xdr:colOff>0</xdr:colOff>
      <xdr:row>173</xdr:row>
      <xdr:rowOff>0</xdr:rowOff>
    </xdr:from>
    <xdr:to>
      <xdr:col>1</xdr:col>
      <xdr:colOff>76200</xdr:colOff>
      <xdr:row>174</xdr:row>
      <xdr:rowOff>19050</xdr:rowOff>
    </xdr:to>
    <xdr:sp macro="" textlink="">
      <xdr:nvSpPr>
        <xdr:cNvPr id="377976" name="Text Box 1154"/>
        <xdr:cNvSpPr txBox="1">
          <a:spLocks noChangeArrowheads="1"/>
        </xdr:cNvSpPr>
      </xdr:nvSpPr>
      <xdr:spPr bwMode="auto">
        <a:xfrm>
          <a:off x="1152525" y="33528000"/>
          <a:ext cx="76200" cy="209550"/>
        </a:xfrm>
        <a:prstGeom prst="rect">
          <a:avLst/>
        </a:prstGeom>
        <a:noFill/>
        <a:ln w="9525">
          <a:noFill/>
          <a:miter lim="800000"/>
          <a:headEnd/>
          <a:tailEnd/>
        </a:ln>
      </xdr:spPr>
    </xdr:sp>
    <xdr:clientData/>
  </xdr:twoCellAnchor>
  <xdr:twoCellAnchor editAs="oneCell">
    <xdr:from>
      <xdr:col>1</xdr:col>
      <xdr:colOff>0</xdr:colOff>
      <xdr:row>174</xdr:row>
      <xdr:rowOff>0</xdr:rowOff>
    </xdr:from>
    <xdr:to>
      <xdr:col>1</xdr:col>
      <xdr:colOff>76200</xdr:colOff>
      <xdr:row>175</xdr:row>
      <xdr:rowOff>19050</xdr:rowOff>
    </xdr:to>
    <xdr:sp macro="" textlink="">
      <xdr:nvSpPr>
        <xdr:cNvPr id="377977" name="Text Box 1155"/>
        <xdr:cNvSpPr txBox="1">
          <a:spLocks noChangeArrowheads="1"/>
        </xdr:cNvSpPr>
      </xdr:nvSpPr>
      <xdr:spPr bwMode="auto">
        <a:xfrm>
          <a:off x="1152525" y="33718500"/>
          <a:ext cx="76200" cy="209550"/>
        </a:xfrm>
        <a:prstGeom prst="rect">
          <a:avLst/>
        </a:prstGeom>
        <a:noFill/>
        <a:ln w="9525">
          <a:noFill/>
          <a:miter lim="800000"/>
          <a:headEnd/>
          <a:tailEnd/>
        </a:ln>
      </xdr:spPr>
    </xdr:sp>
    <xdr:clientData/>
  </xdr:twoCellAnchor>
  <xdr:twoCellAnchor editAs="oneCell">
    <xdr:from>
      <xdr:col>1</xdr:col>
      <xdr:colOff>0</xdr:colOff>
      <xdr:row>174</xdr:row>
      <xdr:rowOff>0</xdr:rowOff>
    </xdr:from>
    <xdr:to>
      <xdr:col>1</xdr:col>
      <xdr:colOff>76200</xdr:colOff>
      <xdr:row>175</xdr:row>
      <xdr:rowOff>19050</xdr:rowOff>
    </xdr:to>
    <xdr:sp macro="" textlink="">
      <xdr:nvSpPr>
        <xdr:cNvPr id="377978" name="Text Box 1156"/>
        <xdr:cNvSpPr txBox="1">
          <a:spLocks noChangeArrowheads="1"/>
        </xdr:cNvSpPr>
      </xdr:nvSpPr>
      <xdr:spPr bwMode="auto">
        <a:xfrm>
          <a:off x="1152525" y="33718500"/>
          <a:ext cx="76200" cy="209550"/>
        </a:xfrm>
        <a:prstGeom prst="rect">
          <a:avLst/>
        </a:prstGeom>
        <a:noFill/>
        <a:ln w="9525">
          <a:noFill/>
          <a:miter lim="800000"/>
          <a:headEnd/>
          <a:tailEnd/>
        </a:ln>
      </xdr:spPr>
    </xdr:sp>
    <xdr:clientData/>
  </xdr:twoCellAnchor>
  <xdr:twoCellAnchor editAs="oneCell">
    <xdr:from>
      <xdr:col>1</xdr:col>
      <xdr:colOff>0</xdr:colOff>
      <xdr:row>174</xdr:row>
      <xdr:rowOff>0</xdr:rowOff>
    </xdr:from>
    <xdr:to>
      <xdr:col>1</xdr:col>
      <xdr:colOff>76200</xdr:colOff>
      <xdr:row>175</xdr:row>
      <xdr:rowOff>19050</xdr:rowOff>
    </xdr:to>
    <xdr:sp macro="" textlink="">
      <xdr:nvSpPr>
        <xdr:cNvPr id="377979" name="Text Box 1157"/>
        <xdr:cNvSpPr txBox="1">
          <a:spLocks noChangeArrowheads="1"/>
        </xdr:cNvSpPr>
      </xdr:nvSpPr>
      <xdr:spPr bwMode="auto">
        <a:xfrm>
          <a:off x="1152525" y="33718500"/>
          <a:ext cx="76200" cy="209550"/>
        </a:xfrm>
        <a:prstGeom prst="rect">
          <a:avLst/>
        </a:prstGeom>
        <a:noFill/>
        <a:ln w="9525">
          <a:noFill/>
          <a:miter lim="800000"/>
          <a:headEnd/>
          <a:tailEnd/>
        </a:ln>
      </xdr:spPr>
    </xdr:sp>
    <xdr:clientData/>
  </xdr:twoCellAnchor>
  <xdr:twoCellAnchor editAs="oneCell">
    <xdr:from>
      <xdr:col>1</xdr:col>
      <xdr:colOff>0</xdr:colOff>
      <xdr:row>174</xdr:row>
      <xdr:rowOff>0</xdr:rowOff>
    </xdr:from>
    <xdr:to>
      <xdr:col>1</xdr:col>
      <xdr:colOff>76200</xdr:colOff>
      <xdr:row>175</xdr:row>
      <xdr:rowOff>19050</xdr:rowOff>
    </xdr:to>
    <xdr:sp macro="" textlink="">
      <xdr:nvSpPr>
        <xdr:cNvPr id="377980" name="Text Box 1158"/>
        <xdr:cNvSpPr txBox="1">
          <a:spLocks noChangeArrowheads="1"/>
        </xdr:cNvSpPr>
      </xdr:nvSpPr>
      <xdr:spPr bwMode="auto">
        <a:xfrm>
          <a:off x="1152525" y="33718500"/>
          <a:ext cx="76200" cy="209550"/>
        </a:xfrm>
        <a:prstGeom prst="rect">
          <a:avLst/>
        </a:prstGeom>
        <a:noFill/>
        <a:ln w="9525">
          <a:noFill/>
          <a:miter lim="800000"/>
          <a:headEnd/>
          <a:tailEnd/>
        </a:ln>
      </xdr:spPr>
    </xdr:sp>
    <xdr:clientData/>
  </xdr:twoCellAnchor>
  <xdr:twoCellAnchor editAs="oneCell">
    <xdr:from>
      <xdr:col>1</xdr:col>
      <xdr:colOff>0</xdr:colOff>
      <xdr:row>175</xdr:row>
      <xdr:rowOff>0</xdr:rowOff>
    </xdr:from>
    <xdr:to>
      <xdr:col>1</xdr:col>
      <xdr:colOff>76200</xdr:colOff>
      <xdr:row>176</xdr:row>
      <xdr:rowOff>19050</xdr:rowOff>
    </xdr:to>
    <xdr:sp macro="" textlink="">
      <xdr:nvSpPr>
        <xdr:cNvPr id="377981" name="Text Box 1159"/>
        <xdr:cNvSpPr txBox="1">
          <a:spLocks noChangeArrowheads="1"/>
        </xdr:cNvSpPr>
      </xdr:nvSpPr>
      <xdr:spPr bwMode="auto">
        <a:xfrm>
          <a:off x="1152525" y="33909000"/>
          <a:ext cx="76200" cy="209550"/>
        </a:xfrm>
        <a:prstGeom prst="rect">
          <a:avLst/>
        </a:prstGeom>
        <a:noFill/>
        <a:ln w="9525">
          <a:noFill/>
          <a:miter lim="800000"/>
          <a:headEnd/>
          <a:tailEnd/>
        </a:ln>
      </xdr:spPr>
    </xdr:sp>
    <xdr:clientData/>
  </xdr:twoCellAnchor>
  <xdr:twoCellAnchor editAs="oneCell">
    <xdr:from>
      <xdr:col>1</xdr:col>
      <xdr:colOff>0</xdr:colOff>
      <xdr:row>175</xdr:row>
      <xdr:rowOff>0</xdr:rowOff>
    </xdr:from>
    <xdr:to>
      <xdr:col>1</xdr:col>
      <xdr:colOff>76200</xdr:colOff>
      <xdr:row>176</xdr:row>
      <xdr:rowOff>19050</xdr:rowOff>
    </xdr:to>
    <xdr:sp macro="" textlink="">
      <xdr:nvSpPr>
        <xdr:cNvPr id="377982" name="Text Box 1160"/>
        <xdr:cNvSpPr txBox="1">
          <a:spLocks noChangeArrowheads="1"/>
        </xdr:cNvSpPr>
      </xdr:nvSpPr>
      <xdr:spPr bwMode="auto">
        <a:xfrm>
          <a:off x="1152525" y="33909000"/>
          <a:ext cx="76200" cy="209550"/>
        </a:xfrm>
        <a:prstGeom prst="rect">
          <a:avLst/>
        </a:prstGeom>
        <a:noFill/>
        <a:ln w="9525">
          <a:noFill/>
          <a:miter lim="800000"/>
          <a:headEnd/>
          <a:tailEnd/>
        </a:ln>
      </xdr:spPr>
    </xdr:sp>
    <xdr:clientData/>
  </xdr:twoCellAnchor>
  <xdr:twoCellAnchor editAs="oneCell">
    <xdr:from>
      <xdr:col>1</xdr:col>
      <xdr:colOff>0</xdr:colOff>
      <xdr:row>175</xdr:row>
      <xdr:rowOff>0</xdr:rowOff>
    </xdr:from>
    <xdr:to>
      <xdr:col>1</xdr:col>
      <xdr:colOff>76200</xdr:colOff>
      <xdr:row>176</xdr:row>
      <xdr:rowOff>19050</xdr:rowOff>
    </xdr:to>
    <xdr:sp macro="" textlink="">
      <xdr:nvSpPr>
        <xdr:cNvPr id="377983" name="Text Box 1161"/>
        <xdr:cNvSpPr txBox="1">
          <a:spLocks noChangeArrowheads="1"/>
        </xdr:cNvSpPr>
      </xdr:nvSpPr>
      <xdr:spPr bwMode="auto">
        <a:xfrm>
          <a:off x="1152525" y="33909000"/>
          <a:ext cx="76200" cy="209550"/>
        </a:xfrm>
        <a:prstGeom prst="rect">
          <a:avLst/>
        </a:prstGeom>
        <a:noFill/>
        <a:ln w="9525">
          <a:noFill/>
          <a:miter lim="800000"/>
          <a:headEnd/>
          <a:tailEnd/>
        </a:ln>
      </xdr:spPr>
    </xdr:sp>
    <xdr:clientData/>
  </xdr:twoCellAnchor>
  <xdr:twoCellAnchor editAs="oneCell">
    <xdr:from>
      <xdr:col>1</xdr:col>
      <xdr:colOff>0</xdr:colOff>
      <xdr:row>175</xdr:row>
      <xdr:rowOff>0</xdr:rowOff>
    </xdr:from>
    <xdr:to>
      <xdr:col>1</xdr:col>
      <xdr:colOff>76200</xdr:colOff>
      <xdr:row>176</xdr:row>
      <xdr:rowOff>19050</xdr:rowOff>
    </xdr:to>
    <xdr:sp macro="" textlink="">
      <xdr:nvSpPr>
        <xdr:cNvPr id="377984" name="Text Box 1162"/>
        <xdr:cNvSpPr txBox="1">
          <a:spLocks noChangeArrowheads="1"/>
        </xdr:cNvSpPr>
      </xdr:nvSpPr>
      <xdr:spPr bwMode="auto">
        <a:xfrm>
          <a:off x="1152525" y="33909000"/>
          <a:ext cx="76200" cy="209550"/>
        </a:xfrm>
        <a:prstGeom prst="rect">
          <a:avLst/>
        </a:prstGeom>
        <a:noFill/>
        <a:ln w="9525">
          <a:noFill/>
          <a:miter lim="800000"/>
          <a:headEnd/>
          <a:tailEnd/>
        </a:ln>
      </xdr:spPr>
    </xdr:sp>
    <xdr:clientData/>
  </xdr:twoCellAnchor>
  <xdr:twoCellAnchor editAs="oneCell">
    <xdr:from>
      <xdr:col>1</xdr:col>
      <xdr:colOff>0</xdr:colOff>
      <xdr:row>176</xdr:row>
      <xdr:rowOff>0</xdr:rowOff>
    </xdr:from>
    <xdr:to>
      <xdr:col>1</xdr:col>
      <xdr:colOff>76200</xdr:colOff>
      <xdr:row>177</xdr:row>
      <xdr:rowOff>19050</xdr:rowOff>
    </xdr:to>
    <xdr:sp macro="" textlink="">
      <xdr:nvSpPr>
        <xdr:cNvPr id="377985" name="Text Box 1163"/>
        <xdr:cNvSpPr txBox="1">
          <a:spLocks noChangeArrowheads="1"/>
        </xdr:cNvSpPr>
      </xdr:nvSpPr>
      <xdr:spPr bwMode="auto">
        <a:xfrm>
          <a:off x="1152525" y="34099500"/>
          <a:ext cx="76200" cy="209550"/>
        </a:xfrm>
        <a:prstGeom prst="rect">
          <a:avLst/>
        </a:prstGeom>
        <a:noFill/>
        <a:ln w="9525">
          <a:noFill/>
          <a:miter lim="800000"/>
          <a:headEnd/>
          <a:tailEnd/>
        </a:ln>
      </xdr:spPr>
    </xdr:sp>
    <xdr:clientData/>
  </xdr:twoCellAnchor>
  <xdr:twoCellAnchor editAs="oneCell">
    <xdr:from>
      <xdr:col>1</xdr:col>
      <xdr:colOff>0</xdr:colOff>
      <xdr:row>176</xdr:row>
      <xdr:rowOff>0</xdr:rowOff>
    </xdr:from>
    <xdr:to>
      <xdr:col>1</xdr:col>
      <xdr:colOff>76200</xdr:colOff>
      <xdr:row>177</xdr:row>
      <xdr:rowOff>19050</xdr:rowOff>
    </xdr:to>
    <xdr:sp macro="" textlink="">
      <xdr:nvSpPr>
        <xdr:cNvPr id="377986" name="Text Box 1164"/>
        <xdr:cNvSpPr txBox="1">
          <a:spLocks noChangeArrowheads="1"/>
        </xdr:cNvSpPr>
      </xdr:nvSpPr>
      <xdr:spPr bwMode="auto">
        <a:xfrm>
          <a:off x="1152525" y="34099500"/>
          <a:ext cx="76200" cy="209550"/>
        </a:xfrm>
        <a:prstGeom prst="rect">
          <a:avLst/>
        </a:prstGeom>
        <a:noFill/>
        <a:ln w="9525">
          <a:noFill/>
          <a:miter lim="800000"/>
          <a:headEnd/>
          <a:tailEnd/>
        </a:ln>
      </xdr:spPr>
    </xdr:sp>
    <xdr:clientData/>
  </xdr:twoCellAnchor>
  <xdr:twoCellAnchor editAs="oneCell">
    <xdr:from>
      <xdr:col>1</xdr:col>
      <xdr:colOff>0</xdr:colOff>
      <xdr:row>176</xdr:row>
      <xdr:rowOff>0</xdr:rowOff>
    </xdr:from>
    <xdr:to>
      <xdr:col>1</xdr:col>
      <xdr:colOff>76200</xdr:colOff>
      <xdr:row>177</xdr:row>
      <xdr:rowOff>19050</xdr:rowOff>
    </xdr:to>
    <xdr:sp macro="" textlink="">
      <xdr:nvSpPr>
        <xdr:cNvPr id="377987" name="Text Box 1165"/>
        <xdr:cNvSpPr txBox="1">
          <a:spLocks noChangeArrowheads="1"/>
        </xdr:cNvSpPr>
      </xdr:nvSpPr>
      <xdr:spPr bwMode="auto">
        <a:xfrm>
          <a:off x="1152525" y="34099500"/>
          <a:ext cx="76200" cy="209550"/>
        </a:xfrm>
        <a:prstGeom prst="rect">
          <a:avLst/>
        </a:prstGeom>
        <a:noFill/>
        <a:ln w="9525">
          <a:noFill/>
          <a:miter lim="800000"/>
          <a:headEnd/>
          <a:tailEnd/>
        </a:ln>
      </xdr:spPr>
    </xdr:sp>
    <xdr:clientData/>
  </xdr:twoCellAnchor>
  <xdr:twoCellAnchor editAs="oneCell">
    <xdr:from>
      <xdr:col>1</xdr:col>
      <xdr:colOff>0</xdr:colOff>
      <xdr:row>176</xdr:row>
      <xdr:rowOff>0</xdr:rowOff>
    </xdr:from>
    <xdr:to>
      <xdr:col>1</xdr:col>
      <xdr:colOff>76200</xdr:colOff>
      <xdr:row>177</xdr:row>
      <xdr:rowOff>19050</xdr:rowOff>
    </xdr:to>
    <xdr:sp macro="" textlink="">
      <xdr:nvSpPr>
        <xdr:cNvPr id="377988" name="Text Box 1166"/>
        <xdr:cNvSpPr txBox="1">
          <a:spLocks noChangeArrowheads="1"/>
        </xdr:cNvSpPr>
      </xdr:nvSpPr>
      <xdr:spPr bwMode="auto">
        <a:xfrm>
          <a:off x="1152525" y="34099500"/>
          <a:ext cx="76200" cy="209550"/>
        </a:xfrm>
        <a:prstGeom prst="rect">
          <a:avLst/>
        </a:prstGeom>
        <a:noFill/>
        <a:ln w="9525">
          <a:noFill/>
          <a:miter lim="800000"/>
          <a:headEnd/>
          <a:tailEnd/>
        </a:ln>
      </xdr:spPr>
    </xdr:sp>
    <xdr:clientData/>
  </xdr:twoCellAnchor>
  <xdr:twoCellAnchor editAs="oneCell">
    <xdr:from>
      <xdr:col>1</xdr:col>
      <xdr:colOff>0</xdr:colOff>
      <xdr:row>177</xdr:row>
      <xdr:rowOff>0</xdr:rowOff>
    </xdr:from>
    <xdr:to>
      <xdr:col>1</xdr:col>
      <xdr:colOff>76200</xdr:colOff>
      <xdr:row>178</xdr:row>
      <xdr:rowOff>19050</xdr:rowOff>
    </xdr:to>
    <xdr:sp macro="" textlink="">
      <xdr:nvSpPr>
        <xdr:cNvPr id="377989" name="Text Box 1167"/>
        <xdr:cNvSpPr txBox="1">
          <a:spLocks noChangeArrowheads="1"/>
        </xdr:cNvSpPr>
      </xdr:nvSpPr>
      <xdr:spPr bwMode="auto">
        <a:xfrm>
          <a:off x="1152525" y="34290000"/>
          <a:ext cx="76200" cy="209550"/>
        </a:xfrm>
        <a:prstGeom prst="rect">
          <a:avLst/>
        </a:prstGeom>
        <a:noFill/>
        <a:ln w="9525">
          <a:noFill/>
          <a:miter lim="800000"/>
          <a:headEnd/>
          <a:tailEnd/>
        </a:ln>
      </xdr:spPr>
    </xdr:sp>
    <xdr:clientData/>
  </xdr:twoCellAnchor>
  <xdr:twoCellAnchor editAs="oneCell">
    <xdr:from>
      <xdr:col>1</xdr:col>
      <xdr:colOff>0</xdr:colOff>
      <xdr:row>177</xdr:row>
      <xdr:rowOff>0</xdr:rowOff>
    </xdr:from>
    <xdr:to>
      <xdr:col>1</xdr:col>
      <xdr:colOff>76200</xdr:colOff>
      <xdr:row>178</xdr:row>
      <xdr:rowOff>19050</xdr:rowOff>
    </xdr:to>
    <xdr:sp macro="" textlink="">
      <xdr:nvSpPr>
        <xdr:cNvPr id="377990" name="Text Box 1168"/>
        <xdr:cNvSpPr txBox="1">
          <a:spLocks noChangeArrowheads="1"/>
        </xdr:cNvSpPr>
      </xdr:nvSpPr>
      <xdr:spPr bwMode="auto">
        <a:xfrm>
          <a:off x="1152525" y="34290000"/>
          <a:ext cx="76200" cy="209550"/>
        </a:xfrm>
        <a:prstGeom prst="rect">
          <a:avLst/>
        </a:prstGeom>
        <a:noFill/>
        <a:ln w="9525">
          <a:noFill/>
          <a:miter lim="800000"/>
          <a:headEnd/>
          <a:tailEnd/>
        </a:ln>
      </xdr:spPr>
    </xdr:sp>
    <xdr:clientData/>
  </xdr:twoCellAnchor>
  <xdr:twoCellAnchor editAs="oneCell">
    <xdr:from>
      <xdr:col>1</xdr:col>
      <xdr:colOff>0</xdr:colOff>
      <xdr:row>177</xdr:row>
      <xdr:rowOff>0</xdr:rowOff>
    </xdr:from>
    <xdr:to>
      <xdr:col>1</xdr:col>
      <xdr:colOff>76200</xdr:colOff>
      <xdr:row>178</xdr:row>
      <xdr:rowOff>19050</xdr:rowOff>
    </xdr:to>
    <xdr:sp macro="" textlink="">
      <xdr:nvSpPr>
        <xdr:cNvPr id="377991" name="Text Box 1169"/>
        <xdr:cNvSpPr txBox="1">
          <a:spLocks noChangeArrowheads="1"/>
        </xdr:cNvSpPr>
      </xdr:nvSpPr>
      <xdr:spPr bwMode="auto">
        <a:xfrm>
          <a:off x="1152525" y="34290000"/>
          <a:ext cx="76200" cy="209550"/>
        </a:xfrm>
        <a:prstGeom prst="rect">
          <a:avLst/>
        </a:prstGeom>
        <a:noFill/>
        <a:ln w="9525">
          <a:noFill/>
          <a:miter lim="800000"/>
          <a:headEnd/>
          <a:tailEnd/>
        </a:ln>
      </xdr:spPr>
    </xdr:sp>
    <xdr:clientData/>
  </xdr:twoCellAnchor>
  <xdr:twoCellAnchor editAs="oneCell">
    <xdr:from>
      <xdr:col>1</xdr:col>
      <xdr:colOff>0</xdr:colOff>
      <xdr:row>177</xdr:row>
      <xdr:rowOff>0</xdr:rowOff>
    </xdr:from>
    <xdr:to>
      <xdr:col>1</xdr:col>
      <xdr:colOff>76200</xdr:colOff>
      <xdr:row>178</xdr:row>
      <xdr:rowOff>19050</xdr:rowOff>
    </xdr:to>
    <xdr:sp macro="" textlink="">
      <xdr:nvSpPr>
        <xdr:cNvPr id="377992" name="Text Box 1170"/>
        <xdr:cNvSpPr txBox="1">
          <a:spLocks noChangeArrowheads="1"/>
        </xdr:cNvSpPr>
      </xdr:nvSpPr>
      <xdr:spPr bwMode="auto">
        <a:xfrm>
          <a:off x="1152525" y="34290000"/>
          <a:ext cx="76200" cy="209550"/>
        </a:xfrm>
        <a:prstGeom prst="rect">
          <a:avLst/>
        </a:prstGeom>
        <a:noFill/>
        <a:ln w="9525">
          <a:noFill/>
          <a:miter lim="800000"/>
          <a:headEnd/>
          <a:tailEnd/>
        </a:ln>
      </xdr:spPr>
    </xdr:sp>
    <xdr:clientData/>
  </xdr:twoCellAnchor>
  <xdr:twoCellAnchor editAs="oneCell">
    <xdr:from>
      <xdr:col>1</xdr:col>
      <xdr:colOff>0</xdr:colOff>
      <xdr:row>178</xdr:row>
      <xdr:rowOff>0</xdr:rowOff>
    </xdr:from>
    <xdr:to>
      <xdr:col>1</xdr:col>
      <xdr:colOff>76200</xdr:colOff>
      <xdr:row>179</xdr:row>
      <xdr:rowOff>19050</xdr:rowOff>
    </xdr:to>
    <xdr:sp macro="" textlink="">
      <xdr:nvSpPr>
        <xdr:cNvPr id="377993" name="Text Box 1171"/>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xdr:col>
      <xdr:colOff>0</xdr:colOff>
      <xdr:row>178</xdr:row>
      <xdr:rowOff>0</xdr:rowOff>
    </xdr:from>
    <xdr:to>
      <xdr:col>1</xdr:col>
      <xdr:colOff>76200</xdr:colOff>
      <xdr:row>179</xdr:row>
      <xdr:rowOff>19050</xdr:rowOff>
    </xdr:to>
    <xdr:sp macro="" textlink="">
      <xdr:nvSpPr>
        <xdr:cNvPr id="377994" name="Text Box 1172"/>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xdr:col>
      <xdr:colOff>0</xdr:colOff>
      <xdr:row>178</xdr:row>
      <xdr:rowOff>0</xdr:rowOff>
    </xdr:from>
    <xdr:to>
      <xdr:col>1</xdr:col>
      <xdr:colOff>76200</xdr:colOff>
      <xdr:row>179</xdr:row>
      <xdr:rowOff>19050</xdr:rowOff>
    </xdr:to>
    <xdr:sp macro="" textlink="">
      <xdr:nvSpPr>
        <xdr:cNvPr id="377995" name="Text Box 1173"/>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xdr:col>
      <xdr:colOff>0</xdr:colOff>
      <xdr:row>178</xdr:row>
      <xdr:rowOff>0</xdr:rowOff>
    </xdr:from>
    <xdr:to>
      <xdr:col>1</xdr:col>
      <xdr:colOff>76200</xdr:colOff>
      <xdr:row>179</xdr:row>
      <xdr:rowOff>19050</xdr:rowOff>
    </xdr:to>
    <xdr:sp macro="" textlink="">
      <xdr:nvSpPr>
        <xdr:cNvPr id="377996" name="Text Box 1174"/>
        <xdr:cNvSpPr txBox="1">
          <a:spLocks noChangeArrowheads="1"/>
        </xdr:cNvSpPr>
      </xdr:nvSpPr>
      <xdr:spPr bwMode="auto">
        <a:xfrm>
          <a:off x="1152525" y="344805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7997" name="Text Box 11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7998" name="Text Box 11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7999" name="Text Box 11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0" name="Text Box 11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1" name="Text Box 11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2" name="Text Box 11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3" name="Text Box 11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4" name="Text Box 11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5" name="Text Box 11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6" name="Text Box 11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7" name="Text Box 11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8" name="Text Box 11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09" name="Text Box 11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0" name="Text Box 11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1" name="Text Box 11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2" name="Text Box 11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3" name="Text Box 11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4" name="Text Box 11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5" name="Text Box 11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6" name="Text Box 11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7" name="Text Box 11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8" name="Text Box 11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19" name="Text Box 11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0" name="Text Box 11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1" name="Text Box 11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2" name="Text Box 12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3" name="Text Box 12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4" name="Text Box 12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5" name="Text Box 12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6" name="Text Box 12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7" name="Text Box 12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8" name="Text Box 12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29" name="Text Box 12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0" name="Text Box 12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1" name="Text Box 12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2" name="Text Box 12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3" name="Text Box 12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4" name="Text Box 12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5" name="Text Box 12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6" name="Text Box 12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7" name="Text Box 12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8" name="Text Box 12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39" name="Text Box 12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0" name="Text Box 12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1" name="Text Box 12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2" name="Text Box 12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3" name="Text Box 12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4" name="Text Box 12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5" name="Text Box 12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6" name="Text Box 12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7" name="Text Box 12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8" name="Text Box 12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49" name="Text Box 12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0" name="Text Box 12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1" name="Text Box 12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2" name="Text Box 12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3" name="Text Box 12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4" name="Text Box 12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5" name="Text Box 12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6" name="Text Box 12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7" name="Text Box 12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8" name="Text Box 12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59" name="Text Box 12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0" name="Text Box 12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1" name="Text Box 12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2" name="Text Box 12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3" name="Text Box 12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4" name="Text Box 12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5" name="Text Box 12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6" name="Text Box 12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7" name="Text Box 12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8" name="Text Box 12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69" name="Text Box 12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0" name="Text Box 12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1" name="Text Box 12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2" name="Text Box 12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3" name="Text Box 12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4" name="Text Box 12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5" name="Text Box 12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6" name="Text Box 12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7" name="Text Box 12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8" name="Text Box 12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79" name="Text Box 12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0" name="Text Box 12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1" name="Text Box 12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2" name="Text Box 12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3" name="Text Box 12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4" name="Text Box 12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5" name="Text Box 12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6" name="Text Box 12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7" name="Text Box 12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8" name="Text Box 12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89" name="Text Box 12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0" name="Text Box 12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1" name="Text Box 12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2" name="Text Box 12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3" name="Text Box 12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4" name="Text Box 12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5" name="Text Box 12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6" name="Text Box 12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7" name="Text Box 12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8" name="Text Box 12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099" name="Text Box 12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0" name="Text Box 12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1" name="Text Box 12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2" name="Text Box 12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3" name="Text Box 12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4" name="Text Box 12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5" name="Text Box 12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6" name="Text Box 12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7" name="Text Box 12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8" name="Text Box 12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09" name="Text Box 12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0" name="Text Box 12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1" name="Text Box 12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2" name="Text Box 12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3" name="Text Box 12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4" name="Text Box 12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5" name="Text Box 12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6" name="Text Box 12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7" name="Text Box 12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8" name="Text Box 12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19" name="Text Box 12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0" name="Text Box 12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1" name="Text Box 12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2" name="Text Box 13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3" name="Text Box 13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4" name="Text Box 13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5" name="Text Box 13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6" name="Text Box 13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7" name="Text Box 13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8" name="Text Box 13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29" name="Text Box 13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0" name="Text Box 13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1" name="Text Box 13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2" name="Text Box 13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3" name="Text Box 13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4" name="Text Box 13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5" name="Text Box 13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6" name="Text Box 13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7" name="Text Box 13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8" name="Text Box 13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39" name="Text Box 13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0" name="Text Box 13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1" name="Text Box 13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2" name="Text Box 13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3" name="Text Box 13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4" name="Text Box 13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5" name="Text Box 13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6" name="Text Box 13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7" name="Text Box 13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8" name="Text Box 13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49" name="Text Box 13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0" name="Text Box 13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1" name="Text Box 13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2" name="Text Box 13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3" name="Text Box 13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4" name="Text Box 13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5" name="Text Box 13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6" name="Text Box 13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7" name="Text Box 13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8" name="Text Box 13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59" name="Text Box 13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0" name="Text Box 13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1" name="Text Box 13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2" name="Text Box 13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3" name="Text Box 13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4" name="Text Box 13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5" name="Text Box 13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6" name="Text Box 13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7" name="Text Box 13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8" name="Text Box 13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69" name="Text Box 13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0" name="Text Box 13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1" name="Text Box 13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2" name="Text Box 13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3" name="Text Box 13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4" name="Text Box 13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5" name="Text Box 13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6" name="Text Box 13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7" name="Text Box 13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8" name="Text Box 13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79" name="Text Box 13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0" name="Text Box 13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1" name="Text Box 13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2" name="Text Box 13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3" name="Text Box 13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4" name="Text Box 13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5" name="Text Box 13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6" name="Text Box 13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7" name="Text Box 13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8" name="Text Box 13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89" name="Text Box 13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0" name="Text Box 13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1" name="Text Box 13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2" name="Text Box 13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3" name="Text Box 13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4" name="Text Box 13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5" name="Text Box 13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6" name="Text Box 13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7" name="Text Box 13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8" name="Text Box 13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199" name="Text Box 13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0" name="Text Box 13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1" name="Text Box 13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2" name="Text Box 13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3" name="Text Box 13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4" name="Text Box 13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5" name="Text Box 13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6" name="Text Box 13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7" name="Text Box 13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8" name="Text Box 13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09" name="Text Box 13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0" name="Text Box 13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1" name="Text Box 13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2" name="Text Box 13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3" name="Text Box 13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4" name="Text Box 13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5" name="Text Box 13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6" name="Text Box 13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7" name="Text Box 13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8" name="Text Box 13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19" name="Text Box 13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0" name="Text Box 13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1" name="Text Box 13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2" name="Text Box 14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3" name="Text Box 14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4" name="Text Box 14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5" name="Text Box 14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6" name="Text Box 14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7" name="Text Box 14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8" name="Text Box 14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29" name="Text Box 14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0" name="Text Box 14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1" name="Text Box 14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2" name="Text Box 14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3" name="Text Box 14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4" name="Text Box 14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5" name="Text Box 14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6" name="Text Box 14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7" name="Text Box 14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8" name="Text Box 14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39" name="Text Box 14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0" name="Text Box 14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1" name="Text Box 14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2" name="Text Box 14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3" name="Text Box 14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4" name="Text Box 14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5" name="Text Box 14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6" name="Text Box 14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7" name="Text Box 14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8" name="Text Box 14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49" name="Text Box 14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0" name="Text Box 14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1" name="Text Box 14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2" name="Text Box 14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3" name="Text Box 14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4" name="Text Box 14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5" name="Text Box 14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6" name="Text Box 14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7" name="Text Box 14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8" name="Text Box 14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59" name="Text Box 14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0" name="Text Box 14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1" name="Text Box 14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2" name="Text Box 14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3" name="Text Box 14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4" name="Text Box 14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5" name="Text Box 14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6" name="Text Box 14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7" name="Text Box 14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8" name="Text Box 14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69" name="Text Box 14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0" name="Text Box 14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1" name="Text Box 14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2" name="Text Box 14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3" name="Text Box 14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4" name="Text Box 14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5" name="Text Box 14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6" name="Text Box 14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7" name="Text Box 14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8" name="Text Box 14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79" name="Text Box 14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0" name="Text Box 14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1" name="Text Box 14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2" name="Text Box 14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3" name="Text Box 14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4" name="Text Box 14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5" name="Text Box 14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6" name="Text Box 14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7" name="Text Box 14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8" name="Text Box 14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89" name="Text Box 14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0" name="Text Box 14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1" name="Text Box 14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2" name="Text Box 14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3" name="Text Box 14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4" name="Text Box 14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5" name="Text Box 14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6" name="Text Box 14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7" name="Text Box 14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8" name="Text Box 14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299" name="Text Box 14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0" name="Text Box 14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1" name="Text Box 14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2" name="Text Box 14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3" name="Text Box 14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4" name="Text Box 14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5" name="Text Box 14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6" name="Text Box 14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7" name="Text Box 14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8" name="Text Box 14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09" name="Text Box 14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0" name="Text Box 14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1" name="Text Box 14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2" name="Text Box 14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3" name="Text Box 14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4" name="Text Box 14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5" name="Text Box 14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6" name="Text Box 14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7" name="Text Box 14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8" name="Text Box 14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19" name="Text Box 14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0" name="Text Box 14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1" name="Text Box 14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2" name="Text Box 15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3" name="Text Box 15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4" name="Text Box 15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5" name="Text Box 15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6" name="Text Box 15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7" name="Text Box 15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8" name="Text Box 15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29" name="Text Box 15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0" name="Text Box 15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1" name="Text Box 15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2" name="Text Box 15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3" name="Text Box 15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4" name="Text Box 15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5" name="Text Box 15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6" name="Text Box 15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7" name="Text Box 15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8" name="Text Box 15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39" name="Text Box 15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0" name="Text Box 15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1" name="Text Box 15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2" name="Text Box 15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3" name="Text Box 15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4" name="Text Box 15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5" name="Text Box 15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6" name="Text Box 15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7" name="Text Box 15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8" name="Text Box 15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49" name="Text Box 15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0" name="Text Box 15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1" name="Text Box 15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2" name="Text Box 15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3" name="Text Box 15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4" name="Text Box 15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5" name="Text Box 15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6" name="Text Box 15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7" name="Text Box 15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8" name="Text Box 15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59" name="Text Box 15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0" name="Text Box 15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1" name="Text Box 15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2" name="Text Box 15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3" name="Text Box 15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4" name="Text Box 15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5" name="Text Box 15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6" name="Text Box 15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7" name="Text Box 15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8" name="Text Box 15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69" name="Text Box 15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0" name="Text Box 15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1" name="Text Box 15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2" name="Text Box 15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3" name="Text Box 15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4" name="Text Box 15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5" name="Text Box 15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6" name="Text Box 15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7" name="Text Box 15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8" name="Text Box 15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79" name="Text Box 15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0" name="Text Box 15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1" name="Text Box 15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2" name="Text Box 15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3" name="Text Box 15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4" name="Text Box 15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5" name="Text Box 15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6" name="Text Box 15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7" name="Text Box 15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8" name="Text Box 15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89" name="Text Box 15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0" name="Text Box 15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1" name="Text Box 15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2" name="Text Box 15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3" name="Text Box 15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4" name="Text Box 15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5" name="Text Box 15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6" name="Text Box 15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7" name="Text Box 15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8" name="Text Box 15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399" name="Text Box 15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0" name="Text Box 15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1" name="Text Box 15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2" name="Text Box 15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3" name="Text Box 15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4" name="Text Box 15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5" name="Text Box 15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6" name="Text Box 15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7" name="Text Box 15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8" name="Text Box 15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09" name="Text Box 15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0" name="Text Box 15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1" name="Text Box 15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2" name="Text Box 15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3" name="Text Box 15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4" name="Text Box 15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5" name="Text Box 15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6" name="Text Box 15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7" name="Text Box 15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8" name="Text Box 15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19" name="Text Box 15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0" name="Text Box 15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1" name="Text Box 15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2" name="Text Box 16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3" name="Text Box 16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4" name="Text Box 16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5" name="Text Box 16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6" name="Text Box 16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7" name="Text Box 16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8" name="Text Box 16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29" name="Text Box 16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0" name="Text Box 16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1" name="Text Box 16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2" name="Text Box 16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3" name="Text Box 16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4" name="Text Box 16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5" name="Text Box 16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6" name="Text Box 16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7" name="Text Box 16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8" name="Text Box 16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39" name="Text Box 16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0" name="Text Box 16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1" name="Text Box 16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2" name="Text Box 16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3" name="Text Box 16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4" name="Text Box 16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5" name="Text Box 16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6" name="Text Box 16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7" name="Text Box 16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8" name="Text Box 16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49" name="Text Box 16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0" name="Text Box 16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1" name="Text Box 16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2" name="Text Box 16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3" name="Text Box 16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4" name="Text Box 16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5" name="Text Box 16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6" name="Text Box 16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7" name="Text Box 16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8" name="Text Box 16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59" name="Text Box 16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0" name="Text Box 16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1" name="Text Box 16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2" name="Text Box 16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3" name="Text Box 16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4" name="Text Box 16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5" name="Text Box 16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6" name="Text Box 16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7" name="Text Box 16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8" name="Text Box 16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69" name="Text Box 16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0" name="Text Box 16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1" name="Text Box 16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2" name="Text Box 16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3" name="Text Box 16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4" name="Text Box 16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5" name="Text Box 16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6" name="Text Box 16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7" name="Text Box 16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8" name="Text Box 16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79" name="Text Box 16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0" name="Text Box 16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1" name="Text Box 16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2" name="Text Box 16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3" name="Text Box 16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4" name="Text Box 16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5" name="Text Box 16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6" name="Text Box 16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7" name="Text Box 16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8" name="Text Box 16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89" name="Text Box 16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0" name="Text Box 16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1" name="Text Box 16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2" name="Text Box 16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3" name="Text Box 16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4" name="Text Box 16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5" name="Text Box 16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6" name="Text Box 16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7" name="Text Box 16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8" name="Text Box 16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499" name="Text Box 16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0" name="Text Box 16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1" name="Text Box 16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2" name="Text Box 16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3" name="Text Box 16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4" name="Text Box 16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5" name="Text Box 16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6" name="Text Box 16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7" name="Text Box 16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8" name="Text Box 16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09" name="Text Box 16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0" name="Text Box 16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1" name="Text Box 16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2" name="Text Box 16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3" name="Text Box 16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4" name="Text Box 16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5" name="Text Box 16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6" name="Text Box 16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7" name="Text Box 16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8" name="Text Box 16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19" name="Text Box 16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0" name="Text Box 16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1" name="Text Box 16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2" name="Text Box 17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3" name="Text Box 17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4" name="Text Box 17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5" name="Text Box 17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6" name="Text Box 17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7" name="Text Box 17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8" name="Text Box 17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29" name="Text Box 17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0" name="Text Box 17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1" name="Text Box 17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2" name="Text Box 17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3" name="Text Box 17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4" name="Text Box 17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5" name="Text Box 17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6" name="Text Box 17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7" name="Text Box 17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8" name="Text Box 17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39" name="Text Box 17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0" name="Text Box 17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1" name="Text Box 17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2" name="Text Box 17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3" name="Text Box 17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4" name="Text Box 17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5" name="Text Box 17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6" name="Text Box 17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7" name="Text Box 17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8" name="Text Box 17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49" name="Text Box 17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0" name="Text Box 17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1" name="Text Box 17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2" name="Text Box 17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3" name="Text Box 17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4" name="Text Box 17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5" name="Text Box 17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6" name="Text Box 17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7" name="Text Box 17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8" name="Text Box 17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59" name="Text Box 17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0" name="Text Box 17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1" name="Text Box 17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2" name="Text Box 17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3" name="Text Box 17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4" name="Text Box 17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5" name="Text Box 17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6" name="Text Box 17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7" name="Text Box 17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8" name="Text Box 17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69" name="Text Box 17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0" name="Text Box 17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1" name="Text Box 17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2" name="Text Box 17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3" name="Text Box 17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4" name="Text Box 17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5" name="Text Box 17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6" name="Text Box 17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7" name="Text Box 17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8" name="Text Box 17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79" name="Text Box 17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0" name="Text Box 17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1" name="Text Box 17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2" name="Text Box 17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3" name="Text Box 17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4" name="Text Box 17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5" name="Text Box 17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6" name="Text Box 17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7" name="Text Box 17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8" name="Text Box 17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89" name="Text Box 17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0" name="Text Box 17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1" name="Text Box 17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2" name="Text Box 17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3" name="Text Box 17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4" name="Text Box 17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5" name="Text Box 17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6" name="Text Box 17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7" name="Text Box 17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8" name="Text Box 17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599" name="Text Box 17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0" name="Text Box 17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1" name="Text Box 17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2" name="Text Box 17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3" name="Text Box 17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4" name="Text Box 17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5" name="Text Box 17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6" name="Text Box 17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7" name="Text Box 17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8" name="Text Box 17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09" name="Text Box 17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0" name="Text Box 17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1" name="Text Box 17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2" name="Text Box 17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3" name="Text Box 17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4" name="Text Box 17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5" name="Text Box 17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6" name="Text Box 17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7" name="Text Box 17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8" name="Text Box 17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19" name="Text Box 17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0" name="Text Box 17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1" name="Text Box 17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2" name="Text Box 18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3" name="Text Box 18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4" name="Text Box 18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5" name="Text Box 18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6" name="Text Box 18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7" name="Text Box 18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8" name="Text Box 18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29" name="Text Box 18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0" name="Text Box 18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1" name="Text Box 18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2" name="Text Box 18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3" name="Text Box 18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4" name="Text Box 18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5" name="Text Box 18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6" name="Text Box 18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7" name="Text Box 18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8" name="Text Box 18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39" name="Text Box 18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0" name="Text Box 18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1" name="Text Box 18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2" name="Text Box 18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3" name="Text Box 18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4" name="Text Box 18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5" name="Text Box 18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6" name="Text Box 18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7" name="Text Box 18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8" name="Text Box 18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49" name="Text Box 18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0" name="Text Box 18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1" name="Text Box 18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2" name="Text Box 18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3" name="Text Box 18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4" name="Text Box 18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5" name="Text Box 18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6" name="Text Box 18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7" name="Text Box 18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8" name="Text Box 18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59" name="Text Box 18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0" name="Text Box 18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1" name="Text Box 18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2" name="Text Box 18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3" name="Text Box 18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4" name="Text Box 18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5" name="Text Box 18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6" name="Text Box 18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7" name="Text Box 18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8" name="Text Box 18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69" name="Text Box 18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0" name="Text Box 18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1" name="Text Box 18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2" name="Text Box 18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3" name="Text Box 18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4" name="Text Box 18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5" name="Text Box 18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6" name="Text Box 18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7" name="Text Box 18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8" name="Text Box 18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79" name="Text Box 18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0" name="Text Box 18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1" name="Text Box 18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2" name="Text Box 18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3" name="Text Box 18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4" name="Text Box 18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5" name="Text Box 18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6" name="Text Box 18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7" name="Text Box 18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8" name="Text Box 18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89" name="Text Box 18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0" name="Text Box 18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1" name="Text Box 18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2" name="Text Box 18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3" name="Text Box 18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4" name="Text Box 18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5" name="Text Box 18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6" name="Text Box 18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7" name="Text Box 18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8" name="Text Box 18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699" name="Text Box 18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0" name="Text Box 18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1" name="Text Box 18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2" name="Text Box 18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3" name="Text Box 18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4" name="Text Box 18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5" name="Text Box 18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6" name="Text Box 18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7" name="Text Box 18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8" name="Text Box 18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09" name="Text Box 18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0" name="Text Box 18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1" name="Text Box 18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2" name="Text Box 18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3" name="Text Box 18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4" name="Text Box 18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5" name="Text Box 18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6" name="Text Box 18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7" name="Text Box 18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8" name="Text Box 18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19" name="Text Box 18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0" name="Text Box 18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1" name="Text Box 18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2" name="Text Box 19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3" name="Text Box 19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4" name="Text Box 19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5" name="Text Box 19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6" name="Text Box 19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7" name="Text Box 19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8" name="Text Box 19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29" name="Text Box 19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0" name="Text Box 19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1" name="Text Box 19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2" name="Text Box 19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3" name="Text Box 19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4" name="Text Box 19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5" name="Text Box 19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6" name="Text Box 19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7" name="Text Box 19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8" name="Text Box 19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39" name="Text Box 19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0" name="Text Box 19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1" name="Text Box 19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2" name="Text Box 19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3" name="Text Box 19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4" name="Text Box 19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5" name="Text Box 19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6" name="Text Box 19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7" name="Text Box 19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8" name="Text Box 19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49" name="Text Box 19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0" name="Text Box 19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1" name="Text Box 19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2" name="Text Box 19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3" name="Text Box 19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4" name="Text Box 19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5" name="Text Box 19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6" name="Text Box 19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7" name="Text Box 19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8" name="Text Box 19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59" name="Text Box 19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0" name="Text Box 19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1" name="Text Box 19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2" name="Text Box 19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3" name="Text Box 19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4" name="Text Box 19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5" name="Text Box 19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6" name="Text Box 19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7" name="Text Box 19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8" name="Text Box 19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69" name="Text Box 19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0" name="Text Box 19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1" name="Text Box 19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2" name="Text Box 19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3" name="Text Box 19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4" name="Text Box 19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5" name="Text Box 19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6" name="Text Box 19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7" name="Text Box 19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8" name="Text Box 19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79" name="Text Box 19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0" name="Text Box 19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1" name="Text Box 19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2" name="Text Box 19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3" name="Text Box 19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4" name="Text Box 19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5" name="Text Box 19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6" name="Text Box 19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7" name="Text Box 19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8" name="Text Box 19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89" name="Text Box 19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0" name="Text Box 19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1" name="Text Box 19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2" name="Text Box 19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3" name="Text Box 19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4" name="Text Box 19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5" name="Text Box 19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6" name="Text Box 19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7" name="Text Box 19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8" name="Text Box 19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799" name="Text Box 19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0" name="Text Box 19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1" name="Text Box 19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2" name="Text Box 19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3" name="Text Box 19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4" name="Text Box 19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5" name="Text Box 19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6" name="Text Box 19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7" name="Text Box 19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8" name="Text Box 19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09" name="Text Box 19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0" name="Text Box 19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1" name="Text Box 19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2" name="Text Box 19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3" name="Text Box 19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4" name="Text Box 19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5" name="Text Box 19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6" name="Text Box 19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7" name="Text Box 19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8" name="Text Box 19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19" name="Text Box 19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0" name="Text Box 19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1" name="Text Box 19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2" name="Text Box 20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3" name="Text Box 20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4" name="Text Box 20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5" name="Text Box 20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6" name="Text Box 20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7" name="Text Box 20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8" name="Text Box 20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29" name="Text Box 20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0" name="Text Box 20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1" name="Text Box 20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2" name="Text Box 20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3" name="Text Box 20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4" name="Text Box 20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5" name="Text Box 20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6" name="Text Box 20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7" name="Text Box 20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8" name="Text Box 20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39" name="Text Box 20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0" name="Text Box 20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1" name="Text Box 20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2" name="Text Box 20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3" name="Text Box 20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4" name="Text Box 20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5" name="Text Box 20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6" name="Text Box 20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7" name="Text Box 20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8" name="Text Box 20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49" name="Text Box 20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0" name="Text Box 20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1" name="Text Box 20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2" name="Text Box 20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3" name="Text Box 20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4" name="Text Box 20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5" name="Text Box 20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6" name="Text Box 20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7" name="Text Box 20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8" name="Text Box 20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59" name="Text Box 20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0" name="Text Box 20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1" name="Text Box 20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2" name="Text Box 20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3" name="Text Box 20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4" name="Text Box 20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5" name="Text Box 20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6" name="Text Box 20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7" name="Text Box 20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8" name="Text Box 20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69" name="Text Box 20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0" name="Text Box 20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1" name="Text Box 20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2" name="Text Box 20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3" name="Text Box 20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4" name="Text Box 20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5" name="Text Box 20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6" name="Text Box 20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7" name="Text Box 20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8" name="Text Box 20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79" name="Text Box 20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0" name="Text Box 20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1" name="Text Box 20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2" name="Text Box 20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3" name="Text Box 20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4" name="Text Box 20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5" name="Text Box 20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6" name="Text Box 20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7" name="Text Box 20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8" name="Text Box 20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89" name="Text Box 20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0" name="Text Box 20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1" name="Text Box 20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2" name="Text Box 20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3" name="Text Box 20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4" name="Text Box 20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5" name="Text Box 20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6" name="Text Box 20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7" name="Text Box 20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8" name="Text Box 20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899" name="Text Box 20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0" name="Text Box 20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1" name="Text Box 20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2" name="Text Box 20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3" name="Text Box 20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4" name="Text Box 20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5" name="Text Box 20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6" name="Text Box 20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7" name="Text Box 20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8" name="Text Box 20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09" name="Text Box 20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0" name="Text Box 20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1" name="Text Box 20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2" name="Text Box 20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3" name="Text Box 20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4" name="Text Box 20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5" name="Text Box 20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6" name="Text Box 20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7" name="Text Box 20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8" name="Text Box 20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19" name="Text Box 20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0" name="Text Box 20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1" name="Text Box 20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2" name="Text Box 21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3" name="Text Box 21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4" name="Text Box 21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5" name="Text Box 21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6" name="Text Box 21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7" name="Text Box 21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8" name="Text Box 21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29" name="Text Box 21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0" name="Text Box 21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1" name="Text Box 21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2" name="Text Box 21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3" name="Text Box 21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4" name="Text Box 21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5" name="Text Box 21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6" name="Text Box 21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7" name="Text Box 21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8" name="Text Box 21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39" name="Text Box 21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0" name="Text Box 21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1" name="Text Box 21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2" name="Text Box 21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3" name="Text Box 21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4" name="Text Box 21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5" name="Text Box 21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6" name="Text Box 21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7" name="Text Box 21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8" name="Text Box 21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49" name="Text Box 21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0" name="Text Box 21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1" name="Text Box 21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2" name="Text Box 21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3" name="Text Box 21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4" name="Text Box 21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5" name="Text Box 21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6" name="Text Box 21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7" name="Text Box 21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8" name="Text Box 21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59" name="Text Box 21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0" name="Text Box 21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1" name="Text Box 21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2" name="Text Box 21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3" name="Text Box 21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4" name="Text Box 21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5" name="Text Box 21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6" name="Text Box 21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7" name="Text Box 21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8" name="Text Box 21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69" name="Text Box 21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0" name="Text Box 21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1" name="Text Box 21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2" name="Text Box 21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3" name="Text Box 21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4" name="Text Box 21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5" name="Text Box 21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6" name="Text Box 21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7" name="Text Box 21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8" name="Text Box 21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79" name="Text Box 21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0" name="Text Box 21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1" name="Text Box 21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2" name="Text Box 21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3" name="Text Box 21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4" name="Text Box 21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5" name="Text Box 21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6" name="Text Box 21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7" name="Text Box 21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8" name="Text Box 21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89" name="Text Box 21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0" name="Text Box 21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1" name="Text Box 21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2" name="Text Box 21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3" name="Text Box 21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4" name="Text Box 21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5" name="Text Box 21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6" name="Text Box 21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7" name="Text Box 21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8" name="Text Box 21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8999" name="Text Box 21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0" name="Text Box 21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1" name="Text Box 21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2" name="Text Box 21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3" name="Text Box 21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4" name="Text Box 21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5" name="Text Box 21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6" name="Text Box 21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7" name="Text Box 21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8" name="Text Box 21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09" name="Text Box 21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0" name="Text Box 21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1" name="Text Box 21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2" name="Text Box 21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3" name="Text Box 21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4" name="Text Box 21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5" name="Text Box 21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6" name="Text Box 21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7" name="Text Box 21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8" name="Text Box 21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19" name="Text Box 21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0" name="Text Box 21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1" name="Text Box 21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2" name="Text Box 22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3" name="Text Box 22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4" name="Text Box 22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5" name="Text Box 22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6" name="Text Box 22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7" name="Text Box 22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8" name="Text Box 22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29" name="Text Box 22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0" name="Text Box 22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1" name="Text Box 22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2" name="Text Box 22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3" name="Text Box 22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4" name="Text Box 22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5" name="Text Box 22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6" name="Text Box 22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7" name="Text Box 22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8" name="Text Box 22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39" name="Text Box 22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0" name="Text Box 22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1" name="Text Box 22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2" name="Text Box 22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3" name="Text Box 22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4" name="Text Box 22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5" name="Text Box 22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6" name="Text Box 22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7" name="Text Box 22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8" name="Text Box 22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49" name="Text Box 22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0" name="Text Box 22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1" name="Text Box 22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2" name="Text Box 22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3" name="Text Box 22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4" name="Text Box 22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5" name="Text Box 22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6" name="Text Box 22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7" name="Text Box 22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8" name="Text Box 22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59" name="Text Box 22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0" name="Text Box 22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1" name="Text Box 22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2" name="Text Box 22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3" name="Text Box 22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4" name="Text Box 22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5" name="Text Box 22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6" name="Text Box 22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7" name="Text Box 22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8" name="Text Box 22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69" name="Text Box 22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0" name="Text Box 22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1" name="Text Box 22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2" name="Text Box 22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3" name="Text Box 22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4" name="Text Box 22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5" name="Text Box 22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6" name="Text Box 22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7" name="Text Box 22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8" name="Text Box 22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79" name="Text Box 22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0" name="Text Box 22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1" name="Text Box 22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2" name="Text Box 22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3" name="Text Box 22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4" name="Text Box 22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5" name="Text Box 22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6" name="Text Box 22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7" name="Text Box 22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8" name="Text Box 22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89" name="Text Box 22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0" name="Text Box 22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1" name="Text Box 22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2" name="Text Box 22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3" name="Text Box 22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4" name="Text Box 22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5" name="Text Box 22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6" name="Text Box 22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7" name="Text Box 22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8" name="Text Box 22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099" name="Text Box 22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0" name="Text Box 22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1" name="Text Box 22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2" name="Text Box 22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3" name="Text Box 22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4" name="Text Box 22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5" name="Text Box 22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6" name="Text Box 22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7" name="Text Box 22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8" name="Text Box 22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09" name="Text Box 22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0" name="Text Box 22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1" name="Text Box 22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2" name="Text Box 22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3" name="Text Box 22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4" name="Text Box 22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5" name="Text Box 22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6" name="Text Box 22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7" name="Text Box 22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8" name="Text Box 22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19" name="Text Box 22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0" name="Text Box 22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1" name="Text Box 22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2" name="Text Box 23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3" name="Text Box 23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4" name="Text Box 23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5" name="Text Box 23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6" name="Text Box 23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7" name="Text Box 23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8" name="Text Box 23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29" name="Text Box 23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0" name="Text Box 23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1" name="Text Box 23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2" name="Text Box 23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3" name="Text Box 23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4" name="Text Box 23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5" name="Text Box 23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6" name="Text Box 23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7" name="Text Box 23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8" name="Text Box 23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39" name="Text Box 23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0" name="Text Box 23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1" name="Text Box 23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2" name="Text Box 23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3" name="Text Box 23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4" name="Text Box 23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5" name="Text Box 23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6" name="Text Box 23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7" name="Text Box 23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8" name="Text Box 23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49" name="Text Box 23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0" name="Text Box 23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1" name="Text Box 23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2" name="Text Box 23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3" name="Text Box 23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4" name="Text Box 23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5" name="Text Box 23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6" name="Text Box 23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7" name="Text Box 23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8" name="Text Box 23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59" name="Text Box 23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0" name="Text Box 23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1" name="Text Box 23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2" name="Text Box 23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3" name="Text Box 23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4" name="Text Box 23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5" name="Text Box 23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6" name="Text Box 23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7" name="Text Box 23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8" name="Text Box 23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69" name="Text Box 23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0" name="Text Box 23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1" name="Text Box 23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2" name="Text Box 23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3" name="Text Box 23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4" name="Text Box 23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5" name="Text Box 23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6" name="Text Box 23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7" name="Text Box 23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8" name="Text Box 23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79" name="Text Box 23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0" name="Text Box 23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1" name="Text Box 23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2" name="Text Box 23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3" name="Text Box 23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4" name="Text Box 23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5" name="Text Box 23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6" name="Text Box 23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7" name="Text Box 23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8" name="Text Box 23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89" name="Text Box 23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0" name="Text Box 23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1" name="Text Box 23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2" name="Text Box 23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3" name="Text Box 23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4" name="Text Box 23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5" name="Text Box 23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6" name="Text Box 23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7" name="Text Box 23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8" name="Text Box 23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199" name="Text Box 23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0" name="Text Box 23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1" name="Text Box 23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2" name="Text Box 23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3" name="Text Box 23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4" name="Text Box 23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5" name="Text Box 23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6" name="Text Box 23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7" name="Text Box 23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8" name="Text Box 23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09" name="Text Box 23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0" name="Text Box 23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1" name="Text Box 23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2" name="Text Box 23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3" name="Text Box 23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4" name="Text Box 23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5" name="Text Box 23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6" name="Text Box 23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7" name="Text Box 23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8" name="Text Box 23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19" name="Text Box 23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0" name="Text Box 23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1" name="Text Box 23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2" name="Text Box 24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3" name="Text Box 24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4" name="Text Box 24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5" name="Text Box 24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6" name="Text Box 24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7" name="Text Box 24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8" name="Text Box 24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29" name="Text Box 24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0" name="Text Box 24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1" name="Text Box 24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2" name="Text Box 24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3" name="Text Box 24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4" name="Text Box 24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5" name="Text Box 24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6" name="Text Box 24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7" name="Text Box 24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8" name="Text Box 24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39" name="Text Box 24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0" name="Text Box 24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1" name="Text Box 24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2" name="Text Box 24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3" name="Text Box 24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4" name="Text Box 24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5" name="Text Box 24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6" name="Text Box 24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7" name="Text Box 24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8" name="Text Box 24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49" name="Text Box 24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0" name="Text Box 24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1" name="Text Box 24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2" name="Text Box 24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3" name="Text Box 24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4" name="Text Box 24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5" name="Text Box 24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6" name="Text Box 24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7" name="Text Box 24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8" name="Text Box 24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59" name="Text Box 24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0" name="Text Box 24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1" name="Text Box 24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2" name="Text Box 24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3" name="Text Box 24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4" name="Text Box 24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5" name="Text Box 24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6" name="Text Box 24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7" name="Text Box 24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8" name="Text Box 24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69" name="Text Box 24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0" name="Text Box 24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1" name="Text Box 24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2" name="Text Box 24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3" name="Text Box 24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4" name="Text Box 24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5" name="Text Box 24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6" name="Text Box 24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7" name="Text Box 24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8" name="Text Box 24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79" name="Text Box 24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0" name="Text Box 24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1" name="Text Box 24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2" name="Text Box 24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3" name="Text Box 24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4" name="Text Box 24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5" name="Text Box 24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6" name="Text Box 24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7" name="Text Box 24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8" name="Text Box 24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89" name="Text Box 24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0" name="Text Box 24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1" name="Text Box 24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2" name="Text Box 24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3" name="Text Box 24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4" name="Text Box 24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5" name="Text Box 24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6" name="Text Box 24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7" name="Text Box 24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8" name="Text Box 24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299" name="Text Box 24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0" name="Text Box 24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1" name="Text Box 24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2" name="Text Box 24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3" name="Text Box 24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4" name="Text Box 24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5" name="Text Box 24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6" name="Text Box 24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7" name="Text Box 24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8" name="Text Box 24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09" name="Text Box 24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0" name="Text Box 24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1" name="Text Box 24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2" name="Text Box 24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3" name="Text Box 24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4" name="Text Box 24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5" name="Text Box 24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6" name="Text Box 24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7" name="Text Box 24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8" name="Text Box 24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19" name="Text Box 24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0" name="Text Box 24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1" name="Text Box 24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2" name="Text Box 25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3" name="Text Box 25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4" name="Text Box 25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5" name="Text Box 25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6" name="Text Box 25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7" name="Text Box 25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8" name="Text Box 25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29" name="Text Box 25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0" name="Text Box 25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1" name="Text Box 25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2" name="Text Box 25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3" name="Text Box 25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4" name="Text Box 25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5" name="Text Box 25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6" name="Text Box 25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7" name="Text Box 25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8" name="Text Box 25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39" name="Text Box 25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0" name="Text Box 25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1" name="Text Box 25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2" name="Text Box 25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3" name="Text Box 25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4" name="Text Box 25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5" name="Text Box 25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6" name="Text Box 25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7" name="Text Box 25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8" name="Text Box 25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49" name="Text Box 25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0" name="Text Box 25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1" name="Text Box 25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2" name="Text Box 25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3" name="Text Box 25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4" name="Text Box 25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5" name="Text Box 25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6" name="Text Box 25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7" name="Text Box 25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8" name="Text Box 25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59" name="Text Box 25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0" name="Text Box 25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1" name="Text Box 25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2" name="Text Box 25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3" name="Text Box 25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4" name="Text Box 25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5" name="Text Box 25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6" name="Text Box 25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7" name="Text Box 25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8" name="Text Box 25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69" name="Text Box 25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0" name="Text Box 25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1" name="Text Box 25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2" name="Text Box 25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3" name="Text Box 25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4" name="Text Box 25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5" name="Text Box 25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6" name="Text Box 25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7" name="Text Box 25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8" name="Text Box 25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79" name="Text Box 25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0" name="Text Box 25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1" name="Text Box 25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2" name="Text Box 25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3" name="Text Box 25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4" name="Text Box 25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5" name="Text Box 25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6" name="Text Box 25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7" name="Text Box 25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8" name="Text Box 25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89" name="Text Box 25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0" name="Text Box 25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1" name="Text Box 25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2" name="Text Box 25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3" name="Text Box 25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4" name="Text Box 25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5" name="Text Box 25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6" name="Text Box 25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7" name="Text Box 25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8" name="Text Box 25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399" name="Text Box 25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0" name="Text Box 25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1" name="Text Box 25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2" name="Text Box 25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3" name="Text Box 25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4" name="Text Box 25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5" name="Text Box 25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6" name="Text Box 25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7" name="Text Box 25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8" name="Text Box 25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09" name="Text Box 25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0" name="Text Box 25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1" name="Text Box 25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2" name="Text Box 25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3" name="Text Box 25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4" name="Text Box 25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5" name="Text Box 25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6" name="Text Box 25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7" name="Text Box 25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8" name="Text Box 25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19" name="Text Box 25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0" name="Text Box 25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1" name="Text Box 25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2" name="Text Box 26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3" name="Text Box 26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4" name="Text Box 26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5" name="Text Box 26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6" name="Text Box 26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7" name="Text Box 26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8" name="Text Box 26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29" name="Text Box 26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0" name="Text Box 26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1" name="Text Box 26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2" name="Text Box 26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3" name="Text Box 26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4" name="Text Box 26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5" name="Text Box 26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6" name="Text Box 26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7" name="Text Box 26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8" name="Text Box 26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39" name="Text Box 26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0" name="Text Box 26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1" name="Text Box 26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2" name="Text Box 26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3" name="Text Box 26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4" name="Text Box 26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5" name="Text Box 26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6" name="Text Box 26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7" name="Text Box 26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8" name="Text Box 26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49" name="Text Box 26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0" name="Text Box 26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1" name="Text Box 26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2" name="Text Box 26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3" name="Text Box 26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4" name="Text Box 26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5" name="Text Box 26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6" name="Text Box 26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7" name="Text Box 26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8" name="Text Box 26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59" name="Text Box 26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0" name="Text Box 26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1" name="Text Box 26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2" name="Text Box 26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3" name="Text Box 26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4" name="Text Box 26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5" name="Text Box 26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6" name="Text Box 26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7" name="Text Box 26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8" name="Text Box 26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69" name="Text Box 26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0" name="Text Box 26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1" name="Text Box 26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2" name="Text Box 26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3" name="Text Box 26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4" name="Text Box 26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5" name="Text Box 26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6" name="Text Box 26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7" name="Text Box 26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8" name="Text Box 26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79" name="Text Box 26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0" name="Text Box 26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1" name="Text Box 26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2" name="Text Box 26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3" name="Text Box 26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4" name="Text Box 26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5" name="Text Box 26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6" name="Text Box 26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7" name="Text Box 26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8" name="Text Box 26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89" name="Text Box 26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0" name="Text Box 26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1" name="Text Box 26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2" name="Text Box 26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3" name="Text Box 26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4" name="Text Box 26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5" name="Text Box 26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6" name="Text Box 26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7" name="Text Box 26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8" name="Text Box 26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499" name="Text Box 26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0" name="Text Box 26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1" name="Text Box 26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2" name="Text Box 26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3" name="Text Box 26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4" name="Text Box 26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5" name="Text Box 26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6" name="Text Box 26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7" name="Text Box 26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8" name="Text Box 26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09" name="Text Box 26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0" name="Text Box 26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1" name="Text Box 26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2" name="Text Box 26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3" name="Text Box 26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4" name="Text Box 26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5" name="Text Box 26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6" name="Text Box 26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7" name="Text Box 26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8" name="Text Box 26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19" name="Text Box 26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0" name="Text Box 26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1" name="Text Box 26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2" name="Text Box 27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3" name="Text Box 27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4" name="Text Box 27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5" name="Text Box 27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6" name="Text Box 27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7" name="Text Box 27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8" name="Text Box 27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29" name="Text Box 27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0" name="Text Box 27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1" name="Text Box 27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2" name="Text Box 27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3" name="Text Box 27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4" name="Text Box 27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5" name="Text Box 27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6" name="Text Box 27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7" name="Text Box 27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8" name="Text Box 27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39" name="Text Box 27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0" name="Text Box 27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1" name="Text Box 27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2" name="Text Box 27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3" name="Text Box 27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4" name="Text Box 27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5" name="Text Box 27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6" name="Text Box 27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7" name="Text Box 27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8" name="Text Box 27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49" name="Text Box 27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0" name="Text Box 27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1" name="Text Box 27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2" name="Text Box 27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3" name="Text Box 27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4" name="Text Box 27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5" name="Text Box 27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6" name="Text Box 27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7" name="Text Box 27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8" name="Text Box 27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59" name="Text Box 27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0" name="Text Box 27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1" name="Text Box 27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2" name="Text Box 27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3" name="Text Box 27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4" name="Text Box 27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5" name="Text Box 27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6" name="Text Box 27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7" name="Text Box 27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8" name="Text Box 27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69" name="Text Box 27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0" name="Text Box 27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1" name="Text Box 27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2" name="Text Box 27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3" name="Text Box 27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4" name="Text Box 27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5" name="Text Box 27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6" name="Text Box 27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7" name="Text Box 27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8" name="Text Box 27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79" name="Text Box 27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0" name="Text Box 27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1" name="Text Box 27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2" name="Text Box 27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3" name="Text Box 27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4" name="Text Box 27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5" name="Text Box 27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6" name="Text Box 27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7" name="Text Box 27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8" name="Text Box 27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89" name="Text Box 27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0" name="Text Box 27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1" name="Text Box 27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2" name="Text Box 27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3" name="Text Box 27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4" name="Text Box 27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5" name="Text Box 27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6" name="Text Box 27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7" name="Text Box 27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8" name="Text Box 27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599" name="Text Box 27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0" name="Text Box 27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1" name="Text Box 27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2" name="Text Box 27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3" name="Text Box 27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4" name="Text Box 27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5" name="Text Box 27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6" name="Text Box 27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7" name="Text Box 27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8" name="Text Box 27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09" name="Text Box 27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0" name="Text Box 27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1" name="Text Box 27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2" name="Text Box 27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3" name="Text Box 27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4" name="Text Box 27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5" name="Text Box 27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6" name="Text Box 27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7" name="Text Box 27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8" name="Text Box 27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19" name="Text Box 27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0" name="Text Box 27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1" name="Text Box 27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2" name="Text Box 28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3" name="Text Box 28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4" name="Text Box 28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5" name="Text Box 28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6" name="Text Box 28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7" name="Text Box 28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8" name="Text Box 28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29" name="Text Box 28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0" name="Text Box 28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1" name="Text Box 28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2" name="Text Box 28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3" name="Text Box 28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4" name="Text Box 28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5" name="Text Box 28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6" name="Text Box 28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7" name="Text Box 28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8" name="Text Box 28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39" name="Text Box 28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0" name="Text Box 28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1" name="Text Box 28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2" name="Text Box 28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3" name="Text Box 28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4" name="Text Box 28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5" name="Text Box 28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6" name="Text Box 28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7" name="Text Box 28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8" name="Text Box 28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49" name="Text Box 28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0" name="Text Box 28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1" name="Text Box 28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2" name="Text Box 28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3" name="Text Box 28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4" name="Text Box 28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5" name="Text Box 28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6" name="Text Box 28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7" name="Text Box 28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8" name="Text Box 28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59" name="Text Box 28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0" name="Text Box 28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1" name="Text Box 28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2" name="Text Box 28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3" name="Text Box 28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4" name="Text Box 28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5" name="Text Box 28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6" name="Text Box 28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7" name="Text Box 28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8" name="Text Box 28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69" name="Text Box 28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0" name="Text Box 28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1" name="Text Box 28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2" name="Text Box 28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3" name="Text Box 28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4" name="Text Box 28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5" name="Text Box 28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6" name="Text Box 28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7" name="Text Box 28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8" name="Text Box 28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79" name="Text Box 28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0" name="Text Box 28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1" name="Text Box 28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2" name="Text Box 28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3" name="Text Box 28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4" name="Text Box 28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5" name="Text Box 28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6" name="Text Box 28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7" name="Text Box 28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8" name="Text Box 28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89" name="Text Box 28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0" name="Text Box 28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1" name="Text Box 28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2" name="Text Box 28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3" name="Text Box 28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4" name="Text Box 28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5" name="Text Box 28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6" name="Text Box 28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7" name="Text Box 28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8" name="Text Box 28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699" name="Text Box 28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0" name="Text Box 28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1" name="Text Box 28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2" name="Text Box 28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3" name="Text Box 28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4" name="Text Box 28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5" name="Text Box 28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6" name="Text Box 28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7" name="Text Box 28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8" name="Text Box 28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09" name="Text Box 28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0" name="Text Box 28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1" name="Text Box 28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2" name="Text Box 28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3" name="Text Box 28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4" name="Text Box 28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5" name="Text Box 28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6" name="Text Box 28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7" name="Text Box 28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8" name="Text Box 28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19" name="Text Box 28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0" name="Text Box 28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1" name="Text Box 289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2" name="Text Box 290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3" name="Text Box 290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4" name="Text Box 290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5" name="Text Box 290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6" name="Text Box 290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7" name="Text Box 290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8" name="Text Box 290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29" name="Text Box 290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0" name="Text Box 290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1" name="Text Box 290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2" name="Text Box 291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3" name="Text Box 291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4" name="Text Box 291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5" name="Text Box 291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6" name="Text Box 291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7" name="Text Box 291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8" name="Text Box 291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39" name="Text Box 291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0" name="Text Box 291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1" name="Text Box 291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2" name="Text Box 292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3" name="Text Box 292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4" name="Text Box 292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5" name="Text Box 292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6" name="Text Box 292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7" name="Text Box 292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8" name="Text Box 292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49" name="Text Box 292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0" name="Text Box 292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1" name="Text Box 292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2" name="Text Box 293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3" name="Text Box 293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4" name="Text Box 293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5" name="Text Box 293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6" name="Text Box 293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7" name="Text Box 293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8" name="Text Box 293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59" name="Text Box 293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0" name="Text Box 293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1" name="Text Box 293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2" name="Text Box 294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3" name="Text Box 294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4" name="Text Box 294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5" name="Text Box 294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6" name="Text Box 294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7" name="Text Box 294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8" name="Text Box 294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69" name="Text Box 294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0" name="Text Box 294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1" name="Text Box 294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2" name="Text Box 295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3" name="Text Box 295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4" name="Text Box 295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5" name="Text Box 295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6" name="Text Box 295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7" name="Text Box 295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8" name="Text Box 295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79" name="Text Box 295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0" name="Text Box 295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1" name="Text Box 295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2" name="Text Box 296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3" name="Text Box 296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4" name="Text Box 296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5" name="Text Box 296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6" name="Text Box 296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7" name="Text Box 296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8" name="Text Box 296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89" name="Text Box 296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0" name="Text Box 296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1" name="Text Box 296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2" name="Text Box 297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3" name="Text Box 297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4" name="Text Box 297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5" name="Text Box 297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6" name="Text Box 297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7" name="Text Box 297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8" name="Text Box 297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799" name="Text Box 297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0" name="Text Box 297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1" name="Text Box 297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2" name="Text Box 298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3" name="Text Box 298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4" name="Text Box 298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5" name="Text Box 298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6" name="Text Box 298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7" name="Text Box 298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8" name="Text Box 298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09" name="Text Box 298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0" name="Text Box 298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1" name="Text Box 2989"/>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2" name="Text Box 2990"/>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3" name="Text Box 2991"/>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4" name="Text Box 2992"/>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5" name="Text Box 2993"/>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6" name="Text Box 2994"/>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7" name="Text Box 2995"/>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8" name="Text Box 2996"/>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19" name="Text Box 2997"/>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twoCellAnchor editAs="oneCell">
    <xdr:from>
      <xdr:col>1</xdr:col>
      <xdr:colOff>0</xdr:colOff>
      <xdr:row>179</xdr:row>
      <xdr:rowOff>0</xdr:rowOff>
    </xdr:from>
    <xdr:to>
      <xdr:col>1</xdr:col>
      <xdr:colOff>76200</xdr:colOff>
      <xdr:row>180</xdr:row>
      <xdr:rowOff>19050</xdr:rowOff>
    </xdr:to>
    <xdr:sp macro="" textlink="">
      <xdr:nvSpPr>
        <xdr:cNvPr id="379820" name="Text Box 2998"/>
        <xdr:cNvSpPr txBox="1">
          <a:spLocks noChangeArrowheads="1"/>
        </xdr:cNvSpPr>
      </xdr:nvSpPr>
      <xdr:spPr bwMode="auto">
        <a:xfrm>
          <a:off x="1152525" y="34671000"/>
          <a:ext cx="76200" cy="209550"/>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600075</xdr:colOff>
      <xdr:row>16</xdr:row>
      <xdr:rowOff>104775</xdr:rowOff>
    </xdr:from>
    <xdr:to>
      <xdr:col>7</xdr:col>
      <xdr:colOff>0</xdr:colOff>
      <xdr:row>29</xdr:row>
      <xdr:rowOff>95250</xdr:rowOff>
    </xdr:to>
    <xdr:sp macro="" textlink="">
      <xdr:nvSpPr>
        <xdr:cNvPr id="21508" name="Text Box 4"/>
        <xdr:cNvSpPr txBox="1">
          <a:spLocks noChangeArrowheads="1"/>
        </xdr:cNvSpPr>
      </xdr:nvSpPr>
      <xdr:spPr bwMode="auto">
        <a:xfrm>
          <a:off x="1971675" y="3476625"/>
          <a:ext cx="2828925" cy="22193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明朝"/>
              <a:ea typeface="ＭＳ 明朝"/>
            </a:rPr>
            <a:t>ここに振込票のコピーを張付けて</a:t>
          </a:r>
        </a:p>
        <a:p>
          <a:pPr algn="ctr" rtl="0">
            <a:lnSpc>
              <a:spcPts val="1300"/>
            </a:lnSpc>
            <a:defRPr sz="1000"/>
          </a:pPr>
          <a:r>
            <a:rPr lang="ja-JP" altLang="en-US" sz="1100" b="0" i="0" strike="noStrike">
              <a:solidFill>
                <a:srgbClr val="000000"/>
              </a:solidFill>
              <a:latin typeface="ＭＳ 明朝"/>
              <a:ea typeface="ＭＳ 明朝"/>
            </a:rPr>
            <a:t>下記までお送り下さい</a:t>
          </a:r>
        </a:p>
        <a:p>
          <a:pPr algn="ctr" rtl="0">
            <a:defRPr sz="1000"/>
          </a:pPr>
          <a:r>
            <a:rPr lang="ja-JP" altLang="en-US" sz="1100" b="1" i="0" strike="noStrike">
              <a:solidFill>
                <a:srgbClr val="FF0000"/>
              </a:solidFill>
              <a:latin typeface="ＭＳ 明朝"/>
              <a:ea typeface="ＭＳ 明朝"/>
            </a:rPr>
            <a:t>大会申込締切の翌日必着となります。</a:t>
          </a:r>
          <a:endParaRPr lang="ja-JP" altLang="en-US" sz="1100" b="0" i="0" strike="noStrike">
            <a:solidFill>
              <a:srgbClr val="000000"/>
            </a:solidFill>
            <a:latin typeface="ＭＳ 明朝"/>
            <a:ea typeface="ＭＳ 明朝"/>
          </a:endParaRPr>
        </a:p>
        <a:p>
          <a:pPr algn="ctr" rtl="0">
            <a:lnSpc>
              <a:spcPts val="1300"/>
            </a:lnSpc>
            <a:defRPr sz="1000"/>
          </a:pPr>
          <a:endParaRPr lang="ja-JP" altLang="en-US" sz="1100" b="0" i="0" strike="noStrike">
            <a:solidFill>
              <a:srgbClr val="000000"/>
            </a:solidFill>
            <a:latin typeface="ＭＳ 明朝"/>
            <a:ea typeface="ＭＳ 明朝"/>
          </a:endParaRPr>
        </a:p>
        <a:p>
          <a:pPr algn="ctr" rtl="0">
            <a:lnSpc>
              <a:spcPts val="1300"/>
            </a:lnSpc>
            <a:defRPr sz="1000"/>
          </a:pPr>
          <a:r>
            <a:rPr lang="en-US" altLang="ja-JP" sz="1100" b="0" i="0" strike="noStrike">
              <a:solidFill>
                <a:srgbClr val="000000"/>
              </a:solidFill>
              <a:latin typeface="ＭＳ 明朝"/>
              <a:ea typeface="ＭＳ 明朝"/>
            </a:rPr>
            <a:t>516-0023 </a:t>
          </a:r>
          <a:r>
            <a:rPr lang="ja-JP" altLang="en-US" sz="1100" b="0" i="0" strike="noStrike">
              <a:solidFill>
                <a:srgbClr val="000000"/>
              </a:solidFill>
              <a:latin typeface="ＭＳ 明朝"/>
              <a:ea typeface="ＭＳ 明朝"/>
            </a:rPr>
            <a:t>伊勢市宇治舘町</a:t>
          </a:r>
          <a:r>
            <a:rPr lang="en-US" altLang="ja-JP" sz="1100" b="0" i="0" strike="noStrike">
              <a:solidFill>
                <a:srgbClr val="000000"/>
              </a:solidFill>
              <a:latin typeface="ＭＳ 明朝"/>
              <a:ea typeface="ＭＳ 明朝"/>
            </a:rPr>
            <a:t>510</a:t>
          </a:r>
        </a:p>
        <a:p>
          <a:pPr algn="ctr" rtl="0">
            <a:defRPr sz="1000"/>
          </a:pPr>
          <a:r>
            <a:rPr lang="ja-JP" altLang="en-US" sz="1100" b="0" i="0" strike="noStrike">
              <a:solidFill>
                <a:srgbClr val="000000"/>
              </a:solidFill>
              <a:latin typeface="ＭＳ 明朝"/>
              <a:ea typeface="ＭＳ 明朝"/>
            </a:rPr>
            <a:t>三重交通Ｇスポーツの杜伊勢内</a:t>
          </a:r>
        </a:p>
        <a:p>
          <a:pPr algn="ctr" rtl="0">
            <a:lnSpc>
              <a:spcPts val="1300"/>
            </a:lnSpc>
            <a:defRPr sz="1000"/>
          </a:pPr>
          <a:r>
            <a:rPr lang="ja-JP" altLang="en-US" sz="1100" b="0" i="0" strike="noStrike">
              <a:solidFill>
                <a:srgbClr val="000000"/>
              </a:solidFill>
              <a:latin typeface="ＭＳ 明朝"/>
              <a:ea typeface="ＭＳ 明朝"/>
            </a:rPr>
            <a:t>三重陸上競技協会事務局　宛</a:t>
          </a:r>
        </a:p>
        <a:p>
          <a:pPr algn="ctr" rtl="0">
            <a:lnSpc>
              <a:spcPts val="1300"/>
            </a:lnSpc>
            <a:defRPr sz="1000"/>
          </a:pPr>
          <a:endParaRPr lang="ja-JP" altLang="en-US" sz="1100" b="0" i="0" strike="noStrike">
            <a:solidFill>
              <a:srgbClr val="000000"/>
            </a:solidFill>
            <a:latin typeface="ＭＳ 明朝"/>
            <a:ea typeface="ＭＳ 明朝"/>
          </a:endParaRPr>
        </a:p>
        <a:p>
          <a:pPr algn="ctr" rtl="0">
            <a:defRPr sz="1000"/>
          </a:pPr>
          <a:r>
            <a:rPr lang="ja-JP" altLang="en-US" sz="1100" b="0" i="0" strike="noStrike">
              <a:solidFill>
                <a:srgbClr val="000000"/>
              </a:solidFill>
              <a:latin typeface="ＭＳ 明朝"/>
              <a:ea typeface="ＭＳ 明朝"/>
            </a:rPr>
            <a:t>中体連へ現金を送付の時は</a:t>
          </a:r>
        </a:p>
        <a:p>
          <a:pPr algn="ctr" rtl="0">
            <a:lnSpc>
              <a:spcPts val="1300"/>
            </a:lnSpc>
            <a:defRPr sz="1000"/>
          </a:pPr>
          <a:r>
            <a:rPr lang="ja-JP" altLang="en-US" sz="1100" b="0" i="0" strike="noStrike">
              <a:solidFill>
                <a:srgbClr val="000000"/>
              </a:solidFill>
              <a:latin typeface="ＭＳ 明朝"/>
              <a:ea typeface="ＭＳ 明朝"/>
            </a:rPr>
            <a:t>この用紙を同封の上、送付願います。</a:t>
          </a:r>
        </a:p>
        <a:p>
          <a:pPr algn="ctr" rtl="0">
            <a:lnSpc>
              <a:spcPts val="1300"/>
            </a:lnSpc>
            <a:defRPr sz="1000"/>
          </a:pPr>
          <a:endParaRPr lang="ja-JP" altLang="en-US" sz="1100" b="0" i="0" strike="noStrike">
            <a:solidFill>
              <a:srgbClr val="000000"/>
            </a:solidFill>
            <a:latin typeface="ＭＳ 明朝"/>
            <a:ea typeface="ＭＳ 明朝"/>
          </a:endParaRPr>
        </a:p>
      </xdr:txBody>
    </xdr:sp>
    <xdr:clientData/>
  </xdr:twoCellAnchor>
  <xdr:twoCellAnchor>
    <xdr:from>
      <xdr:col>1</xdr:col>
      <xdr:colOff>219075</xdr:colOff>
      <xdr:row>38</xdr:row>
      <xdr:rowOff>0</xdr:rowOff>
    </xdr:from>
    <xdr:to>
      <xdr:col>5</xdr:col>
      <xdr:colOff>304800</xdr:colOff>
      <xdr:row>38</xdr:row>
      <xdr:rowOff>0</xdr:rowOff>
    </xdr:to>
    <xdr:sp macro="" textlink="">
      <xdr:nvSpPr>
        <xdr:cNvPr id="21513" name="Text Box 9"/>
        <xdr:cNvSpPr txBox="1">
          <a:spLocks noChangeArrowheads="1"/>
        </xdr:cNvSpPr>
      </xdr:nvSpPr>
      <xdr:spPr bwMode="auto">
        <a:xfrm>
          <a:off x="904875" y="7143750"/>
          <a:ext cx="2828925" cy="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明朝"/>
              <a:ea typeface="ＭＳ 明朝"/>
            </a:rPr>
            <a:t>ここに振込票のコピーを張付けて</a:t>
          </a:r>
        </a:p>
        <a:p>
          <a:pPr algn="ctr" rtl="0">
            <a:defRPr sz="1000"/>
          </a:pPr>
          <a:r>
            <a:rPr lang="ja-JP" altLang="en-US" sz="1100" b="0" i="0" strike="noStrike">
              <a:solidFill>
                <a:srgbClr val="000000"/>
              </a:solidFill>
              <a:latin typeface="ＭＳ 明朝"/>
              <a:ea typeface="ＭＳ 明朝"/>
            </a:rPr>
            <a:t>三重陸協事務局までお送り下さい</a:t>
          </a:r>
        </a:p>
        <a:p>
          <a:pPr algn="ctr" rtl="0">
            <a:defRPr sz="1000"/>
          </a:pPr>
          <a:endParaRPr lang="ja-JP" altLang="en-US" sz="1100" b="0" i="0" strike="noStrike">
            <a:solidFill>
              <a:srgbClr val="000000"/>
            </a:solidFill>
            <a:latin typeface="ＭＳ 明朝"/>
            <a:ea typeface="ＭＳ 明朝"/>
          </a:endParaRPr>
        </a:p>
      </xdr:txBody>
    </xdr:sp>
    <xdr:clientData/>
  </xdr:twoCellAnchor>
  <xdr:twoCellAnchor>
    <xdr:from>
      <xdr:col>1</xdr:col>
      <xdr:colOff>219075</xdr:colOff>
      <xdr:row>38</xdr:row>
      <xdr:rowOff>0</xdr:rowOff>
    </xdr:from>
    <xdr:to>
      <xdr:col>5</xdr:col>
      <xdr:colOff>304800</xdr:colOff>
      <xdr:row>38</xdr:row>
      <xdr:rowOff>0</xdr:rowOff>
    </xdr:to>
    <xdr:sp macro="" textlink="">
      <xdr:nvSpPr>
        <xdr:cNvPr id="21518" name="Text Box 14"/>
        <xdr:cNvSpPr txBox="1">
          <a:spLocks noChangeArrowheads="1"/>
        </xdr:cNvSpPr>
      </xdr:nvSpPr>
      <xdr:spPr bwMode="auto">
        <a:xfrm>
          <a:off x="904875" y="7143750"/>
          <a:ext cx="2828925" cy="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明朝"/>
              <a:ea typeface="ＭＳ 明朝"/>
            </a:rPr>
            <a:t>ここに振込票のコピーを張付けて</a:t>
          </a:r>
        </a:p>
        <a:p>
          <a:pPr algn="ctr" rtl="0">
            <a:defRPr sz="1000"/>
          </a:pPr>
          <a:r>
            <a:rPr lang="ja-JP" altLang="en-US" sz="1100" b="0" i="0" strike="noStrike">
              <a:solidFill>
                <a:srgbClr val="000000"/>
              </a:solidFill>
              <a:latin typeface="ＭＳ 明朝"/>
              <a:ea typeface="ＭＳ 明朝"/>
            </a:rPr>
            <a:t>三重陸協事務局までお送り下さい</a:t>
          </a:r>
        </a:p>
        <a:p>
          <a:pPr algn="ctr" rtl="0">
            <a:defRPr sz="1000"/>
          </a:pPr>
          <a:endParaRPr lang="ja-JP" altLang="en-US" sz="1100" b="0" i="0" strike="noStrike">
            <a:solidFill>
              <a:srgbClr val="000000"/>
            </a:solidFill>
            <a:latin typeface="ＭＳ 明朝"/>
            <a:ea typeface="ＭＳ 明朝"/>
          </a:endParaRPr>
        </a:p>
      </xdr:txBody>
    </xdr:sp>
    <xdr:clientData/>
  </xdr:twoCellAnchor>
  <xdr:twoCellAnchor>
    <xdr:from>
      <xdr:col>7</xdr:col>
      <xdr:colOff>400050</xdr:colOff>
      <xdr:row>38</xdr:row>
      <xdr:rowOff>0</xdr:rowOff>
    </xdr:from>
    <xdr:to>
      <xdr:col>7</xdr:col>
      <xdr:colOff>409575</xdr:colOff>
      <xdr:row>38</xdr:row>
      <xdr:rowOff>0</xdr:rowOff>
    </xdr:to>
    <xdr:sp macro="" textlink="">
      <xdr:nvSpPr>
        <xdr:cNvPr id="225951" name="Line 21"/>
        <xdr:cNvSpPr>
          <a:spLocks noChangeShapeType="1"/>
        </xdr:cNvSpPr>
      </xdr:nvSpPr>
      <xdr:spPr bwMode="auto">
        <a:xfrm flipH="1">
          <a:off x="5200650" y="7143750"/>
          <a:ext cx="9525" cy="0"/>
        </a:xfrm>
        <a:prstGeom prst="line">
          <a:avLst/>
        </a:prstGeom>
        <a:noFill/>
        <a:ln w="9525">
          <a:solidFill>
            <a:srgbClr val="000000"/>
          </a:solidFill>
          <a:round/>
          <a:headEnd/>
          <a:tailEnd/>
        </a:ln>
      </xdr:spPr>
    </xdr:sp>
    <xdr:clientData/>
  </xdr:twoCellAnchor>
  <xdr:twoCellAnchor>
    <xdr:from>
      <xdr:col>7</xdr:col>
      <xdr:colOff>180975</xdr:colOff>
      <xdr:row>38</xdr:row>
      <xdr:rowOff>0</xdr:rowOff>
    </xdr:from>
    <xdr:to>
      <xdr:col>7</xdr:col>
      <xdr:colOff>504825</xdr:colOff>
      <xdr:row>38</xdr:row>
      <xdr:rowOff>0</xdr:rowOff>
    </xdr:to>
    <xdr:sp macro="" textlink="">
      <xdr:nvSpPr>
        <xdr:cNvPr id="21526" name="Text Box 22"/>
        <xdr:cNvSpPr txBox="1">
          <a:spLocks noChangeArrowheads="1"/>
        </xdr:cNvSpPr>
      </xdr:nvSpPr>
      <xdr:spPr bwMode="auto">
        <a:xfrm>
          <a:off x="4981575" y="7143750"/>
          <a:ext cx="323850" cy="0"/>
        </a:xfrm>
        <a:prstGeom prst="rect">
          <a:avLst/>
        </a:prstGeom>
        <a:solidFill>
          <a:srgbClr val="FFFFFF"/>
        </a:solidFill>
        <a:ln w="9525">
          <a:noFill/>
          <a:miter lim="800000"/>
          <a:headEnd/>
          <a:tailEnd/>
        </a:ln>
      </xdr:spPr>
      <xdr:txBody>
        <a:bodyPr vertOverflow="clip" vert="wordArtVertRtl" wrap="square" lIns="0" tIns="0" rIns="27432" bIns="0" anchor="t" upright="1"/>
        <a:lstStyle/>
        <a:p>
          <a:pPr algn="l" rtl="0">
            <a:defRPr sz="1000"/>
          </a:pPr>
          <a:r>
            <a:rPr lang="ja-JP" altLang="en-US" sz="1100" b="0" i="0" strike="noStrike">
              <a:solidFill>
                <a:srgbClr val="000000"/>
              </a:solidFill>
              <a:latin typeface="ＭＳ 明朝"/>
              <a:ea typeface="ＭＳ 明朝"/>
            </a:rPr>
            <a:t>切り取り線</a:t>
          </a:r>
        </a:p>
      </xdr:txBody>
    </xdr:sp>
    <xdr:clientData/>
  </xdr:twoCellAnchor>
  <xdr:twoCellAnchor>
    <xdr:from>
      <xdr:col>7</xdr:col>
      <xdr:colOff>390525</xdr:colOff>
      <xdr:row>38</xdr:row>
      <xdr:rowOff>0</xdr:rowOff>
    </xdr:from>
    <xdr:to>
      <xdr:col>7</xdr:col>
      <xdr:colOff>390525</xdr:colOff>
      <xdr:row>38</xdr:row>
      <xdr:rowOff>0</xdr:rowOff>
    </xdr:to>
    <xdr:sp macro="" textlink="">
      <xdr:nvSpPr>
        <xdr:cNvPr id="225953" name="Line 23"/>
        <xdr:cNvSpPr>
          <a:spLocks noChangeShapeType="1"/>
        </xdr:cNvSpPr>
      </xdr:nvSpPr>
      <xdr:spPr bwMode="auto">
        <a:xfrm flipH="1">
          <a:off x="5191125" y="7143750"/>
          <a:ext cx="0" cy="0"/>
        </a:xfrm>
        <a:prstGeom prst="line">
          <a:avLst/>
        </a:prstGeom>
        <a:noFill/>
        <a:ln w="9525">
          <a:solidFill>
            <a:srgbClr val="000000"/>
          </a:solidFill>
          <a:round/>
          <a:headEnd/>
          <a:tailEnd/>
        </a:ln>
      </xdr:spPr>
    </xdr:sp>
    <xdr:clientData/>
  </xdr:twoCellAnchor>
  <xdr:twoCellAnchor>
    <xdr:from>
      <xdr:col>8</xdr:col>
      <xdr:colOff>0</xdr:colOff>
      <xdr:row>38</xdr:row>
      <xdr:rowOff>0</xdr:rowOff>
    </xdr:from>
    <xdr:to>
      <xdr:col>8</xdr:col>
      <xdr:colOff>0</xdr:colOff>
      <xdr:row>38</xdr:row>
      <xdr:rowOff>0</xdr:rowOff>
    </xdr:to>
    <xdr:sp macro="" textlink="">
      <xdr:nvSpPr>
        <xdr:cNvPr id="21529" name="Text Box 25"/>
        <xdr:cNvSpPr txBox="1">
          <a:spLocks noChangeArrowheads="1"/>
        </xdr:cNvSpPr>
      </xdr:nvSpPr>
      <xdr:spPr bwMode="auto">
        <a:xfrm>
          <a:off x="5381625" y="7143750"/>
          <a:ext cx="0" cy="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明朝"/>
              <a:ea typeface="ＭＳ 明朝"/>
            </a:rPr>
            <a:t>ここに振込票のコピーを張付けて</a:t>
          </a:r>
        </a:p>
        <a:p>
          <a:pPr algn="ctr" rtl="0">
            <a:defRPr sz="1000"/>
          </a:pPr>
          <a:r>
            <a:rPr lang="ja-JP" altLang="en-US" sz="1100" b="0" i="0" strike="noStrike">
              <a:solidFill>
                <a:srgbClr val="000000"/>
              </a:solidFill>
              <a:latin typeface="ＭＳ 明朝"/>
              <a:ea typeface="ＭＳ 明朝"/>
            </a:rPr>
            <a:t>三重陸協事務局までお送り下さい</a:t>
          </a:r>
        </a:p>
        <a:p>
          <a:pPr algn="ctr" rtl="0">
            <a:defRPr sz="1000"/>
          </a:pPr>
          <a:endParaRPr lang="ja-JP" altLang="en-US" sz="1100" b="0" i="0" strike="noStrike">
            <a:solidFill>
              <a:srgbClr val="000000"/>
            </a:solidFill>
            <a:latin typeface="ＭＳ 明朝"/>
            <a:ea typeface="ＭＳ 明朝"/>
          </a:endParaRPr>
        </a:p>
        <a:p>
          <a:pPr algn="ctr" rtl="0">
            <a:defRPr sz="1000"/>
          </a:pPr>
          <a:r>
            <a:rPr lang="ja-JP" altLang="en-US" sz="1100" b="0" i="0" strike="noStrike">
              <a:solidFill>
                <a:srgbClr val="000000"/>
              </a:solidFill>
              <a:latin typeface="ＭＳ 明朝"/>
              <a:ea typeface="ＭＳ 明朝"/>
            </a:rPr>
            <a:t>締切日</a:t>
          </a:r>
          <a:r>
            <a:rPr lang="en-US" altLang="ja-JP" sz="1100" b="0" i="0" strike="noStrike">
              <a:solidFill>
                <a:srgbClr val="000000"/>
              </a:solidFill>
              <a:latin typeface="ＭＳ 明朝"/>
              <a:ea typeface="ＭＳ 明朝"/>
            </a:rPr>
            <a:t>1/9</a:t>
          </a:r>
        </a:p>
      </xdr:txBody>
    </xdr:sp>
    <xdr:clientData/>
  </xdr:twoCellAnchor>
  <xdr:twoCellAnchor>
    <xdr:from>
      <xdr:col>7</xdr:col>
      <xdr:colOff>371475</xdr:colOff>
      <xdr:row>38</xdr:row>
      <xdr:rowOff>0</xdr:rowOff>
    </xdr:from>
    <xdr:to>
      <xdr:col>7</xdr:col>
      <xdr:colOff>381000</xdr:colOff>
      <xdr:row>38</xdr:row>
      <xdr:rowOff>0</xdr:rowOff>
    </xdr:to>
    <xdr:sp macro="" textlink="">
      <xdr:nvSpPr>
        <xdr:cNvPr id="225955" name="Line 26"/>
        <xdr:cNvSpPr>
          <a:spLocks noChangeShapeType="1"/>
        </xdr:cNvSpPr>
      </xdr:nvSpPr>
      <xdr:spPr bwMode="auto">
        <a:xfrm flipH="1">
          <a:off x="5172075" y="7143750"/>
          <a:ext cx="9525" cy="0"/>
        </a:xfrm>
        <a:prstGeom prst="line">
          <a:avLst/>
        </a:prstGeom>
        <a:noFill/>
        <a:ln w="9525">
          <a:solidFill>
            <a:srgbClr val="000000"/>
          </a:solidFill>
          <a:round/>
          <a:headEnd/>
          <a:tailEnd/>
        </a:ln>
      </xdr:spPr>
    </xdr:sp>
    <xdr:clientData/>
  </xdr:twoCellAnchor>
  <xdr:twoCellAnchor>
    <xdr:from>
      <xdr:col>7</xdr:col>
      <xdr:colOff>171450</xdr:colOff>
      <xdr:row>38</xdr:row>
      <xdr:rowOff>0</xdr:rowOff>
    </xdr:from>
    <xdr:to>
      <xdr:col>7</xdr:col>
      <xdr:colOff>495300</xdr:colOff>
      <xdr:row>38</xdr:row>
      <xdr:rowOff>0</xdr:rowOff>
    </xdr:to>
    <xdr:sp macro="" textlink="">
      <xdr:nvSpPr>
        <xdr:cNvPr id="21531" name="Text Box 27"/>
        <xdr:cNvSpPr txBox="1">
          <a:spLocks noChangeArrowheads="1"/>
        </xdr:cNvSpPr>
      </xdr:nvSpPr>
      <xdr:spPr bwMode="auto">
        <a:xfrm>
          <a:off x="4972050" y="7143750"/>
          <a:ext cx="323850" cy="0"/>
        </a:xfrm>
        <a:prstGeom prst="rect">
          <a:avLst/>
        </a:prstGeom>
        <a:solidFill>
          <a:srgbClr val="FFFFFF"/>
        </a:solidFill>
        <a:ln w="9525">
          <a:noFill/>
          <a:miter lim="800000"/>
          <a:headEnd/>
          <a:tailEnd/>
        </a:ln>
      </xdr:spPr>
      <xdr:txBody>
        <a:bodyPr vertOverflow="clip" vert="wordArtVertRtl" wrap="square" lIns="0" tIns="0" rIns="27432" bIns="0" anchor="t" upright="1"/>
        <a:lstStyle/>
        <a:p>
          <a:pPr algn="l" rtl="0">
            <a:defRPr sz="1000"/>
          </a:pPr>
          <a:r>
            <a:rPr lang="ja-JP" altLang="en-US" sz="1100" b="0" i="0" strike="noStrike">
              <a:solidFill>
                <a:srgbClr val="000000"/>
              </a:solidFill>
              <a:latin typeface="ＭＳ 明朝"/>
              <a:ea typeface="ＭＳ 明朝"/>
            </a:rPr>
            <a:t>切り取り線</a:t>
          </a:r>
        </a:p>
      </xdr:txBody>
    </xdr:sp>
    <xdr:clientData/>
  </xdr:twoCellAnchor>
  <xdr:twoCellAnchor>
    <xdr:from>
      <xdr:col>7</xdr:col>
      <xdr:colOff>381000</xdr:colOff>
      <xdr:row>38</xdr:row>
      <xdr:rowOff>0</xdr:rowOff>
    </xdr:from>
    <xdr:to>
      <xdr:col>7</xdr:col>
      <xdr:colOff>381000</xdr:colOff>
      <xdr:row>38</xdr:row>
      <xdr:rowOff>0</xdr:rowOff>
    </xdr:to>
    <xdr:sp macro="" textlink="">
      <xdr:nvSpPr>
        <xdr:cNvPr id="225957" name="Line 28"/>
        <xdr:cNvSpPr>
          <a:spLocks noChangeShapeType="1"/>
        </xdr:cNvSpPr>
      </xdr:nvSpPr>
      <xdr:spPr bwMode="auto">
        <a:xfrm flipH="1">
          <a:off x="5181600" y="7143750"/>
          <a:ext cx="0" cy="0"/>
        </a:xfrm>
        <a:prstGeom prst="line">
          <a:avLst/>
        </a:prstGeom>
        <a:noFill/>
        <a:ln w="9525">
          <a:solidFill>
            <a:srgbClr val="000000"/>
          </a:solidFill>
          <a:round/>
          <a:headEnd/>
          <a:tailEnd/>
        </a:ln>
      </xdr:spPr>
    </xdr:sp>
    <xdr:clientData/>
  </xdr:twoCellAnchor>
  <xdr:twoCellAnchor>
    <xdr:from>
      <xdr:col>8</xdr:col>
      <xdr:colOff>0</xdr:colOff>
      <xdr:row>38</xdr:row>
      <xdr:rowOff>0</xdr:rowOff>
    </xdr:from>
    <xdr:to>
      <xdr:col>8</xdr:col>
      <xdr:colOff>0</xdr:colOff>
      <xdr:row>38</xdr:row>
      <xdr:rowOff>0</xdr:rowOff>
    </xdr:to>
    <xdr:sp macro="" textlink="">
      <xdr:nvSpPr>
        <xdr:cNvPr id="21534" name="Text Box 30"/>
        <xdr:cNvSpPr txBox="1">
          <a:spLocks noChangeArrowheads="1"/>
        </xdr:cNvSpPr>
      </xdr:nvSpPr>
      <xdr:spPr bwMode="auto">
        <a:xfrm>
          <a:off x="5381625" y="7143750"/>
          <a:ext cx="0" cy="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明朝"/>
              <a:ea typeface="ＭＳ 明朝"/>
            </a:rPr>
            <a:t>ここに振込票のコピーを張付けて</a:t>
          </a:r>
        </a:p>
        <a:p>
          <a:pPr algn="ctr" rtl="0">
            <a:defRPr sz="1000"/>
          </a:pPr>
          <a:r>
            <a:rPr lang="ja-JP" altLang="en-US" sz="1100" b="0" i="0" strike="noStrike">
              <a:solidFill>
                <a:srgbClr val="000000"/>
              </a:solidFill>
              <a:latin typeface="ＭＳ 明朝"/>
              <a:ea typeface="ＭＳ 明朝"/>
            </a:rPr>
            <a:t>三重陸協事務局までお送り下さい</a:t>
          </a:r>
        </a:p>
      </xdr:txBody>
    </xdr:sp>
    <xdr:clientData/>
  </xdr:twoCellAnchor>
  <xdr:twoCellAnchor>
    <xdr:from>
      <xdr:col>7</xdr:col>
      <xdr:colOff>371475</xdr:colOff>
      <xdr:row>38</xdr:row>
      <xdr:rowOff>0</xdr:rowOff>
    </xdr:from>
    <xdr:to>
      <xdr:col>7</xdr:col>
      <xdr:colOff>381000</xdr:colOff>
      <xdr:row>38</xdr:row>
      <xdr:rowOff>0</xdr:rowOff>
    </xdr:to>
    <xdr:sp macro="" textlink="">
      <xdr:nvSpPr>
        <xdr:cNvPr id="225959" name="Line 31"/>
        <xdr:cNvSpPr>
          <a:spLocks noChangeShapeType="1"/>
        </xdr:cNvSpPr>
      </xdr:nvSpPr>
      <xdr:spPr bwMode="auto">
        <a:xfrm flipH="1">
          <a:off x="5172075" y="7143750"/>
          <a:ext cx="9525" cy="0"/>
        </a:xfrm>
        <a:prstGeom prst="line">
          <a:avLst/>
        </a:prstGeom>
        <a:noFill/>
        <a:ln w="9525">
          <a:solidFill>
            <a:srgbClr val="000000"/>
          </a:solidFill>
          <a:round/>
          <a:headEnd/>
          <a:tailEnd/>
        </a:ln>
      </xdr:spPr>
    </xdr:sp>
    <xdr:clientData/>
  </xdr:twoCellAnchor>
  <xdr:twoCellAnchor>
    <xdr:from>
      <xdr:col>7</xdr:col>
      <xdr:colOff>171450</xdr:colOff>
      <xdr:row>38</xdr:row>
      <xdr:rowOff>0</xdr:rowOff>
    </xdr:from>
    <xdr:to>
      <xdr:col>7</xdr:col>
      <xdr:colOff>495300</xdr:colOff>
      <xdr:row>38</xdr:row>
      <xdr:rowOff>0</xdr:rowOff>
    </xdr:to>
    <xdr:sp macro="" textlink="">
      <xdr:nvSpPr>
        <xdr:cNvPr id="21536" name="Text Box 32"/>
        <xdr:cNvSpPr txBox="1">
          <a:spLocks noChangeArrowheads="1"/>
        </xdr:cNvSpPr>
      </xdr:nvSpPr>
      <xdr:spPr bwMode="auto">
        <a:xfrm>
          <a:off x="4972050" y="7143750"/>
          <a:ext cx="323850" cy="0"/>
        </a:xfrm>
        <a:prstGeom prst="rect">
          <a:avLst/>
        </a:prstGeom>
        <a:solidFill>
          <a:srgbClr val="FFFFFF"/>
        </a:solidFill>
        <a:ln w="9525">
          <a:noFill/>
          <a:miter lim="800000"/>
          <a:headEnd/>
          <a:tailEnd/>
        </a:ln>
      </xdr:spPr>
      <xdr:txBody>
        <a:bodyPr vertOverflow="clip" vert="wordArtVertRtl" wrap="square" lIns="0" tIns="0" rIns="27432" bIns="0" anchor="t" upright="1"/>
        <a:lstStyle/>
        <a:p>
          <a:pPr algn="l" rtl="0">
            <a:defRPr sz="1000"/>
          </a:pPr>
          <a:r>
            <a:rPr lang="ja-JP" altLang="en-US" sz="1100" b="0" i="0" strike="noStrike">
              <a:solidFill>
                <a:srgbClr val="000000"/>
              </a:solidFill>
              <a:latin typeface="ＭＳ 明朝"/>
              <a:ea typeface="ＭＳ 明朝"/>
            </a:rPr>
            <a:t>切り取り線</a:t>
          </a:r>
        </a:p>
      </xdr:txBody>
    </xdr:sp>
    <xdr:clientData/>
  </xdr:twoCellAnchor>
  <xdr:twoCellAnchor>
    <xdr:from>
      <xdr:col>7</xdr:col>
      <xdr:colOff>381000</xdr:colOff>
      <xdr:row>38</xdr:row>
      <xdr:rowOff>0</xdr:rowOff>
    </xdr:from>
    <xdr:to>
      <xdr:col>7</xdr:col>
      <xdr:colOff>381000</xdr:colOff>
      <xdr:row>38</xdr:row>
      <xdr:rowOff>0</xdr:rowOff>
    </xdr:to>
    <xdr:sp macro="" textlink="">
      <xdr:nvSpPr>
        <xdr:cNvPr id="225961" name="Line 33"/>
        <xdr:cNvSpPr>
          <a:spLocks noChangeShapeType="1"/>
        </xdr:cNvSpPr>
      </xdr:nvSpPr>
      <xdr:spPr bwMode="auto">
        <a:xfrm flipH="1">
          <a:off x="5181600" y="7143750"/>
          <a:ext cx="0" cy="0"/>
        </a:xfrm>
        <a:prstGeom prst="line">
          <a:avLst/>
        </a:prstGeom>
        <a:noFill/>
        <a:ln w="9525">
          <a:solidFill>
            <a:srgbClr val="000000"/>
          </a:solidFill>
          <a:round/>
          <a:headEnd/>
          <a:tailEnd/>
        </a:ln>
      </xdr:spPr>
    </xdr:sp>
    <xdr:clientData/>
  </xdr:twoCellAnchor>
  <xdr:twoCellAnchor>
    <xdr:from>
      <xdr:col>8</xdr:col>
      <xdr:colOff>0</xdr:colOff>
      <xdr:row>38</xdr:row>
      <xdr:rowOff>0</xdr:rowOff>
    </xdr:from>
    <xdr:to>
      <xdr:col>8</xdr:col>
      <xdr:colOff>0</xdr:colOff>
      <xdr:row>38</xdr:row>
      <xdr:rowOff>0</xdr:rowOff>
    </xdr:to>
    <xdr:sp macro="" textlink="">
      <xdr:nvSpPr>
        <xdr:cNvPr id="21539" name="Text Box 35"/>
        <xdr:cNvSpPr txBox="1">
          <a:spLocks noChangeArrowheads="1"/>
        </xdr:cNvSpPr>
      </xdr:nvSpPr>
      <xdr:spPr bwMode="auto">
        <a:xfrm>
          <a:off x="5381625" y="7143750"/>
          <a:ext cx="0" cy="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明朝"/>
              <a:ea typeface="ＭＳ 明朝"/>
            </a:rPr>
            <a:t>ここに振込票のコピーを張付けて</a:t>
          </a:r>
        </a:p>
        <a:p>
          <a:pPr algn="ctr" rtl="0">
            <a:defRPr sz="1000"/>
          </a:pPr>
          <a:r>
            <a:rPr lang="ja-JP" altLang="en-US" sz="1100" b="0" i="0" strike="noStrike">
              <a:solidFill>
                <a:srgbClr val="000000"/>
              </a:solidFill>
              <a:latin typeface="ＭＳ 明朝"/>
              <a:ea typeface="ＭＳ 明朝"/>
            </a:rPr>
            <a:t>お送り下さい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19050</xdr:colOff>
      <xdr:row>2</xdr:row>
      <xdr:rowOff>31750</xdr:rowOff>
    </xdr:from>
    <xdr:to>
      <xdr:col>19</xdr:col>
      <xdr:colOff>401125</xdr:colOff>
      <xdr:row>2</xdr:row>
      <xdr:rowOff>295275</xdr:rowOff>
    </xdr:to>
    <xdr:sp macro="[0]!メニューへ戻る" textlink="">
      <xdr:nvSpPr>
        <xdr:cNvPr id="40961" name="Rectangle 1"/>
        <xdr:cNvSpPr>
          <a:spLocks noChangeArrowheads="1"/>
        </xdr:cNvSpPr>
      </xdr:nvSpPr>
      <xdr:spPr bwMode="auto">
        <a:xfrm>
          <a:off x="7625292" y="497417"/>
          <a:ext cx="1217083" cy="263525"/>
        </a:xfrm>
        <a:prstGeom prst="rect">
          <a:avLst/>
        </a:prstGeom>
        <a:solidFill>
          <a:srgbClr val="FF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メニューへ戻る</a:t>
          </a:r>
        </a:p>
      </xdr:txBody>
    </xdr:sp>
    <xdr:clientData fLocksWithSheet="0" fPrintsWithSheet="0"/>
  </xdr:twoCellAnchor>
  <xdr:twoCellAnchor>
    <xdr:from>
      <xdr:col>15</xdr:col>
      <xdr:colOff>9525</xdr:colOff>
      <xdr:row>8</xdr:row>
      <xdr:rowOff>19050</xdr:rowOff>
    </xdr:from>
    <xdr:to>
      <xdr:col>20</xdr:col>
      <xdr:colOff>9525</xdr:colOff>
      <xdr:row>9</xdr:row>
      <xdr:rowOff>57150</xdr:rowOff>
    </xdr:to>
    <xdr:sp macro="[0]!女子一覧へ移動" textlink="">
      <xdr:nvSpPr>
        <xdr:cNvPr id="40962" name="Rectangle 2"/>
        <xdr:cNvSpPr>
          <a:spLocks noChangeArrowheads="1"/>
        </xdr:cNvSpPr>
      </xdr:nvSpPr>
      <xdr:spPr bwMode="auto">
        <a:xfrm>
          <a:off x="7653867" y="1754717"/>
          <a:ext cx="1248833" cy="249766"/>
        </a:xfrm>
        <a:prstGeom prst="rect">
          <a:avLst/>
        </a:prstGeom>
        <a:solidFill>
          <a:srgbClr val="FF99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女子一般一覧表へ</a:t>
          </a:r>
        </a:p>
      </xdr:txBody>
    </xdr:sp>
    <xdr:clientData fLocksWithSheet="0" fPrintsWithSheet="0"/>
  </xdr:twoCellAnchor>
  <xdr:twoCellAnchor>
    <xdr:from>
      <xdr:col>17</xdr:col>
      <xdr:colOff>19050</xdr:colOff>
      <xdr:row>5</xdr:row>
      <xdr:rowOff>9525</xdr:rowOff>
    </xdr:from>
    <xdr:to>
      <xdr:col>22</xdr:col>
      <xdr:colOff>19050</xdr:colOff>
      <xdr:row>6</xdr:row>
      <xdr:rowOff>114300</xdr:rowOff>
    </xdr:to>
    <xdr:sp macro="[0]!男子個票へ移動" textlink="">
      <xdr:nvSpPr>
        <xdr:cNvPr id="40963" name="Rectangle 3"/>
        <xdr:cNvSpPr>
          <a:spLocks noChangeArrowheads="1"/>
        </xdr:cNvSpPr>
      </xdr:nvSpPr>
      <xdr:spPr bwMode="auto">
        <a:xfrm>
          <a:off x="7634817" y="1163108"/>
          <a:ext cx="1248833" cy="252942"/>
        </a:xfrm>
        <a:prstGeom prst="rect">
          <a:avLst/>
        </a:prstGeom>
        <a:solidFill>
          <a:srgbClr val="00FFFF"/>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男子　個票へ</a:t>
          </a:r>
        </a:p>
      </xdr:txBody>
    </xdr:sp>
    <xdr:clientData fLocksWithSheet="0" fPrintsWithSheet="0"/>
  </xdr:twoCellAnchor>
  <xdr:twoCellAnchor>
    <xdr:from>
      <xdr:col>15</xdr:col>
      <xdr:colOff>9525</xdr:colOff>
      <xdr:row>10</xdr:row>
      <xdr:rowOff>47625</xdr:rowOff>
    </xdr:from>
    <xdr:to>
      <xdr:col>20</xdr:col>
      <xdr:colOff>9525</xdr:colOff>
      <xdr:row>11</xdr:row>
      <xdr:rowOff>152400</xdr:rowOff>
    </xdr:to>
    <xdr:sp macro="[0]!女子個票へ移動" textlink="">
      <xdr:nvSpPr>
        <xdr:cNvPr id="40964" name="Rectangle 4"/>
        <xdr:cNvSpPr>
          <a:spLocks noChangeArrowheads="1"/>
        </xdr:cNvSpPr>
      </xdr:nvSpPr>
      <xdr:spPr bwMode="auto">
        <a:xfrm>
          <a:off x="7653867" y="2143125"/>
          <a:ext cx="1248833" cy="252942"/>
        </a:xfrm>
        <a:prstGeom prst="rect">
          <a:avLst/>
        </a:prstGeom>
        <a:solidFill>
          <a:srgbClr val="FF99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女子　個票へ</a:t>
          </a:r>
        </a:p>
      </xdr:txBody>
    </xdr:sp>
    <xdr:clientData fLocksWithSheet="0" fPrintsWithSheet="0"/>
  </xdr:twoCellAnchor>
  <xdr:twoCellAnchor>
    <xdr:from>
      <xdr:col>15</xdr:col>
      <xdr:colOff>9525</xdr:colOff>
      <xdr:row>13</xdr:row>
      <xdr:rowOff>9525</xdr:rowOff>
    </xdr:from>
    <xdr:to>
      <xdr:col>20</xdr:col>
      <xdr:colOff>0</xdr:colOff>
      <xdr:row>13</xdr:row>
      <xdr:rowOff>257175</xdr:rowOff>
    </xdr:to>
    <xdr:sp macro="[0]!印刷1" textlink="">
      <xdr:nvSpPr>
        <xdr:cNvPr id="40965" name="Rectangle 5"/>
        <xdr:cNvSpPr>
          <a:spLocks noChangeArrowheads="1"/>
        </xdr:cNvSpPr>
      </xdr:nvSpPr>
      <xdr:spPr bwMode="auto">
        <a:xfrm>
          <a:off x="7682442" y="2792942"/>
          <a:ext cx="1239308" cy="247650"/>
        </a:xfrm>
        <a:prstGeom prst="rect">
          <a:avLst/>
        </a:prstGeom>
        <a:solidFill>
          <a:srgbClr val="00FF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印　刷</a:t>
          </a:r>
        </a:p>
      </xdr:txBody>
    </xdr:sp>
    <xdr:clientData fLocksWithSheet="0" fPrintsWithSheet="0"/>
  </xdr:twoCellAnchor>
  <xdr:twoCellAnchor>
    <xdr:from>
      <xdr:col>17</xdr:col>
      <xdr:colOff>28575</xdr:colOff>
      <xdr:row>14</xdr:row>
      <xdr:rowOff>257175</xdr:rowOff>
    </xdr:from>
    <xdr:to>
      <xdr:col>22</xdr:col>
      <xdr:colOff>19050</xdr:colOff>
      <xdr:row>15</xdr:row>
      <xdr:rowOff>295275</xdr:rowOff>
    </xdr:to>
    <xdr:sp macro="[0]!汎用書式" textlink="">
      <xdr:nvSpPr>
        <xdr:cNvPr id="40966" name="Rectangle 6"/>
        <xdr:cNvSpPr>
          <a:spLocks noChangeArrowheads="1"/>
        </xdr:cNvSpPr>
      </xdr:nvSpPr>
      <xdr:spPr bwMode="auto">
        <a:xfrm>
          <a:off x="7682442" y="3421592"/>
          <a:ext cx="1239308" cy="419100"/>
        </a:xfrm>
        <a:prstGeom prst="rect">
          <a:avLst/>
        </a:prstGeom>
        <a:solidFill>
          <a:srgbClr val="FF0000"/>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FFFFFF"/>
              </a:solidFill>
              <a:latin typeface="ＭＳ Ｐゴシック"/>
              <a:ea typeface="ＭＳ Ｐゴシック"/>
            </a:rPr>
            <a:t>添付ファイル作成</a:t>
          </a:r>
        </a:p>
      </xdr:txBody>
    </xdr:sp>
    <xdr:clientData fLocksWithSheet="0" fPrintsWithSheet="0"/>
  </xdr:twoCellAnchor>
  <xdr:twoCellAnchor>
    <xdr:from>
      <xdr:col>17</xdr:col>
      <xdr:colOff>95250</xdr:colOff>
      <xdr:row>16</xdr:row>
      <xdr:rowOff>76200</xdr:rowOff>
    </xdr:from>
    <xdr:to>
      <xdr:col>23</xdr:col>
      <xdr:colOff>99426</xdr:colOff>
      <xdr:row>19</xdr:row>
      <xdr:rowOff>333375</xdr:rowOff>
    </xdr:to>
    <xdr:sp macro="" textlink="">
      <xdr:nvSpPr>
        <xdr:cNvPr id="40969" name="AutoShape 9"/>
        <xdr:cNvSpPr>
          <a:spLocks noChangeArrowheads="1"/>
        </xdr:cNvSpPr>
      </xdr:nvSpPr>
      <xdr:spPr bwMode="auto">
        <a:xfrm>
          <a:off x="7749117" y="4002617"/>
          <a:ext cx="1791758" cy="1400175"/>
        </a:xfrm>
        <a:prstGeom prst="cloudCallout">
          <a:avLst>
            <a:gd name="adj1" fmla="val -68718"/>
            <a:gd name="adj2" fmla="val 101019"/>
          </a:avLst>
        </a:prstGeom>
        <a:solidFill>
          <a:srgbClr val="FFFF00"/>
        </a:solidFill>
        <a:ln w="9525">
          <a:solidFill>
            <a:srgbClr val="000000"/>
          </a:solidFill>
          <a:round/>
          <a:headEnd/>
          <a:tailEnd/>
        </a:ln>
        <a:effectLst/>
      </xdr:spPr>
      <xdr:txBody>
        <a:bodyPr vertOverflow="clip" wrap="square" lIns="27432" tIns="18288" rIns="0" bIns="18288" anchor="ctr" upright="1"/>
        <a:lstStyle/>
        <a:p>
          <a:pPr algn="l" rtl="0">
            <a:lnSpc>
              <a:spcPts val="1300"/>
            </a:lnSpc>
            <a:defRPr sz="1000"/>
          </a:pPr>
          <a:r>
            <a:rPr lang="ja-JP" altLang="en-US" sz="1100" b="0" i="0" strike="noStrike">
              <a:solidFill>
                <a:srgbClr val="000000"/>
              </a:solidFill>
              <a:latin typeface="ＭＳ Ｐゴシック"/>
              <a:ea typeface="ＭＳ Ｐゴシック"/>
            </a:rPr>
            <a:t>まずは選手の</a:t>
          </a:r>
          <a:r>
            <a:rPr lang="en-US" altLang="ja-JP" sz="1100" b="0" i="0" strike="noStrike">
              <a:solidFill>
                <a:srgbClr val="000000"/>
              </a:solidFill>
              <a:latin typeface="ＭＳ Ｐゴシック"/>
              <a:ea typeface="ＭＳ Ｐゴシック"/>
            </a:rPr>
            <a:t>NO</a:t>
          </a:r>
          <a:r>
            <a:rPr lang="ja-JP" altLang="en-US" sz="1100" b="0" i="0" strike="noStrike">
              <a:solidFill>
                <a:srgbClr val="000000"/>
              </a:solidFill>
              <a:latin typeface="ＭＳ Ｐゴシック"/>
              <a:ea typeface="ＭＳ Ｐゴシック"/>
            </a:rPr>
            <a:t>を入力して下さい</a:t>
          </a: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fPrintsWithSheet="0"/>
  </xdr:twoCellAnchor>
  <xdr:twoCellAnchor>
    <xdr:from>
      <xdr:col>17</xdr:col>
      <xdr:colOff>25400</xdr:colOff>
      <xdr:row>0</xdr:row>
      <xdr:rowOff>141817</xdr:rowOff>
    </xdr:from>
    <xdr:to>
      <xdr:col>19</xdr:col>
      <xdr:colOff>406425</xdr:colOff>
      <xdr:row>1</xdr:row>
      <xdr:rowOff>156634</xdr:rowOff>
    </xdr:to>
    <xdr:sp macro="[0]!名簿へ移動" textlink="">
      <xdr:nvSpPr>
        <xdr:cNvPr id="40970" name="Rectangle 10"/>
        <xdr:cNvSpPr>
          <a:spLocks noChangeArrowheads="1"/>
        </xdr:cNvSpPr>
      </xdr:nvSpPr>
      <xdr:spPr bwMode="auto">
        <a:xfrm>
          <a:off x="7622117" y="141817"/>
          <a:ext cx="1216025" cy="247650"/>
        </a:xfrm>
        <a:prstGeom prst="rect">
          <a:avLst/>
        </a:prstGeom>
        <a:solidFill>
          <a:srgbClr val="CCFFCC"/>
        </a:solidFill>
        <a:ln w="9525" algn="ctr">
          <a:solidFill>
            <a:srgbClr val="000000"/>
          </a:solidFill>
          <a:miter lim="800000"/>
          <a:headEnd/>
          <a:tailEnd/>
        </a:ln>
        <a:effectLst/>
      </xdr:spPr>
      <xdr:txBody>
        <a:bodyPr vertOverflow="clip" wrap="square" lIns="36576" tIns="18288" rIns="36576" bIns="18288" anchor="ctr" upright="1"/>
        <a:lstStyle/>
        <a:p>
          <a:pPr algn="ctr" rtl="0">
            <a:defRPr sz="1000"/>
          </a:pPr>
          <a:r>
            <a:rPr lang="ja-JP" altLang="en-US" sz="1100" b="1" i="0" strike="noStrike">
              <a:solidFill>
                <a:srgbClr val="000000"/>
              </a:solidFill>
              <a:latin typeface="ＭＳ Ｐゴシック"/>
              <a:ea typeface="ＭＳ Ｐゴシック"/>
            </a:rPr>
            <a:t>名簿の確認</a:t>
          </a:r>
        </a:p>
      </xdr:txBody>
    </xdr:sp>
    <xdr:clientData fLocksWithSheet="0"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0">
    <pageSetUpPr fitToPage="1"/>
  </sheetPr>
  <dimension ref="A1:K69"/>
  <sheetViews>
    <sheetView showGridLines="0" showRowColHeaders="0" tabSelected="1" workbookViewId="0">
      <selection activeCell="M4" sqref="M4"/>
    </sheetView>
  </sheetViews>
  <sheetFormatPr defaultRowHeight="14.25"/>
  <cols>
    <col min="1" max="16384" width="9" style="209"/>
  </cols>
  <sheetData>
    <row r="1" spans="1:11" s="689" customFormat="1" ht="36" customHeight="1">
      <c r="A1" s="1023" t="s">
        <v>460</v>
      </c>
      <c r="B1" s="1024"/>
      <c r="C1" s="1024"/>
      <c r="D1" s="1024"/>
      <c r="E1" s="1024"/>
      <c r="F1" s="1024"/>
      <c r="G1" s="1024"/>
      <c r="H1" s="1024"/>
      <c r="I1" s="1024"/>
      <c r="J1" s="1024"/>
      <c r="K1" s="1024"/>
    </row>
    <row r="2" spans="1:11" ht="36" customHeight="1">
      <c r="A2" s="1025" t="s">
        <v>712</v>
      </c>
      <c r="B2" s="1026"/>
      <c r="C2" s="1026"/>
      <c r="D2" s="1026"/>
      <c r="E2" s="1026"/>
      <c r="F2" s="1026"/>
      <c r="G2" s="1026"/>
      <c r="H2" s="1026"/>
      <c r="I2" s="1026"/>
      <c r="J2" s="1026"/>
      <c r="K2" s="1026"/>
    </row>
    <row r="3" spans="1:11" ht="36" customHeight="1">
      <c r="A3" s="1025" t="s">
        <v>714</v>
      </c>
      <c r="B3" s="1026"/>
      <c r="C3" s="1026"/>
      <c r="D3" s="1026"/>
      <c r="E3" s="1026"/>
      <c r="F3" s="1026"/>
      <c r="G3" s="1026"/>
      <c r="H3" s="1026"/>
      <c r="I3" s="1026"/>
      <c r="J3" s="1026"/>
      <c r="K3" s="1026"/>
    </row>
    <row r="4" spans="1:11" ht="36" customHeight="1">
      <c r="A4" s="1025" t="s">
        <v>713</v>
      </c>
      <c r="B4" s="1026"/>
      <c r="C4" s="1026"/>
      <c r="D4" s="1026"/>
      <c r="E4" s="1026"/>
      <c r="F4" s="1026"/>
      <c r="G4" s="1026"/>
      <c r="H4" s="1026"/>
      <c r="I4" s="1026"/>
      <c r="J4" s="1026"/>
      <c r="K4" s="1026"/>
    </row>
    <row r="5" spans="1:11" s="689" customFormat="1" ht="36" customHeight="1">
      <c r="A5" s="688" t="s">
        <v>461</v>
      </c>
    </row>
    <row r="6" spans="1:11" ht="24" customHeight="1">
      <c r="A6" s="210" t="s">
        <v>452</v>
      </c>
    </row>
    <row r="7" spans="1:11" ht="24" customHeight="1">
      <c r="A7" s="209" t="s">
        <v>478</v>
      </c>
    </row>
    <row r="8" spans="1:11" ht="24" customHeight="1">
      <c r="A8" s="209" t="s">
        <v>453</v>
      </c>
    </row>
    <row r="9" spans="1:11" ht="24" customHeight="1">
      <c r="A9" s="209" t="s">
        <v>454</v>
      </c>
    </row>
    <row r="15" spans="1:11" ht="31.5" customHeight="1"/>
    <row r="36" spans="1:1" ht="24" customHeight="1">
      <c r="A36" s="209" t="s">
        <v>455</v>
      </c>
    </row>
    <row r="56" spans="1:1" ht="24" customHeight="1">
      <c r="A56" s="211" t="s">
        <v>459</v>
      </c>
    </row>
    <row r="57" spans="1:1" ht="24" customHeight="1">
      <c r="A57" s="209" t="s">
        <v>456</v>
      </c>
    </row>
    <row r="69" spans="1:1">
      <c r="A69" s="211" t="s">
        <v>457</v>
      </c>
    </row>
  </sheetData>
  <phoneticPr fontId="22"/>
  <pageMargins left="0.78700000000000003" right="0.78700000000000003" top="0.98399999999999999" bottom="0.98399999999999999" header="0.51200000000000001" footer="0.51200000000000001"/>
  <pageSetup paperSize="9" scale="72" orientation="portrait" horizontalDpi="4294967293" verticalDpi="0"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20" enableFormatConditionsCalculation="0">
    <tabColor indexed="47"/>
    <pageSetUpPr fitToPage="1"/>
  </sheetPr>
  <dimension ref="A1:BJ161"/>
  <sheetViews>
    <sheetView showGridLines="0" showZeros="0" topLeftCell="E1" zoomScale="95" workbookViewId="0">
      <selection activeCell="E1" sqref="E1:E4"/>
    </sheetView>
  </sheetViews>
  <sheetFormatPr defaultColWidth="8.625" defaultRowHeight="13.5"/>
  <cols>
    <col min="1" max="1" width="8.25" style="135" hidden="1" customWidth="1"/>
    <col min="2" max="2" width="7.875" style="135" hidden="1" customWidth="1"/>
    <col min="3" max="3" width="5.875" style="135" hidden="1" customWidth="1"/>
    <col min="4" max="4" width="7.375" style="135" hidden="1" customWidth="1"/>
    <col min="5" max="5" width="13" style="135" bestFit="1" customWidth="1"/>
    <col min="6" max="6" width="16.25" style="135" customWidth="1"/>
    <col min="7" max="7" width="16" style="136" customWidth="1"/>
    <col min="8" max="8" width="14.125" style="137" hidden="1" customWidth="1"/>
    <col min="9" max="9" width="6.375" style="137" customWidth="1"/>
    <col min="10" max="10" width="4.5" style="20" customWidth="1"/>
    <col min="11" max="11" width="5.875" style="790" hidden="1" customWidth="1"/>
    <col min="12" max="12" width="6.875" style="135" hidden="1" customWidth="1"/>
    <col min="13" max="13" width="5.75" style="177" hidden="1" customWidth="1"/>
    <col min="14" max="14" width="10.75" style="138" bestFit="1" customWidth="1"/>
    <col min="15" max="15" width="16" style="176" customWidth="1"/>
    <col min="16" max="16" width="7.125" style="177" hidden="1" customWidth="1"/>
    <col min="17" max="17" width="10.375" style="138" customWidth="1"/>
    <col min="18" max="18" width="8.625" style="176" hidden="1" customWidth="1"/>
    <col min="19" max="19" width="6.75" style="177" hidden="1" customWidth="1"/>
    <col min="20" max="20" width="16.25" style="141" customWidth="1"/>
    <col min="21" max="21" width="7.125" style="176" hidden="1" customWidth="1"/>
    <col min="22" max="22" width="13.75" style="177" customWidth="1"/>
    <col min="23" max="23" width="10.125" style="141" hidden="1" customWidth="1"/>
    <col min="24" max="24" width="2.5" style="176" hidden="1" customWidth="1"/>
    <col min="25" max="25" width="10.75" style="177" customWidth="1"/>
    <col min="26" max="26" width="2.375" style="141" hidden="1" customWidth="1"/>
    <col min="27" max="27" width="5.25" style="176" hidden="1" customWidth="1"/>
    <col min="28" max="28" width="8" style="20" hidden="1" customWidth="1"/>
    <col min="29" max="29" width="7.125" style="20" hidden="1" customWidth="1"/>
    <col min="30" max="30" width="5.25" style="135" hidden="1" customWidth="1"/>
    <col min="31" max="31" width="5.5" style="143" hidden="1" customWidth="1"/>
    <col min="32" max="32" width="7.875" style="135" hidden="1" customWidth="1"/>
    <col min="33" max="33" width="8" style="135" hidden="1" customWidth="1"/>
    <col min="34" max="34" width="7.125" style="135" hidden="1" customWidth="1"/>
    <col min="35" max="35" width="5.25" style="135" hidden="1" customWidth="1"/>
    <col min="36" max="36" width="8.5" style="135" hidden="1" customWidth="1"/>
    <col min="37" max="37" width="7.25" style="135" hidden="1" customWidth="1"/>
    <col min="38" max="38" width="7.125" style="135" hidden="1" customWidth="1"/>
    <col min="39" max="39" width="14.625" style="135" hidden="1" customWidth="1"/>
    <col min="40" max="40" width="7.875" style="135" hidden="1" customWidth="1"/>
    <col min="41" max="41" width="7.625" style="135" hidden="1" customWidth="1"/>
    <col min="42" max="42" width="2.5" style="135" hidden="1" customWidth="1"/>
    <col min="43" max="43" width="5.125" style="169" hidden="1" customWidth="1"/>
    <col min="44" max="44" width="5.75" style="169" hidden="1" customWidth="1"/>
    <col min="45" max="45" width="5.5" style="135" hidden="1" customWidth="1"/>
    <col min="46" max="46" width="11.375" style="135" bestFit="1" customWidth="1"/>
    <col min="47" max="47" width="12.375" style="135" customWidth="1"/>
    <col min="48" max="48" width="9.25" style="135" hidden="1" customWidth="1"/>
    <col min="49" max="49" width="9.375" style="135" hidden="1" customWidth="1"/>
    <col min="50" max="50" width="10.75" style="135" hidden="1" customWidth="1"/>
    <col min="51" max="51" width="9.75" style="135" hidden="1" customWidth="1"/>
    <col min="52" max="52" width="9.375" style="135" hidden="1" customWidth="1"/>
    <col min="53" max="53" width="8.875" style="135" hidden="1" customWidth="1"/>
    <col min="54" max="54" width="8.625" style="135" hidden="1" customWidth="1"/>
    <col min="55" max="55" width="7.25" style="135" hidden="1" customWidth="1"/>
    <col min="56" max="56" width="6.75" style="135" hidden="1" customWidth="1"/>
    <col min="57" max="57" width="8.625" style="135"/>
    <col min="58" max="58" width="15.375" style="135" customWidth="1"/>
    <col min="59" max="59" width="6.125" style="135" hidden="1" customWidth="1"/>
    <col min="60" max="60" width="6.375" style="135" hidden="1" customWidth="1"/>
    <col min="61" max="61" width="5.875" style="135" customWidth="1"/>
    <col min="62" max="16384" width="8.625" style="135"/>
  </cols>
  <sheetData>
    <row r="1" spans="1:62" ht="26.25" customHeight="1">
      <c r="B1" s="782"/>
      <c r="C1" s="933"/>
      <c r="D1" s="934"/>
      <c r="E1" s="1393" t="s">
        <v>610</v>
      </c>
      <c r="F1" s="1208">
        <f>IF(名簿!$O$4="","",名簿!$O$4)</f>
        <v>0</v>
      </c>
      <c r="G1" s="345" t="s">
        <v>444</v>
      </c>
      <c r="H1" s="345"/>
      <c r="I1" s="345"/>
      <c r="J1" s="345"/>
      <c r="K1" s="938"/>
      <c r="L1" s="345"/>
      <c r="M1" s="345"/>
      <c r="N1" s="345"/>
      <c r="O1" s="345"/>
      <c r="P1" s="345"/>
      <c r="Q1" s="345"/>
      <c r="R1" s="345"/>
      <c r="S1" s="301"/>
      <c r="T1" s="301"/>
      <c r="U1" s="301"/>
      <c r="V1" s="346"/>
      <c r="W1" s="303"/>
      <c r="X1" s="347"/>
      <c r="Y1" s="346"/>
      <c r="Z1" s="303"/>
      <c r="AA1" s="347"/>
      <c r="AB1" s="259"/>
      <c r="AC1" s="259"/>
      <c r="AD1" s="300"/>
      <c r="AE1" s="306"/>
      <c r="AF1" s="300"/>
      <c r="AG1" s="300"/>
      <c r="AH1" s="300"/>
      <c r="AI1" s="300"/>
      <c r="AJ1" s="300"/>
      <c r="AK1" s="300"/>
      <c r="AL1" s="300"/>
      <c r="AM1" s="300"/>
      <c r="AN1" s="300"/>
      <c r="AO1" s="300"/>
      <c r="AP1" s="300"/>
      <c r="AQ1" s="325"/>
      <c r="AR1" s="325"/>
      <c r="AS1" s="300"/>
      <c r="AT1" s="300"/>
      <c r="AU1" s="300"/>
      <c r="AV1" s="300"/>
      <c r="BE1" s="300"/>
      <c r="BF1" s="300"/>
      <c r="BG1" s="300"/>
      <c r="BH1" s="300"/>
      <c r="BI1" s="300"/>
      <c r="BJ1" s="300"/>
    </row>
    <row r="2" spans="1:62" ht="26.25" customHeight="1">
      <c r="B2" s="782"/>
      <c r="C2" s="935"/>
      <c r="D2" s="936"/>
      <c r="E2" s="1393"/>
      <c r="F2" s="357"/>
      <c r="G2" s="940" t="s">
        <v>834</v>
      </c>
      <c r="H2" s="940"/>
      <c r="I2" s="940"/>
      <c r="J2" s="552"/>
      <c r="K2" s="551"/>
      <c r="L2" s="551"/>
      <c r="M2" s="552"/>
      <c r="N2" s="348"/>
      <c r="O2" s="349"/>
      <c r="P2" s="1474"/>
      <c r="Q2" s="1474"/>
      <c r="R2" s="311"/>
      <c r="S2" s="350"/>
      <c r="T2" s="313"/>
      <c r="U2" s="310"/>
      <c r="V2" s="1474"/>
      <c r="W2" s="1474"/>
      <c r="X2" s="310"/>
      <c r="Y2" s="312"/>
      <c r="Z2" s="313"/>
      <c r="AA2" s="304"/>
      <c r="AB2" s="259"/>
      <c r="AC2" s="259"/>
      <c r="AD2" s="300"/>
      <c r="AE2" s="306"/>
      <c r="AF2" s="300"/>
      <c r="AG2" s="300"/>
      <c r="AH2" s="300"/>
      <c r="AI2" s="300"/>
      <c r="AJ2" s="300"/>
      <c r="AK2" s="300"/>
      <c r="AL2" s="300"/>
      <c r="AM2" s="300"/>
      <c r="AN2" s="300"/>
      <c r="AO2" s="300"/>
      <c r="AP2" s="300"/>
      <c r="AQ2" s="325"/>
      <c r="AR2" s="325"/>
      <c r="AS2" s="300"/>
      <c r="AT2" s="300"/>
      <c r="AU2" s="300"/>
      <c r="AV2" s="300"/>
      <c r="BE2" s="300"/>
      <c r="BF2" s="300"/>
      <c r="BG2" s="300"/>
      <c r="BH2" s="300"/>
      <c r="BI2" s="300"/>
      <c r="BJ2" s="300"/>
    </row>
    <row r="3" spans="1:62" ht="26.25" customHeight="1">
      <c r="B3" s="786"/>
      <c r="C3" s="787"/>
      <c r="D3" s="787"/>
      <c r="E3" s="1394" t="s">
        <v>1217</v>
      </c>
      <c r="F3" s="272" t="str">
        <f>IF(名簿!$D$1="","",名簿!$D$1)</f>
        <v/>
      </c>
      <c r="G3" s="348"/>
      <c r="H3" s="348"/>
      <c r="I3" s="348"/>
      <c r="J3" s="348"/>
      <c r="K3" s="939"/>
      <c r="L3" s="348"/>
      <c r="M3" s="348"/>
      <c r="N3" s="348"/>
      <c r="O3" s="349"/>
      <c r="P3" s="350"/>
      <c r="Q3" s="350"/>
      <c r="R3" s="311"/>
      <c r="S3" s="350"/>
      <c r="T3" s="313"/>
      <c r="U3" s="310"/>
      <c r="V3" s="350"/>
      <c r="W3" s="350"/>
      <c r="X3" s="310"/>
      <c r="Y3" s="312"/>
      <c r="Z3" s="313"/>
      <c r="AA3" s="304"/>
      <c r="AB3" s="259"/>
      <c r="AC3" s="259"/>
      <c r="AD3" s="300"/>
      <c r="AE3" s="306"/>
      <c r="AF3" s="300"/>
      <c r="AG3" s="300"/>
      <c r="AH3" s="300"/>
      <c r="AI3" s="300"/>
      <c r="AJ3" s="300"/>
      <c r="AK3" s="300"/>
      <c r="AL3" s="300"/>
      <c r="AM3" s="300"/>
      <c r="AN3" s="300"/>
      <c r="AO3" s="300"/>
      <c r="AP3" s="300"/>
      <c r="AQ3" s="325"/>
      <c r="AR3" s="325"/>
      <c r="AS3" s="300"/>
      <c r="AT3" s="300"/>
      <c r="AU3" s="300"/>
      <c r="AV3" s="300"/>
      <c r="BE3" s="300"/>
      <c r="BF3" s="300"/>
      <c r="BG3" s="300"/>
      <c r="BH3" s="300"/>
      <c r="BI3" s="300"/>
      <c r="BJ3" s="300"/>
    </row>
    <row r="4" spans="1:62" ht="26.25" customHeight="1" thickBot="1">
      <c r="B4" s="786"/>
      <c r="C4" s="787"/>
      <c r="D4" s="787"/>
      <c r="E4" s="1394" t="s">
        <v>1218</v>
      </c>
      <c r="F4" s="272" t="str">
        <f>IF(名簿!$I$1="","",名簿!$I$1)</f>
        <v/>
      </c>
      <c r="G4" s="348"/>
      <c r="H4" s="348"/>
      <c r="I4" s="329" t="s">
        <v>419</v>
      </c>
      <c r="J4" s="348"/>
      <c r="K4" s="939"/>
      <c r="L4" s="348"/>
      <c r="M4" s="365"/>
      <c r="N4" s="352"/>
      <c r="O4" s="1219">
        <f>($AF$118*1000+AU62*2000)+O5*800</f>
        <v>0</v>
      </c>
      <c r="P4" s="352"/>
      <c r="Q4" s="350"/>
      <c r="R4" s="311"/>
      <c r="S4" s="350"/>
      <c r="T4" s="313"/>
      <c r="U4" s="310"/>
      <c r="V4" s="350"/>
      <c r="W4" s="350"/>
      <c r="X4" s="310"/>
      <c r="Y4" s="312"/>
      <c r="Z4" s="313"/>
      <c r="AA4" s="304"/>
      <c r="AB4" s="259"/>
      <c r="AC4" s="259"/>
      <c r="AD4" s="300"/>
      <c r="AE4" s="306"/>
      <c r="AF4" s="300"/>
      <c r="AG4" s="300"/>
      <c r="AH4" s="300"/>
      <c r="AI4" s="300"/>
      <c r="AJ4" s="300"/>
      <c r="AK4" s="300"/>
      <c r="AL4" s="300"/>
      <c r="AM4" s="300"/>
      <c r="AN4" s="300"/>
      <c r="AO4" s="300"/>
      <c r="AP4" s="300"/>
      <c r="AQ4" s="325"/>
      <c r="AR4" s="325"/>
      <c r="AS4" s="300"/>
      <c r="AT4" s="300"/>
      <c r="AU4" s="300"/>
      <c r="AV4" s="300"/>
      <c r="BE4" s="300"/>
      <c r="BF4" s="300"/>
      <c r="BG4" s="300"/>
      <c r="BH4" s="300"/>
      <c r="BI4" s="300"/>
      <c r="BJ4" s="300"/>
    </row>
    <row r="5" spans="1:62" ht="26.25" customHeight="1" thickTop="1" thickBot="1">
      <c r="B5" s="937"/>
      <c r="C5" s="936"/>
      <c r="D5" s="936"/>
      <c r="E5" s="353"/>
      <c r="F5" s="348"/>
      <c r="G5" s="348"/>
      <c r="H5" s="348"/>
      <c r="I5" s="1216" t="s">
        <v>849</v>
      </c>
      <c r="J5" s="1217"/>
      <c r="K5" s="1218"/>
      <c r="L5" s="1217"/>
      <c r="M5" s="354"/>
      <c r="N5" s="354"/>
      <c r="O5" s="1221"/>
      <c r="P5" s="354"/>
      <c r="Q5" s="1220" t="s">
        <v>850</v>
      </c>
      <c r="R5" s="311"/>
      <c r="S5" s="350"/>
      <c r="T5" s="313"/>
      <c r="U5" s="310"/>
      <c r="V5" s="351"/>
      <c r="W5" s="350"/>
      <c r="X5" s="310"/>
      <c r="Y5" s="312"/>
      <c r="Z5" s="313"/>
      <c r="AA5" s="304"/>
      <c r="AB5" s="259"/>
      <c r="AC5" s="259"/>
      <c r="AD5" s="300"/>
      <c r="AE5" s="306"/>
      <c r="AF5" s="300"/>
      <c r="AG5" s="300"/>
      <c r="AH5" s="300"/>
      <c r="AI5" s="300"/>
      <c r="AJ5" s="300"/>
      <c r="AK5" s="300"/>
      <c r="AL5" s="300"/>
      <c r="AM5" s="300"/>
      <c r="AN5" s="300"/>
      <c r="AO5" s="300"/>
      <c r="AP5" s="300"/>
      <c r="AQ5" s="325"/>
      <c r="AR5" s="325"/>
      <c r="AS5" s="300"/>
      <c r="AT5" s="300"/>
      <c r="AU5" s="300"/>
      <c r="AV5" s="300"/>
      <c r="BE5" s="300"/>
      <c r="BF5" s="300"/>
      <c r="BG5" s="300"/>
      <c r="BH5" s="300"/>
      <c r="BI5" s="300"/>
      <c r="BJ5" s="300"/>
    </row>
    <row r="6" spans="1:62" s="144" customFormat="1" ht="14.25" customHeight="1" thickBot="1">
      <c r="A6" s="144" t="s">
        <v>25</v>
      </c>
      <c r="B6" s="298" t="s">
        <v>16</v>
      </c>
      <c r="C6" s="298" t="s">
        <v>744</v>
      </c>
      <c r="D6" s="929" t="s">
        <v>742</v>
      </c>
      <c r="E6" s="297" t="s">
        <v>21</v>
      </c>
      <c r="F6" s="298" t="s">
        <v>238</v>
      </c>
      <c r="G6" s="298" t="s">
        <v>18</v>
      </c>
      <c r="H6" s="298" t="s">
        <v>26</v>
      </c>
      <c r="I6" s="298" t="s">
        <v>19</v>
      </c>
      <c r="J6" s="344" t="s">
        <v>17</v>
      </c>
      <c r="K6" s="145" t="s">
        <v>740</v>
      </c>
      <c r="L6" s="145" t="s">
        <v>745</v>
      </c>
      <c r="M6" s="299" t="s">
        <v>20</v>
      </c>
      <c r="N6" s="1081" t="s">
        <v>1060</v>
      </c>
      <c r="O6" s="178" t="s">
        <v>30</v>
      </c>
      <c r="P6" s="147" t="s">
        <v>244</v>
      </c>
      <c r="Q6" s="148" t="s">
        <v>246</v>
      </c>
      <c r="R6" s="767"/>
      <c r="S6" s="767"/>
      <c r="T6" s="146" t="s">
        <v>30</v>
      </c>
      <c r="U6" s="147" t="s">
        <v>244</v>
      </c>
      <c r="V6" s="149" t="s">
        <v>246</v>
      </c>
      <c r="W6" s="767"/>
      <c r="X6" s="767"/>
      <c r="Y6" s="952" t="s">
        <v>242</v>
      </c>
      <c r="Z6" s="634" t="s">
        <v>244</v>
      </c>
      <c r="AA6" s="179" t="s">
        <v>701</v>
      </c>
      <c r="AB6" s="635" t="s">
        <v>437</v>
      </c>
      <c r="AC6" s="636" t="s">
        <v>244</v>
      </c>
      <c r="AD6" s="637" t="s">
        <v>246</v>
      </c>
      <c r="AE6" s="767"/>
      <c r="AF6" s="767"/>
      <c r="AG6" s="638" t="s">
        <v>431</v>
      </c>
      <c r="AH6" s="639" t="s">
        <v>244</v>
      </c>
      <c r="AI6" s="640" t="s">
        <v>246</v>
      </c>
      <c r="AJ6" s="150"/>
      <c r="AK6" s="150"/>
      <c r="AM6" s="65">
        <v>100</v>
      </c>
      <c r="AS6" s="192" t="s">
        <v>438</v>
      </c>
      <c r="AT6" s="1475" t="s">
        <v>403</v>
      </c>
      <c r="AU6" s="1476"/>
      <c r="AV6" s="300"/>
      <c r="AW6" s="300"/>
      <c r="AX6" s="300"/>
      <c r="AY6" s="355">
        <v>100</v>
      </c>
      <c r="AZ6" s="355">
        <v>100</v>
      </c>
      <c r="BA6" s="300"/>
      <c r="BB6" s="331"/>
      <c r="BC6" s="331"/>
      <c r="BD6" s="331"/>
      <c r="BE6" s="1477" t="s">
        <v>733</v>
      </c>
      <c r="BF6" s="1478"/>
      <c r="BG6" s="797"/>
      <c r="BH6" s="797"/>
      <c r="BI6" s="838"/>
      <c r="BJ6" s="331"/>
    </row>
    <row r="7" spans="1:62" ht="14.25" customHeight="1" thickBot="1">
      <c r="A7" s="135" t="str">
        <f>Z7</f>
        <v/>
      </c>
      <c r="B7" s="151" t="e">
        <f>名簿!P4</f>
        <v>#N/A</v>
      </c>
      <c r="C7" s="151"/>
      <c r="D7" s="930"/>
      <c r="E7" s="180">
        <f>名簿!E4</f>
        <v>0</v>
      </c>
      <c r="F7" s="696" t="str">
        <f>名簿!CM4</f>
        <v/>
      </c>
      <c r="G7" s="151" t="str">
        <f>名簿!Z4</f>
        <v/>
      </c>
      <c r="H7" s="674" t="str">
        <f>名簿!CM4</f>
        <v/>
      </c>
      <c r="I7" s="152" t="str">
        <f>名簿!Y4</f>
        <v/>
      </c>
      <c r="J7" s="189" t="str">
        <f>名簿!CN4</f>
        <v/>
      </c>
      <c r="K7" s="1039">
        <f>名簿!CP4</f>
        <v>0</v>
      </c>
      <c r="L7" s="749" t="str">
        <f>名簿!CU4</f>
        <v>00</v>
      </c>
      <c r="M7" s="151" t="e">
        <f>名簿!Q4</f>
        <v>#N/A</v>
      </c>
      <c r="N7" s="696">
        <f>名簿!D4</f>
        <v>0</v>
      </c>
      <c r="O7" s="367"/>
      <c r="P7" s="287" t="str">
        <f>IF(O7="","",IF(I7=1,VLOOKUP(O7,$AT$8:$AV$33,3,FALSE),IF(I7=2,VLOOKUP(O7,$AT$36:$AV$56,3,FALSE))))</f>
        <v/>
      </c>
      <c r="Q7" s="1281" t="str">
        <f>IF(O7="","",HLOOKUP(O7,名簿!$AH$3:$CH$118,2,FALSE))</f>
        <v/>
      </c>
      <c r="R7" s="1281" t="str">
        <f>IF(O7="","",0)</f>
        <v/>
      </c>
      <c r="S7" s="1281" t="str">
        <f>IF(O7="","",2)</f>
        <v/>
      </c>
      <c r="T7" s="367"/>
      <c r="U7" s="287" t="str">
        <f>IF(T7="","",IF(I7=1,VLOOKUP(T7,$AT$8:$AV$33,3,FALSE),IF(I7=2,VLOOKUP(T7,$AT$36:$AV$56,3,FALSE))))</f>
        <v/>
      </c>
      <c r="V7" s="671" t="str">
        <f>IF(T7="","",HLOOKUP(T7,名簿!$AH$3:$CH$118,2,FALSE))</f>
        <v/>
      </c>
      <c r="W7" s="768" t="str">
        <f>IF(T7="","",0)</f>
        <v/>
      </c>
      <c r="X7" s="772" t="str">
        <f>IF(T7="","",2)</f>
        <v/>
      </c>
      <c r="Y7" s="953"/>
      <c r="Z7" s="949" t="str">
        <f>IF(Y7="","",IF(I7=1,VLOOKUP(Y7,男子種目コード!$A$1:$B$33,2,FALSE),IF(I7=2,VLOOKUP(Y7,女子種目コード!$A$1:$B$27,2,FALSE))))</f>
        <v/>
      </c>
      <c r="AA7" s="337"/>
      <c r="AB7" s="336"/>
      <c r="AC7" s="641"/>
      <c r="AD7" s="642"/>
      <c r="AE7" s="771" t="str">
        <f>IF(AB7="","",0)</f>
        <v/>
      </c>
      <c r="AF7" s="772" t="str">
        <f>IF(AB7="","",2)</f>
        <v/>
      </c>
      <c r="AG7" s="643"/>
      <c r="AH7" s="644"/>
      <c r="AI7" s="645"/>
      <c r="AJ7" s="20"/>
      <c r="AK7" s="20"/>
      <c r="AM7" s="65">
        <v>200</v>
      </c>
      <c r="AN7" s="135" t="str">
        <f t="shared" ref="AN7:AN38" si="0">IF(O7="","",1)</f>
        <v/>
      </c>
      <c r="AO7" s="135" t="str">
        <f t="shared" ref="AO7:AO38" si="1">IF(T7="","",1)</f>
        <v/>
      </c>
      <c r="AP7" s="135">
        <f>COUNTIF($Y$7:$Y$116,"4×100")</f>
        <v>0</v>
      </c>
      <c r="AQ7" s="135"/>
      <c r="AR7" s="60"/>
      <c r="AS7" s="181">
        <f t="shared" ref="AS7:AS38" si="2">E7</f>
        <v>0</v>
      </c>
      <c r="AT7" s="1429" t="s">
        <v>273</v>
      </c>
      <c r="AU7" s="1430"/>
      <c r="AV7" s="324"/>
      <c r="AW7" s="324"/>
      <c r="AX7" s="331"/>
      <c r="AY7" s="355">
        <v>200</v>
      </c>
      <c r="AZ7" s="355">
        <v>200</v>
      </c>
      <c r="BA7" s="331">
        <f>COUNTIF(U7:U116,13)</f>
        <v>0</v>
      </c>
      <c r="BB7" s="300">
        <f>IF(BA7&gt;0,1,0)</f>
        <v>0</v>
      </c>
      <c r="BC7" s="300"/>
      <c r="BD7" s="300"/>
      <c r="BE7" s="1054" t="s">
        <v>738</v>
      </c>
      <c r="BF7" s="1055"/>
      <c r="BG7" s="797"/>
      <c r="BH7" s="797"/>
      <c r="BI7" s="807"/>
      <c r="BJ7" s="300"/>
    </row>
    <row r="8" spans="1:62" ht="14.25" customHeight="1">
      <c r="A8" s="135" t="str">
        <f t="shared" ref="A8:A71" si="3">Z8</f>
        <v/>
      </c>
      <c r="B8" s="162" t="str">
        <f>名簿!P5</f>
        <v/>
      </c>
      <c r="C8" s="162"/>
      <c r="D8" s="931"/>
      <c r="E8" s="182">
        <f>名簿!E5</f>
        <v>0</v>
      </c>
      <c r="F8" s="697" t="str">
        <f>名簿!CM5</f>
        <v/>
      </c>
      <c r="G8" s="162" t="str">
        <f>名簿!Z5</f>
        <v/>
      </c>
      <c r="H8" s="675" t="str">
        <f>名簿!CM5</f>
        <v/>
      </c>
      <c r="I8" s="187" t="str">
        <f>名簿!Y5</f>
        <v/>
      </c>
      <c r="J8" s="190" t="str">
        <f>名簿!CN5</f>
        <v/>
      </c>
      <c r="K8" s="1040">
        <f>名簿!CP5</f>
        <v>0</v>
      </c>
      <c r="L8" s="750" t="str">
        <f>名簿!CU5</f>
        <v>00</v>
      </c>
      <c r="M8" s="162" t="str">
        <f>名簿!Q5</f>
        <v/>
      </c>
      <c r="N8" s="697">
        <f>名簿!D5</f>
        <v>0</v>
      </c>
      <c r="O8" s="368"/>
      <c r="P8" s="292" t="str">
        <f t="shared" ref="P8:P71" si="4">IF(O8="","",IF(I8=1,VLOOKUP(O8,$AT$8:$AV$33,3,FALSE),IF(I8=2,VLOOKUP(O8,$AT$36:$AV$56,3,FALSE))))</f>
        <v/>
      </c>
      <c r="Q8" s="1282" t="str">
        <f>IF(O8="","",HLOOKUP(O8,名簿!$AH$3:$CH$118,3,FALSE))</f>
        <v/>
      </c>
      <c r="R8" s="1282" t="str">
        <f t="shared" ref="R8:R71" si="5">IF(O8="","",0)</f>
        <v/>
      </c>
      <c r="S8" s="1282" t="str">
        <f t="shared" ref="S8:S71" si="6">IF(O8="","",2)</f>
        <v/>
      </c>
      <c r="T8" s="368"/>
      <c r="U8" s="292" t="str">
        <f t="shared" ref="U8:U71" si="7">IF(T8="","",IF(I8=1,VLOOKUP(T8,$AT$8:$AV$33,3,FALSE),IF(I8=2,VLOOKUP(T8,$AT$36:$AV$56,3,FALSE))))</f>
        <v/>
      </c>
      <c r="V8" s="669" t="str">
        <f>IF(T8="","",HLOOKUP(T8,名簿!$AH$3:$CH$118,3,FALSE))</f>
        <v/>
      </c>
      <c r="W8" s="769" t="str">
        <f t="shared" ref="W8:W71" si="8">IF(T8="","",0)</f>
        <v/>
      </c>
      <c r="X8" s="774" t="str">
        <f t="shared" ref="X8:X71" si="9">IF(T8="","",2)</f>
        <v/>
      </c>
      <c r="Y8" s="954"/>
      <c r="Z8" s="950" t="str">
        <f>IF(Y8="","",IF(I8=1,VLOOKUP(Y8,男子種目コード!$A$1:$B$33,2,FALSE),IF(I8=2,VLOOKUP(Y8,女子種目コード!$A$1:$B$27,2,FALSE))))</f>
        <v/>
      </c>
      <c r="AA8" s="339"/>
      <c r="AB8" s="338"/>
      <c r="AC8" s="646"/>
      <c r="AD8" s="647"/>
      <c r="AE8" s="773" t="str">
        <f t="shared" ref="AE8:AE71" si="10">IF(AB8="","",0)</f>
        <v/>
      </c>
      <c r="AF8" s="774" t="str">
        <f t="shared" ref="AF8:AF71" si="11">IF(AB8="","",2)</f>
        <v/>
      </c>
      <c r="AG8" s="648"/>
      <c r="AH8" s="649"/>
      <c r="AI8" s="650"/>
      <c r="AJ8" s="20"/>
      <c r="AK8" s="20"/>
      <c r="AM8" s="65">
        <v>400</v>
      </c>
      <c r="AN8" s="135" t="str">
        <f t="shared" si="0"/>
        <v/>
      </c>
      <c r="AO8" s="135" t="str">
        <f t="shared" si="1"/>
        <v/>
      </c>
      <c r="AP8" s="135" t="b">
        <f>IF(AP7&gt;0,1)</f>
        <v>0</v>
      </c>
      <c r="AQ8" s="135"/>
      <c r="AR8" s="60"/>
      <c r="AS8" s="183">
        <f t="shared" si="2"/>
        <v>0</v>
      </c>
      <c r="AT8" s="1313" t="s">
        <v>1071</v>
      </c>
      <c r="AU8" s="195">
        <f>COUNTIF($P$7:$P$116,1)+COUNTIF($U$7:$U$116,1)</f>
        <v>0</v>
      </c>
      <c r="AV8" s="1325">
        <v>1</v>
      </c>
      <c r="AW8" s="324"/>
      <c r="AX8" s="278"/>
      <c r="AY8" s="355">
        <v>400</v>
      </c>
      <c r="AZ8" s="355">
        <v>400</v>
      </c>
      <c r="BA8" s="300">
        <f>COUNTIF(U7:U116,53)</f>
        <v>0</v>
      </c>
      <c r="BB8" s="300">
        <f>IF(BA8&gt;0,1,0)</f>
        <v>0</v>
      </c>
      <c r="BC8" s="300"/>
      <c r="BD8" s="300"/>
      <c r="BE8" s="945" t="str">
        <f t="shared" ref="BE8:BF13" ca="1" si="12">IF(ISERROR(BG8),"",BG8)</f>
        <v/>
      </c>
      <c r="BF8" s="946" t="str">
        <f t="shared" ca="1" si="12"/>
        <v/>
      </c>
      <c r="BG8" s="372" t="e">
        <f ca="1">VLookUpX(13,$A$7:$F$116,1,5)</f>
        <v>#N/A</v>
      </c>
      <c r="BH8" s="372" t="e">
        <f ca="1">VLookUpX(13,$A$7:$F$116,1,6)</f>
        <v>#N/A</v>
      </c>
      <c r="BI8" s="807"/>
      <c r="BJ8" s="300"/>
    </row>
    <row r="9" spans="1:62" ht="14.25" customHeight="1">
      <c r="A9" s="135" t="str">
        <f t="shared" si="3"/>
        <v/>
      </c>
      <c r="B9" s="162" t="str">
        <f>名簿!P6</f>
        <v/>
      </c>
      <c r="C9" s="162"/>
      <c r="D9" s="931"/>
      <c r="E9" s="182">
        <f>名簿!E6</f>
        <v>0</v>
      </c>
      <c r="F9" s="697" t="str">
        <f>名簿!CM6</f>
        <v/>
      </c>
      <c r="G9" s="162" t="str">
        <f>名簿!Z6</f>
        <v/>
      </c>
      <c r="H9" s="675" t="str">
        <f>名簿!CM6</f>
        <v/>
      </c>
      <c r="I9" s="187" t="str">
        <f>名簿!Y6</f>
        <v/>
      </c>
      <c r="J9" s="190" t="str">
        <f>名簿!CN6</f>
        <v/>
      </c>
      <c r="K9" s="1040">
        <f>名簿!CP6</f>
        <v>0</v>
      </c>
      <c r="L9" s="750" t="str">
        <f>名簿!CU6</f>
        <v>00</v>
      </c>
      <c r="M9" s="162" t="str">
        <f>名簿!Q6</f>
        <v/>
      </c>
      <c r="N9" s="697">
        <f>名簿!D6</f>
        <v>0</v>
      </c>
      <c r="O9" s="368"/>
      <c r="P9" s="292" t="str">
        <f t="shared" si="4"/>
        <v/>
      </c>
      <c r="Q9" s="1282" t="str">
        <f>IF(O9="","",HLOOKUP(O9,名簿!$AH$3:$CH$118,4,FALSE))</f>
        <v/>
      </c>
      <c r="R9" s="1282" t="str">
        <f t="shared" si="5"/>
        <v/>
      </c>
      <c r="S9" s="1282" t="str">
        <f t="shared" si="6"/>
        <v/>
      </c>
      <c r="T9" s="368"/>
      <c r="U9" s="292" t="str">
        <f t="shared" si="7"/>
        <v/>
      </c>
      <c r="V9" s="669" t="str">
        <f>IF(T9="","",HLOOKUP(T9,名簿!$AH$3:$CH$118,4,FALSE))</f>
        <v/>
      </c>
      <c r="W9" s="769" t="str">
        <f t="shared" si="8"/>
        <v/>
      </c>
      <c r="X9" s="774" t="str">
        <f t="shared" si="9"/>
        <v/>
      </c>
      <c r="Y9" s="954"/>
      <c r="Z9" s="950" t="str">
        <f>IF(Y9="","",IF(I9=1,VLOOKUP(Y9,男子種目コード!$A$1:$B$33,2,FALSE),IF(I9=2,VLOOKUP(Y9,女子種目コード!$A$1:$B$27,2,FALSE))))</f>
        <v/>
      </c>
      <c r="AA9" s="339"/>
      <c r="AB9" s="338"/>
      <c r="AC9" s="646"/>
      <c r="AD9" s="647"/>
      <c r="AE9" s="773" t="str">
        <f t="shared" si="10"/>
        <v/>
      </c>
      <c r="AF9" s="774" t="str">
        <f t="shared" si="11"/>
        <v/>
      </c>
      <c r="AG9" s="648"/>
      <c r="AH9" s="649"/>
      <c r="AI9" s="650"/>
      <c r="AJ9" s="20"/>
      <c r="AK9" s="20"/>
      <c r="AM9" s="65">
        <v>800</v>
      </c>
      <c r="AN9" s="135" t="str">
        <f t="shared" si="0"/>
        <v/>
      </c>
      <c r="AO9" s="135" t="str">
        <f t="shared" si="1"/>
        <v/>
      </c>
      <c r="AQ9" s="135"/>
      <c r="AR9" s="60"/>
      <c r="AS9" s="183">
        <f t="shared" si="2"/>
        <v>0</v>
      </c>
      <c r="AT9" s="1314" t="s">
        <v>1072</v>
      </c>
      <c r="AU9" s="196">
        <f>COUNTIF($P$7:$P$116,2)+COUNTIF($U$7:$U$116,2)</f>
        <v>0</v>
      </c>
      <c r="AV9" s="1326">
        <v>2</v>
      </c>
      <c r="AW9" s="324"/>
      <c r="AX9" s="278"/>
      <c r="AY9" s="355">
        <v>800</v>
      </c>
      <c r="AZ9" s="355">
        <v>800</v>
      </c>
      <c r="BA9" s="300"/>
      <c r="BB9" s="300">
        <f>SUM(BB7:BB8)</f>
        <v>0</v>
      </c>
      <c r="BC9" s="300"/>
      <c r="BD9" s="300"/>
      <c r="BE9" s="941" t="str">
        <f t="shared" ca="1" si="12"/>
        <v/>
      </c>
      <c r="BF9" s="942" t="str">
        <f t="shared" ca="1" si="12"/>
        <v/>
      </c>
      <c r="BG9" s="372" t="e">
        <f ca="1">VLookUpX(13,$A$7:$F$116,2,5)</f>
        <v>#N/A</v>
      </c>
      <c r="BH9" s="372" t="e">
        <f ca="1">VLookUpX(13,$A$7:$F$116,2,6)</f>
        <v>#N/A</v>
      </c>
      <c r="BI9" s="807"/>
      <c r="BJ9" s="300"/>
    </row>
    <row r="10" spans="1:62" ht="14.25" customHeight="1">
      <c r="A10" s="135" t="str">
        <f t="shared" si="3"/>
        <v/>
      </c>
      <c r="B10" s="162" t="str">
        <f>名簿!P7</f>
        <v/>
      </c>
      <c r="C10" s="162"/>
      <c r="D10" s="931"/>
      <c r="E10" s="182">
        <f>名簿!E7</f>
        <v>0</v>
      </c>
      <c r="F10" s="697" t="str">
        <f>名簿!CM7</f>
        <v/>
      </c>
      <c r="G10" s="162" t="str">
        <f>名簿!Z7</f>
        <v/>
      </c>
      <c r="H10" s="675" t="str">
        <f>名簿!CM7</f>
        <v/>
      </c>
      <c r="I10" s="187" t="str">
        <f>名簿!Y7</f>
        <v/>
      </c>
      <c r="J10" s="190" t="str">
        <f>名簿!CN7</f>
        <v/>
      </c>
      <c r="K10" s="1040">
        <f>名簿!CP7</f>
        <v>0</v>
      </c>
      <c r="L10" s="750" t="str">
        <f>名簿!CU7</f>
        <v>00</v>
      </c>
      <c r="M10" s="162" t="str">
        <f>名簿!Q7</f>
        <v/>
      </c>
      <c r="N10" s="697">
        <f>名簿!D7</f>
        <v>0</v>
      </c>
      <c r="O10" s="368"/>
      <c r="P10" s="292" t="str">
        <f t="shared" si="4"/>
        <v/>
      </c>
      <c r="Q10" s="1282" t="str">
        <f>IF(O10="","",HLOOKUP(O10,名簿!$AH$3:$CH$118,5,FALSE))</f>
        <v/>
      </c>
      <c r="R10" s="1282" t="str">
        <f t="shared" si="5"/>
        <v/>
      </c>
      <c r="S10" s="1282" t="str">
        <f t="shared" si="6"/>
        <v/>
      </c>
      <c r="T10" s="368"/>
      <c r="U10" s="292" t="str">
        <f t="shared" si="7"/>
        <v/>
      </c>
      <c r="V10" s="669" t="str">
        <f>IF(T10="","",HLOOKUP(T10,名簿!$AH$3:$CH$118,5,FALSE))</f>
        <v/>
      </c>
      <c r="W10" s="769" t="str">
        <f t="shared" si="8"/>
        <v/>
      </c>
      <c r="X10" s="774" t="str">
        <f t="shared" si="9"/>
        <v/>
      </c>
      <c r="Y10" s="954"/>
      <c r="Z10" s="950" t="str">
        <f>IF(Y10="","",IF(I10=1,VLOOKUP(Y10,男子種目コード!$A$1:$B$33,2,FALSE),IF(I10=2,VLOOKUP(Y10,女子種目コード!$A$1:$B$27,2,FALSE))))</f>
        <v/>
      </c>
      <c r="AA10" s="339"/>
      <c r="AB10" s="338"/>
      <c r="AC10" s="646"/>
      <c r="AD10" s="647"/>
      <c r="AE10" s="773" t="str">
        <f t="shared" si="10"/>
        <v/>
      </c>
      <c r="AF10" s="774" t="str">
        <f t="shared" si="11"/>
        <v/>
      </c>
      <c r="AG10" s="648"/>
      <c r="AH10" s="649"/>
      <c r="AI10" s="650"/>
      <c r="AJ10" s="20"/>
      <c r="AK10" s="20"/>
      <c r="AM10" s="65">
        <v>1500</v>
      </c>
      <c r="AN10" s="135" t="str">
        <f t="shared" si="0"/>
        <v/>
      </c>
      <c r="AO10" s="135" t="str">
        <f t="shared" si="1"/>
        <v/>
      </c>
      <c r="AQ10" s="135"/>
      <c r="AR10" s="60"/>
      <c r="AS10" s="183">
        <f t="shared" si="2"/>
        <v>0</v>
      </c>
      <c r="AT10" s="1315" t="s">
        <v>1073</v>
      </c>
      <c r="AU10" s="196">
        <f>COUNTIF($P$7:$P$116,3)+COUNTIF($U$7:$U$116,3)</f>
        <v>0</v>
      </c>
      <c r="AV10" s="1326">
        <v>3</v>
      </c>
      <c r="AW10" s="324"/>
      <c r="AX10" s="278"/>
      <c r="AY10" s="355">
        <v>1500</v>
      </c>
      <c r="AZ10" s="355">
        <v>1500</v>
      </c>
      <c r="BA10" s="300"/>
      <c r="BB10" s="300"/>
      <c r="BC10" s="300"/>
      <c r="BD10" s="300"/>
      <c r="BE10" s="941" t="str">
        <f t="shared" ca="1" si="12"/>
        <v/>
      </c>
      <c r="BF10" s="942" t="str">
        <f t="shared" ca="1" si="12"/>
        <v/>
      </c>
      <c r="BG10" s="372" t="e">
        <f ca="1">VLookUpX(13,$A$7:$F$116,3,5)</f>
        <v>#N/A</v>
      </c>
      <c r="BH10" s="372" t="e">
        <f ca="1">VLookUpX(13,$A$7:$F$116,3,6)</f>
        <v>#N/A</v>
      </c>
      <c r="BI10" s="807"/>
      <c r="BJ10" s="300"/>
    </row>
    <row r="11" spans="1:62" ht="14.25" customHeight="1">
      <c r="A11" s="135" t="str">
        <f t="shared" si="3"/>
        <v/>
      </c>
      <c r="B11" s="162" t="str">
        <f>名簿!P8</f>
        <v/>
      </c>
      <c r="C11" s="162"/>
      <c r="D11" s="931"/>
      <c r="E11" s="182">
        <f>名簿!E8</f>
        <v>0</v>
      </c>
      <c r="F11" s="697" t="str">
        <f>名簿!CM8</f>
        <v/>
      </c>
      <c r="G11" s="162" t="str">
        <f>名簿!Z8</f>
        <v/>
      </c>
      <c r="H11" s="675" t="str">
        <f>名簿!CM8</f>
        <v/>
      </c>
      <c r="I11" s="187" t="str">
        <f>名簿!Y8</f>
        <v/>
      </c>
      <c r="J11" s="190" t="str">
        <f>名簿!CN8</f>
        <v/>
      </c>
      <c r="K11" s="1040">
        <f>名簿!CP8</f>
        <v>0</v>
      </c>
      <c r="L11" s="750" t="str">
        <f>名簿!CU8</f>
        <v>00</v>
      </c>
      <c r="M11" s="162" t="str">
        <f>名簿!Q8</f>
        <v/>
      </c>
      <c r="N11" s="697">
        <f>名簿!D8</f>
        <v>0</v>
      </c>
      <c r="O11" s="368"/>
      <c r="P11" s="292" t="str">
        <f t="shared" si="4"/>
        <v/>
      </c>
      <c r="Q11" s="1282" t="str">
        <f>IF(O11="","",HLOOKUP(O11,名簿!$AH$3:$CH$118,6,FALSE))</f>
        <v/>
      </c>
      <c r="R11" s="1282" t="str">
        <f t="shared" si="5"/>
        <v/>
      </c>
      <c r="S11" s="1282" t="str">
        <f t="shared" si="6"/>
        <v/>
      </c>
      <c r="T11" s="368"/>
      <c r="U11" s="292" t="str">
        <f t="shared" si="7"/>
        <v/>
      </c>
      <c r="V11" s="669" t="str">
        <f>IF(T11="","",HLOOKUP(T11,名簿!$AH$3:$CH$118,6,FALSE))</f>
        <v/>
      </c>
      <c r="W11" s="769" t="str">
        <f t="shared" si="8"/>
        <v/>
      </c>
      <c r="X11" s="774" t="str">
        <f t="shared" si="9"/>
        <v/>
      </c>
      <c r="Y11" s="954"/>
      <c r="Z11" s="950" t="str">
        <f>IF(Y11="","",IF(I11=1,VLOOKUP(Y11,男子種目コード!$A$1:$B$33,2,FALSE),IF(I11=2,VLOOKUP(Y11,女子種目コード!$A$1:$B$27,2,FALSE))))</f>
        <v/>
      </c>
      <c r="AA11" s="339"/>
      <c r="AB11" s="338"/>
      <c r="AC11" s="646"/>
      <c r="AD11" s="647"/>
      <c r="AE11" s="773" t="str">
        <f t="shared" si="10"/>
        <v/>
      </c>
      <c r="AF11" s="774" t="str">
        <f t="shared" si="11"/>
        <v/>
      </c>
      <c r="AG11" s="648"/>
      <c r="AH11" s="649"/>
      <c r="AI11" s="650"/>
      <c r="AJ11" s="20"/>
      <c r="AK11" s="20"/>
      <c r="AM11" s="65">
        <v>5000</v>
      </c>
      <c r="AN11" s="135" t="str">
        <f t="shared" si="0"/>
        <v/>
      </c>
      <c r="AO11" s="135" t="str">
        <f t="shared" si="1"/>
        <v/>
      </c>
      <c r="AQ11" s="135"/>
      <c r="AR11" s="135"/>
      <c r="AS11" s="183">
        <f t="shared" si="2"/>
        <v>0</v>
      </c>
      <c r="AT11" s="1314" t="s">
        <v>1074</v>
      </c>
      <c r="AU11" s="196">
        <f>COUNTIF($P$7:$P$116,4)+COUNTIF($U$7:$U$116,4)</f>
        <v>0</v>
      </c>
      <c r="AV11" s="1326">
        <v>4</v>
      </c>
      <c r="AW11" s="324"/>
      <c r="AX11" s="278"/>
      <c r="AY11" s="355">
        <v>5000</v>
      </c>
      <c r="AZ11" s="355">
        <v>5000</v>
      </c>
      <c r="BA11" s="300"/>
      <c r="BB11" s="300"/>
      <c r="BC11" s="300"/>
      <c r="BD11" s="300"/>
      <c r="BE11" s="941" t="str">
        <f t="shared" ca="1" si="12"/>
        <v/>
      </c>
      <c r="BF11" s="942" t="str">
        <f t="shared" ca="1" si="12"/>
        <v/>
      </c>
      <c r="BG11" s="372" t="e">
        <f ca="1">VLookUpX(13,$A$7:$F$116,4,5)</f>
        <v>#N/A</v>
      </c>
      <c r="BH11" s="372" t="e">
        <f ca="1">VLookUpX(13,$A$7:$F$116,4,6)</f>
        <v>#N/A</v>
      </c>
      <c r="BI11" s="807"/>
      <c r="BJ11" s="300"/>
    </row>
    <row r="12" spans="1:62" ht="14.25" customHeight="1">
      <c r="A12" s="135" t="str">
        <f t="shared" si="3"/>
        <v/>
      </c>
      <c r="B12" s="162" t="str">
        <f>名簿!P9</f>
        <v/>
      </c>
      <c r="C12" s="162"/>
      <c r="D12" s="931"/>
      <c r="E12" s="182">
        <f>名簿!E9</f>
        <v>0</v>
      </c>
      <c r="F12" s="697" t="str">
        <f>名簿!CM9</f>
        <v/>
      </c>
      <c r="G12" s="162" t="str">
        <f>名簿!Z9</f>
        <v/>
      </c>
      <c r="H12" s="675" t="str">
        <f>名簿!CM9</f>
        <v/>
      </c>
      <c r="I12" s="187" t="str">
        <f>名簿!Y9</f>
        <v/>
      </c>
      <c r="J12" s="190" t="str">
        <f>名簿!CN9</f>
        <v/>
      </c>
      <c r="K12" s="1040">
        <f>名簿!CP9</f>
        <v>0</v>
      </c>
      <c r="L12" s="750" t="str">
        <f>名簿!CU9</f>
        <v>00</v>
      </c>
      <c r="M12" s="162" t="str">
        <f>名簿!Q9</f>
        <v/>
      </c>
      <c r="N12" s="697">
        <f>名簿!D9</f>
        <v>0</v>
      </c>
      <c r="O12" s="368"/>
      <c r="P12" s="292" t="str">
        <f t="shared" si="4"/>
        <v/>
      </c>
      <c r="Q12" s="1282" t="str">
        <f>IF(O12="","",HLOOKUP(O12,名簿!$AH$3:$CH$118,7,FALSE))</f>
        <v/>
      </c>
      <c r="R12" s="1282" t="str">
        <f t="shared" si="5"/>
        <v/>
      </c>
      <c r="S12" s="1282" t="str">
        <f t="shared" si="6"/>
        <v/>
      </c>
      <c r="T12" s="368"/>
      <c r="U12" s="292" t="str">
        <f t="shared" si="7"/>
        <v/>
      </c>
      <c r="V12" s="669" t="str">
        <f>IF(T12="","",HLOOKUP(T12,名簿!$AH$3:$CH$118,7,FALSE))</f>
        <v/>
      </c>
      <c r="W12" s="769" t="str">
        <f t="shared" si="8"/>
        <v/>
      </c>
      <c r="X12" s="774" t="str">
        <f t="shared" si="9"/>
        <v/>
      </c>
      <c r="Y12" s="954"/>
      <c r="Z12" s="950" t="str">
        <f>IF(Y12="","",IF(I12=1,VLOOKUP(Y12,男子種目コード!$A$1:$B$33,2,FALSE),IF(I12=2,VLOOKUP(Y12,女子種目コード!$A$1:$B$27,2,FALSE))))</f>
        <v/>
      </c>
      <c r="AA12" s="339"/>
      <c r="AB12" s="338"/>
      <c r="AC12" s="646"/>
      <c r="AD12" s="647"/>
      <c r="AE12" s="773" t="str">
        <f t="shared" si="10"/>
        <v/>
      </c>
      <c r="AF12" s="774" t="str">
        <f t="shared" si="11"/>
        <v/>
      </c>
      <c r="AG12" s="648"/>
      <c r="AH12" s="649"/>
      <c r="AI12" s="650"/>
      <c r="AJ12" s="20"/>
      <c r="AK12" s="20"/>
      <c r="AM12" s="65">
        <v>10000</v>
      </c>
      <c r="AN12" s="135" t="str">
        <f t="shared" si="0"/>
        <v/>
      </c>
      <c r="AO12" s="135" t="str">
        <f t="shared" si="1"/>
        <v/>
      </c>
      <c r="AQ12" s="135"/>
      <c r="AR12" s="135"/>
      <c r="AS12" s="183">
        <f t="shared" si="2"/>
        <v>0</v>
      </c>
      <c r="AT12" s="1314" t="s">
        <v>1075</v>
      </c>
      <c r="AU12" s="196">
        <f>COUNTIF($P$7:$P$116,5)+COUNTIF($U$7:$U$116,5)</f>
        <v>0</v>
      </c>
      <c r="AV12" s="1326">
        <v>5</v>
      </c>
      <c r="AW12" s="324"/>
      <c r="AX12" s="278"/>
      <c r="AY12" s="355">
        <v>10000</v>
      </c>
      <c r="AZ12" s="355">
        <v>10000</v>
      </c>
      <c r="BA12" s="300"/>
      <c r="BB12" s="300"/>
      <c r="BC12" s="300"/>
      <c r="BD12" s="300"/>
      <c r="BE12" s="941" t="str">
        <f t="shared" ca="1" si="12"/>
        <v/>
      </c>
      <c r="BF12" s="942" t="str">
        <f t="shared" ca="1" si="12"/>
        <v/>
      </c>
      <c r="BG12" s="372" t="e">
        <f ca="1">VLookUpX(13,$A$7:$F$116,5,5)</f>
        <v>#N/A</v>
      </c>
      <c r="BH12" s="372" t="e">
        <f ca="1">VLookUpX(13,$A$7:$F$116,5,6)</f>
        <v>#N/A</v>
      </c>
      <c r="BI12" s="807"/>
      <c r="BJ12" s="300"/>
    </row>
    <row r="13" spans="1:62" ht="14.25" customHeight="1" thickBot="1">
      <c r="A13" s="135" t="str">
        <f t="shared" si="3"/>
        <v/>
      </c>
      <c r="B13" s="162" t="str">
        <f>名簿!P10</f>
        <v/>
      </c>
      <c r="C13" s="162"/>
      <c r="D13" s="931"/>
      <c r="E13" s="182">
        <f>名簿!E10</f>
        <v>0</v>
      </c>
      <c r="F13" s="697" t="str">
        <f>名簿!CM10</f>
        <v/>
      </c>
      <c r="G13" s="162" t="str">
        <f>名簿!Z10</f>
        <v/>
      </c>
      <c r="H13" s="675" t="str">
        <f>名簿!CM10</f>
        <v/>
      </c>
      <c r="I13" s="187" t="str">
        <f>名簿!Y10</f>
        <v/>
      </c>
      <c r="J13" s="190" t="str">
        <f>名簿!CN10</f>
        <v/>
      </c>
      <c r="K13" s="1040">
        <f>名簿!CP10</f>
        <v>0</v>
      </c>
      <c r="L13" s="750" t="str">
        <f>名簿!CU10</f>
        <v>00</v>
      </c>
      <c r="M13" s="162" t="str">
        <f>名簿!Q10</f>
        <v/>
      </c>
      <c r="N13" s="697">
        <f>名簿!D10</f>
        <v>0</v>
      </c>
      <c r="O13" s="368"/>
      <c r="P13" s="292" t="str">
        <f t="shared" si="4"/>
        <v/>
      </c>
      <c r="Q13" s="1282" t="str">
        <f>IF(O13="","",HLOOKUP(O13,名簿!$AH$3:$CH$118,8,FALSE))</f>
        <v/>
      </c>
      <c r="R13" s="1282" t="str">
        <f t="shared" si="5"/>
        <v/>
      </c>
      <c r="S13" s="1282" t="str">
        <f t="shared" si="6"/>
        <v/>
      </c>
      <c r="T13" s="368"/>
      <c r="U13" s="292" t="str">
        <f t="shared" si="7"/>
        <v/>
      </c>
      <c r="V13" s="669" t="str">
        <f>IF(T13="","",HLOOKUP(T13,名簿!$AH$3:$CH$118,8,FALSE))</f>
        <v/>
      </c>
      <c r="W13" s="769" t="str">
        <f t="shared" si="8"/>
        <v/>
      </c>
      <c r="X13" s="774" t="str">
        <f t="shared" si="9"/>
        <v/>
      </c>
      <c r="Y13" s="954"/>
      <c r="Z13" s="950" t="str">
        <f>IF(Y13="","",IF(I13=1,VLOOKUP(Y13,男子種目コード!$A$1:$B$33,2,FALSE),IF(I13=2,VLOOKUP(Y13,女子種目コード!$A$1:$B$27,2,FALSE))))</f>
        <v/>
      </c>
      <c r="AA13" s="339"/>
      <c r="AB13" s="338"/>
      <c r="AC13" s="646"/>
      <c r="AD13" s="647"/>
      <c r="AE13" s="773" t="str">
        <f t="shared" si="10"/>
        <v/>
      </c>
      <c r="AF13" s="774" t="str">
        <f t="shared" si="11"/>
        <v/>
      </c>
      <c r="AG13" s="648"/>
      <c r="AH13" s="649"/>
      <c r="AI13" s="650"/>
      <c r="AJ13" s="20"/>
      <c r="AK13" s="20"/>
      <c r="AM13" s="67" t="s">
        <v>439</v>
      </c>
      <c r="AN13" s="135" t="str">
        <f t="shared" si="0"/>
        <v/>
      </c>
      <c r="AO13" s="135" t="str">
        <f t="shared" si="1"/>
        <v/>
      </c>
      <c r="AQ13" s="135"/>
      <c r="AR13" s="135"/>
      <c r="AS13" s="183">
        <f t="shared" si="2"/>
        <v>0</v>
      </c>
      <c r="AT13" s="1316" t="s">
        <v>1076</v>
      </c>
      <c r="AU13" s="196">
        <f>COUNTIF($P$7:$P$116,6)+COUNTIF($U$7:$U$116,6)</f>
        <v>0</v>
      </c>
      <c r="AV13" s="1327">
        <v>6</v>
      </c>
      <c r="AW13" s="324"/>
      <c r="AX13" s="278"/>
      <c r="AY13" s="335" t="s">
        <v>440</v>
      </c>
      <c r="AZ13" s="335" t="s">
        <v>439</v>
      </c>
      <c r="BA13" s="300"/>
      <c r="BB13" s="300"/>
      <c r="BC13" s="300"/>
      <c r="BD13" s="300"/>
      <c r="BE13" s="943" t="str">
        <f t="shared" ca="1" si="12"/>
        <v/>
      </c>
      <c r="BF13" s="944" t="str">
        <f t="shared" ca="1" si="12"/>
        <v/>
      </c>
      <c r="BG13" s="372" t="e">
        <f ca="1">VLookUpX(13,$A$7:$F$116,6,5)</f>
        <v>#N/A</v>
      </c>
      <c r="BH13" s="372" t="e">
        <f ca="1">VLookUpX(13,$A$7:$F$116,6,6)</f>
        <v>#N/A</v>
      </c>
      <c r="BI13" s="807"/>
      <c r="BJ13" s="300"/>
    </row>
    <row r="14" spans="1:62" ht="14.25" customHeight="1">
      <c r="A14" s="135" t="str">
        <f t="shared" si="3"/>
        <v/>
      </c>
      <c r="B14" s="162" t="str">
        <f>名簿!P11</f>
        <v/>
      </c>
      <c r="C14" s="162"/>
      <c r="D14" s="931"/>
      <c r="E14" s="182">
        <f>名簿!E11</f>
        <v>0</v>
      </c>
      <c r="F14" s="697" t="str">
        <f>名簿!CM11</f>
        <v/>
      </c>
      <c r="G14" s="162" t="str">
        <f>名簿!Z11</f>
        <v/>
      </c>
      <c r="H14" s="675" t="str">
        <f>名簿!CM11</f>
        <v/>
      </c>
      <c r="I14" s="187" t="str">
        <f>名簿!Y11</f>
        <v/>
      </c>
      <c r="J14" s="190" t="str">
        <f>名簿!CN11</f>
        <v/>
      </c>
      <c r="K14" s="1040">
        <f>名簿!CP11</f>
        <v>0</v>
      </c>
      <c r="L14" s="750" t="str">
        <f>名簿!CU11</f>
        <v>00</v>
      </c>
      <c r="M14" s="162" t="str">
        <f>名簿!Q11</f>
        <v/>
      </c>
      <c r="N14" s="697">
        <f>名簿!D11</f>
        <v>0</v>
      </c>
      <c r="O14" s="368"/>
      <c r="P14" s="292" t="str">
        <f t="shared" si="4"/>
        <v/>
      </c>
      <c r="Q14" s="1282" t="str">
        <f>IF(O14="","",HLOOKUP(O14,名簿!$AH$3:$CH$118,9,FALSE))</f>
        <v/>
      </c>
      <c r="R14" s="1282" t="str">
        <f t="shared" si="5"/>
        <v/>
      </c>
      <c r="S14" s="1282" t="str">
        <f t="shared" si="6"/>
        <v/>
      </c>
      <c r="T14" s="368"/>
      <c r="U14" s="292" t="str">
        <f t="shared" si="7"/>
        <v/>
      </c>
      <c r="V14" s="669" t="str">
        <f>IF(T14="","",HLOOKUP(T14,名簿!$AH$3:$CH$118,9,FALSE))</f>
        <v/>
      </c>
      <c r="W14" s="769" t="str">
        <f t="shared" si="8"/>
        <v/>
      </c>
      <c r="X14" s="774" t="str">
        <f t="shared" si="9"/>
        <v/>
      </c>
      <c r="Y14" s="954"/>
      <c r="Z14" s="950" t="str">
        <f>IF(Y14="","",IF(I14=1,VLOOKUP(Y14,男子種目コード!$A$1:$B$33,2,FALSE),IF(I14=2,VLOOKUP(Y14,女子種目コード!$A$1:$B$27,2,FALSE))))</f>
        <v/>
      </c>
      <c r="AA14" s="339"/>
      <c r="AB14" s="338"/>
      <c r="AC14" s="646"/>
      <c r="AD14" s="647"/>
      <c r="AE14" s="773" t="str">
        <f t="shared" si="10"/>
        <v/>
      </c>
      <c r="AF14" s="774" t="str">
        <f t="shared" si="11"/>
        <v/>
      </c>
      <c r="AG14" s="648"/>
      <c r="AH14" s="649"/>
      <c r="AI14" s="650"/>
      <c r="AJ14" s="20"/>
      <c r="AK14" s="20"/>
      <c r="AM14" s="67" t="s">
        <v>440</v>
      </c>
      <c r="AN14" s="135" t="str">
        <f t="shared" si="0"/>
        <v/>
      </c>
      <c r="AO14" s="135" t="str">
        <f t="shared" si="1"/>
        <v/>
      </c>
      <c r="AQ14" s="135"/>
      <c r="AR14" s="135"/>
      <c r="AS14" s="183">
        <f t="shared" si="2"/>
        <v>0</v>
      </c>
      <c r="AT14" s="1314" t="s">
        <v>1077</v>
      </c>
      <c r="AU14" s="196">
        <f>COUNTIF($P$7:$P$116,7)+COUNTIF($U$7:$U$116,7)</f>
        <v>0</v>
      </c>
      <c r="AV14" s="1325">
        <v>7</v>
      </c>
      <c r="AW14" s="324"/>
      <c r="AX14" s="278"/>
      <c r="AY14" s="335" t="s">
        <v>441</v>
      </c>
      <c r="AZ14" s="335" t="s">
        <v>441</v>
      </c>
      <c r="BA14" s="300"/>
      <c r="BB14" s="300"/>
      <c r="BC14" s="300"/>
      <c r="BD14" s="300"/>
      <c r="BE14" s="1479" t="s">
        <v>737</v>
      </c>
      <c r="BF14" s="1464"/>
      <c r="BG14" s="797"/>
      <c r="BH14" s="797"/>
      <c r="BI14" s="807"/>
      <c r="BJ14" s="300"/>
    </row>
    <row r="15" spans="1:62" ht="14.25" customHeight="1">
      <c r="A15" s="135" t="str">
        <f t="shared" si="3"/>
        <v/>
      </c>
      <c r="B15" s="162" t="str">
        <f>名簿!P12</f>
        <v/>
      </c>
      <c r="C15" s="162"/>
      <c r="D15" s="931"/>
      <c r="E15" s="182">
        <f>名簿!E12</f>
        <v>0</v>
      </c>
      <c r="F15" s="697" t="str">
        <f>名簿!CM12</f>
        <v/>
      </c>
      <c r="G15" s="162" t="str">
        <f>名簿!Z12</f>
        <v/>
      </c>
      <c r="H15" s="675" t="str">
        <f>名簿!CM12</f>
        <v/>
      </c>
      <c r="I15" s="187" t="str">
        <f>名簿!Y12</f>
        <v/>
      </c>
      <c r="J15" s="190" t="str">
        <f>名簿!CN12</f>
        <v/>
      </c>
      <c r="K15" s="1040">
        <f>名簿!CP12</f>
        <v>0</v>
      </c>
      <c r="L15" s="750" t="str">
        <f>名簿!CU12</f>
        <v>00</v>
      </c>
      <c r="M15" s="162" t="str">
        <f>名簿!Q12</f>
        <v/>
      </c>
      <c r="N15" s="697">
        <f>名簿!D12</f>
        <v>0</v>
      </c>
      <c r="O15" s="368"/>
      <c r="P15" s="292" t="str">
        <f t="shared" si="4"/>
        <v/>
      </c>
      <c r="Q15" s="1282" t="str">
        <f>IF(O15="","",HLOOKUP(O15,名簿!$AH$3:$CH$118,10,FALSE))</f>
        <v/>
      </c>
      <c r="R15" s="1282" t="str">
        <f t="shared" si="5"/>
        <v/>
      </c>
      <c r="S15" s="1282" t="str">
        <f t="shared" si="6"/>
        <v/>
      </c>
      <c r="T15" s="368"/>
      <c r="U15" s="292" t="str">
        <f t="shared" si="7"/>
        <v/>
      </c>
      <c r="V15" s="669" t="str">
        <f>IF(T15="","",HLOOKUP(T15,名簿!$AH$3:$CH$118,10,FALSE))</f>
        <v/>
      </c>
      <c r="W15" s="769" t="str">
        <f t="shared" si="8"/>
        <v/>
      </c>
      <c r="X15" s="774" t="str">
        <f t="shared" si="9"/>
        <v/>
      </c>
      <c r="Y15" s="954"/>
      <c r="Z15" s="950" t="str">
        <f>IF(Y15="","",IF(I15=1,VLOOKUP(Y15,男子種目コード!$A$1:$B$33,2,FALSE),IF(I15=2,VLOOKUP(Y15,女子種目コード!$A$1:$B$27,2,FALSE))))</f>
        <v/>
      </c>
      <c r="AA15" s="339"/>
      <c r="AB15" s="338"/>
      <c r="AC15" s="646"/>
      <c r="AD15" s="647"/>
      <c r="AE15" s="773" t="str">
        <f t="shared" si="10"/>
        <v/>
      </c>
      <c r="AF15" s="774" t="str">
        <f t="shared" si="11"/>
        <v/>
      </c>
      <c r="AG15" s="648"/>
      <c r="AH15" s="649"/>
      <c r="AI15" s="650"/>
      <c r="AJ15" s="20"/>
      <c r="AK15" s="20"/>
      <c r="AM15" s="67" t="s">
        <v>441</v>
      </c>
      <c r="AN15" s="135" t="str">
        <f t="shared" si="0"/>
        <v/>
      </c>
      <c r="AO15" s="135" t="str">
        <f t="shared" si="1"/>
        <v/>
      </c>
      <c r="AQ15" s="135"/>
      <c r="AR15" s="135"/>
      <c r="AS15" s="183">
        <f t="shared" si="2"/>
        <v>0</v>
      </c>
      <c r="AT15" s="1314" t="s">
        <v>1156</v>
      </c>
      <c r="AU15" s="196">
        <f>COUNTIF($P$7:$P$116,8)+COUNTIF($U$7:$U$116,8)</f>
        <v>0</v>
      </c>
      <c r="AV15" s="1327">
        <v>8</v>
      </c>
      <c r="AW15" s="324"/>
      <c r="AX15" s="278"/>
      <c r="AY15" s="335" t="s">
        <v>442</v>
      </c>
      <c r="AZ15" s="335" t="s">
        <v>442</v>
      </c>
      <c r="BA15" s="300"/>
      <c r="BB15" s="300"/>
      <c r="BC15" s="300"/>
      <c r="BD15" s="300"/>
      <c r="BE15" s="1056" t="s">
        <v>738</v>
      </c>
      <c r="BF15" s="1057"/>
      <c r="BG15" s="797"/>
      <c r="BH15" s="797"/>
      <c r="BI15" s="807"/>
      <c r="BJ15" s="300"/>
    </row>
    <row r="16" spans="1:62" ht="14.25" customHeight="1">
      <c r="A16" s="135" t="str">
        <f t="shared" si="3"/>
        <v/>
      </c>
      <c r="B16" s="162" t="str">
        <f>名簿!P13</f>
        <v/>
      </c>
      <c r="C16" s="162"/>
      <c r="D16" s="931"/>
      <c r="E16" s="182">
        <f>名簿!E13</f>
        <v>0</v>
      </c>
      <c r="F16" s="697" t="str">
        <f>名簿!CM13</f>
        <v/>
      </c>
      <c r="G16" s="162" t="str">
        <f>名簿!Z13</f>
        <v/>
      </c>
      <c r="H16" s="675" t="str">
        <f>名簿!CM13</f>
        <v/>
      </c>
      <c r="I16" s="187" t="str">
        <f>名簿!Y13</f>
        <v/>
      </c>
      <c r="J16" s="190" t="str">
        <f>名簿!CN13</f>
        <v/>
      </c>
      <c r="K16" s="1040">
        <f>名簿!CP13</f>
        <v>0</v>
      </c>
      <c r="L16" s="750" t="str">
        <f>名簿!CU13</f>
        <v>00</v>
      </c>
      <c r="M16" s="162" t="str">
        <f>名簿!Q13</f>
        <v/>
      </c>
      <c r="N16" s="697">
        <f>名簿!D13</f>
        <v>0</v>
      </c>
      <c r="O16" s="368"/>
      <c r="P16" s="292" t="str">
        <f t="shared" si="4"/>
        <v/>
      </c>
      <c r="Q16" s="1282" t="str">
        <f>IF(O16="","",HLOOKUP(O16,名簿!$AH$3:$CH$118,11,FALSE))</f>
        <v/>
      </c>
      <c r="R16" s="1282" t="str">
        <f t="shared" si="5"/>
        <v/>
      </c>
      <c r="S16" s="1282" t="str">
        <f t="shared" si="6"/>
        <v/>
      </c>
      <c r="T16" s="368"/>
      <c r="U16" s="292" t="str">
        <f t="shared" si="7"/>
        <v/>
      </c>
      <c r="V16" s="669" t="str">
        <f>IF(T16="","",HLOOKUP(T16,名簿!$AH$3:$CH$118,11,FALSE))</f>
        <v/>
      </c>
      <c r="W16" s="769" t="str">
        <f t="shared" si="8"/>
        <v/>
      </c>
      <c r="X16" s="774" t="str">
        <f t="shared" si="9"/>
        <v/>
      </c>
      <c r="Y16" s="954"/>
      <c r="Z16" s="950" t="str">
        <f>IF(Y16="","",IF(I16=1,VLOOKUP(Y16,男子種目コード!$A$1:$B$33,2,FALSE),IF(I16=2,VLOOKUP(Y16,女子種目コード!$A$1:$B$27,2,FALSE))))</f>
        <v/>
      </c>
      <c r="AA16" s="339"/>
      <c r="AB16" s="338"/>
      <c r="AC16" s="646"/>
      <c r="AD16" s="647"/>
      <c r="AE16" s="773" t="str">
        <f t="shared" si="10"/>
        <v/>
      </c>
      <c r="AF16" s="774" t="str">
        <f t="shared" si="11"/>
        <v/>
      </c>
      <c r="AG16" s="648"/>
      <c r="AH16" s="649"/>
      <c r="AI16" s="650"/>
      <c r="AJ16" s="20"/>
      <c r="AK16" s="20"/>
      <c r="AM16" s="67" t="s">
        <v>442</v>
      </c>
      <c r="AN16" s="135" t="str">
        <f t="shared" si="0"/>
        <v/>
      </c>
      <c r="AO16" s="135" t="str">
        <f t="shared" si="1"/>
        <v/>
      </c>
      <c r="AQ16" s="135"/>
      <c r="AR16" s="135"/>
      <c r="AS16" s="183">
        <f t="shared" si="2"/>
        <v>0</v>
      </c>
      <c r="AT16" s="1316" t="s">
        <v>1157</v>
      </c>
      <c r="AU16" s="196">
        <f>COUNTIF($P$7:$P$116,9)+COUNTIF($U$7:$U$116,9)</f>
        <v>0</v>
      </c>
      <c r="AV16" s="1325">
        <v>9</v>
      </c>
      <c r="AW16" s="324"/>
      <c r="AX16" s="278"/>
      <c r="AY16" s="335" t="s">
        <v>443</v>
      </c>
      <c r="AZ16" s="335" t="s">
        <v>443</v>
      </c>
      <c r="BA16" s="300"/>
      <c r="BB16" s="300"/>
      <c r="BC16" s="300"/>
      <c r="BD16" s="300"/>
      <c r="BE16" s="947" t="str">
        <f t="shared" ref="BE16:BF21" ca="1" si="13">IF(ISERROR(BG16),"",BG16)</f>
        <v/>
      </c>
      <c r="BF16" s="948" t="str">
        <f t="shared" ca="1" si="13"/>
        <v/>
      </c>
      <c r="BG16" s="372" t="e">
        <f ca="1">VLookUpX(53,$A$7:$F$116,1,5)</f>
        <v>#N/A</v>
      </c>
      <c r="BH16" s="372" t="e">
        <f ca="1">VLookUpX(53,$A$7:$F$116,1,6)</f>
        <v>#N/A</v>
      </c>
      <c r="BI16" s="807"/>
      <c r="BJ16" s="300"/>
    </row>
    <row r="17" spans="1:62" ht="14.25" customHeight="1">
      <c r="A17" s="135" t="str">
        <f t="shared" si="3"/>
        <v/>
      </c>
      <c r="B17" s="162" t="str">
        <f>名簿!P14</f>
        <v/>
      </c>
      <c r="C17" s="162"/>
      <c r="D17" s="931"/>
      <c r="E17" s="182">
        <f>名簿!E14</f>
        <v>0</v>
      </c>
      <c r="F17" s="697" t="str">
        <f>名簿!CM14</f>
        <v/>
      </c>
      <c r="G17" s="162" t="str">
        <f>名簿!Z14</f>
        <v/>
      </c>
      <c r="H17" s="675" t="str">
        <f>名簿!CM14</f>
        <v/>
      </c>
      <c r="I17" s="187" t="str">
        <f>名簿!Y14</f>
        <v/>
      </c>
      <c r="J17" s="190" t="str">
        <f>名簿!CN14</f>
        <v/>
      </c>
      <c r="K17" s="1040">
        <f>名簿!CP14</f>
        <v>0</v>
      </c>
      <c r="L17" s="750" t="str">
        <f>名簿!CU14</f>
        <v>00</v>
      </c>
      <c r="M17" s="162" t="str">
        <f>名簿!Q14</f>
        <v/>
      </c>
      <c r="N17" s="697">
        <f>名簿!D14</f>
        <v>0</v>
      </c>
      <c r="O17" s="368"/>
      <c r="P17" s="292" t="str">
        <f t="shared" si="4"/>
        <v/>
      </c>
      <c r="Q17" s="1282" t="str">
        <f>IF(O17="","",HLOOKUP(O17,名簿!$AH$3:$CH$118,12,FALSE))</f>
        <v/>
      </c>
      <c r="R17" s="1282" t="str">
        <f t="shared" si="5"/>
        <v/>
      </c>
      <c r="S17" s="1282" t="str">
        <f t="shared" si="6"/>
        <v/>
      </c>
      <c r="T17" s="368"/>
      <c r="U17" s="292" t="str">
        <f t="shared" si="7"/>
        <v/>
      </c>
      <c r="V17" s="669" t="str">
        <f>IF(T17="","",HLOOKUP(T17,名簿!$AH$3:$CH$118,12,FALSE))</f>
        <v/>
      </c>
      <c r="W17" s="769" t="str">
        <f t="shared" si="8"/>
        <v/>
      </c>
      <c r="X17" s="774" t="str">
        <f t="shared" si="9"/>
        <v/>
      </c>
      <c r="Y17" s="954"/>
      <c r="Z17" s="950" t="str">
        <f>IF(Y17="","",IF(I17=1,VLOOKUP(Y17,男子種目コード!$A$1:$B$33,2,FALSE),IF(I17=2,VLOOKUP(Y17,女子種目コード!$A$1:$B$27,2,FALSE))))</f>
        <v/>
      </c>
      <c r="AA17" s="339"/>
      <c r="AB17" s="338"/>
      <c r="AC17" s="646"/>
      <c r="AD17" s="647"/>
      <c r="AE17" s="773" t="str">
        <f t="shared" si="10"/>
        <v/>
      </c>
      <c r="AF17" s="774" t="str">
        <f t="shared" si="11"/>
        <v/>
      </c>
      <c r="AG17" s="648"/>
      <c r="AH17" s="649"/>
      <c r="AI17" s="650"/>
      <c r="AJ17" s="20"/>
      <c r="AK17" s="20"/>
      <c r="AM17" s="67" t="s">
        <v>443</v>
      </c>
      <c r="AN17" s="135" t="str">
        <f t="shared" si="0"/>
        <v/>
      </c>
      <c r="AO17" s="135" t="str">
        <f t="shared" si="1"/>
        <v/>
      </c>
      <c r="AQ17" s="135"/>
      <c r="AR17" s="135"/>
      <c r="AS17" s="183">
        <f t="shared" si="2"/>
        <v>0</v>
      </c>
      <c r="AT17" s="1316" t="s">
        <v>1158</v>
      </c>
      <c r="AU17" s="196">
        <f>COUNTIF($P$7:$P$116,10)+COUNTIF($U$7:$U$116,10)</f>
        <v>0</v>
      </c>
      <c r="AV17" s="1326">
        <v>10</v>
      </c>
      <c r="AW17" s="324"/>
      <c r="AX17" s="278"/>
      <c r="AY17" s="335" t="s">
        <v>131</v>
      </c>
      <c r="AZ17" s="335" t="s">
        <v>131</v>
      </c>
      <c r="BA17" s="300"/>
      <c r="BB17" s="300"/>
      <c r="BC17" s="300"/>
      <c r="BD17" s="300"/>
      <c r="BE17" s="941" t="str">
        <f t="shared" ca="1" si="13"/>
        <v/>
      </c>
      <c r="BF17" s="942" t="str">
        <f t="shared" ca="1" si="13"/>
        <v/>
      </c>
      <c r="BG17" s="372" t="e">
        <f ca="1">VLookUpX(53,$A$7:$F$116,2,5)</f>
        <v>#N/A</v>
      </c>
      <c r="BH17" s="372" t="e">
        <f ca="1">VLookUpX(53,$A$7:$F$116,2,6)</f>
        <v>#N/A</v>
      </c>
      <c r="BI17" s="807"/>
      <c r="BJ17" s="300"/>
    </row>
    <row r="18" spans="1:62" ht="14.25" customHeight="1">
      <c r="A18" s="135" t="str">
        <f t="shared" si="3"/>
        <v/>
      </c>
      <c r="B18" s="162" t="str">
        <f>名簿!P15</f>
        <v/>
      </c>
      <c r="C18" s="162"/>
      <c r="D18" s="931"/>
      <c r="E18" s="182">
        <f>名簿!E15</f>
        <v>0</v>
      </c>
      <c r="F18" s="697" t="str">
        <f>名簿!CM15</f>
        <v/>
      </c>
      <c r="G18" s="162" t="str">
        <f>名簿!Z15</f>
        <v/>
      </c>
      <c r="H18" s="675" t="str">
        <f>名簿!CM15</f>
        <v/>
      </c>
      <c r="I18" s="187" t="str">
        <f>名簿!Y15</f>
        <v/>
      </c>
      <c r="J18" s="190" t="str">
        <f>名簿!CN15</f>
        <v/>
      </c>
      <c r="K18" s="1040">
        <f>名簿!CP15</f>
        <v>0</v>
      </c>
      <c r="L18" s="750" t="str">
        <f>名簿!CU15</f>
        <v>00</v>
      </c>
      <c r="M18" s="162" t="str">
        <f>名簿!Q15</f>
        <v/>
      </c>
      <c r="N18" s="697">
        <f>名簿!D15</f>
        <v>0</v>
      </c>
      <c r="O18" s="368"/>
      <c r="P18" s="292" t="str">
        <f t="shared" si="4"/>
        <v/>
      </c>
      <c r="Q18" s="1282" t="str">
        <f>IF(O18="","",HLOOKUP(O18,名簿!$AH$3:$CH$118,13,FALSE))</f>
        <v/>
      </c>
      <c r="R18" s="1282" t="str">
        <f t="shared" si="5"/>
        <v/>
      </c>
      <c r="S18" s="1282" t="str">
        <f t="shared" si="6"/>
        <v/>
      </c>
      <c r="T18" s="368"/>
      <c r="U18" s="292" t="str">
        <f t="shared" si="7"/>
        <v/>
      </c>
      <c r="V18" s="669" t="str">
        <f>IF(T18="","",HLOOKUP(T18,名簿!$AH$3:$CH$118,13,FALSE))</f>
        <v/>
      </c>
      <c r="W18" s="769" t="str">
        <f t="shared" si="8"/>
        <v/>
      </c>
      <c r="X18" s="774" t="str">
        <f t="shared" si="9"/>
        <v/>
      </c>
      <c r="Y18" s="954"/>
      <c r="Z18" s="950" t="str">
        <f>IF(Y18="","",IF(I18=1,VLOOKUP(Y18,男子種目コード!$A$1:$B$33,2,FALSE),IF(I18=2,VLOOKUP(Y18,女子種目コード!$A$1:$B$27,2,FALSE))))</f>
        <v/>
      </c>
      <c r="AA18" s="339"/>
      <c r="AB18" s="338"/>
      <c r="AC18" s="646"/>
      <c r="AD18" s="647"/>
      <c r="AE18" s="773" t="str">
        <f t="shared" si="10"/>
        <v/>
      </c>
      <c r="AF18" s="774" t="str">
        <f t="shared" si="11"/>
        <v/>
      </c>
      <c r="AG18" s="648"/>
      <c r="AH18" s="649"/>
      <c r="AI18" s="650"/>
      <c r="AJ18" s="20"/>
      <c r="AK18" s="20"/>
      <c r="AM18" s="67" t="s">
        <v>131</v>
      </c>
      <c r="AN18" s="135" t="str">
        <f t="shared" si="0"/>
        <v/>
      </c>
      <c r="AO18" s="135" t="str">
        <f t="shared" si="1"/>
        <v/>
      </c>
      <c r="AQ18" s="135"/>
      <c r="AR18" s="135"/>
      <c r="AS18" s="183">
        <f t="shared" si="2"/>
        <v>0</v>
      </c>
      <c r="AT18" s="1316" t="s">
        <v>1081</v>
      </c>
      <c r="AU18" s="196">
        <f>COUNTIF($P$7:$P$116,12)+COUNTIF($U$7:$U$116,12)</f>
        <v>0</v>
      </c>
      <c r="AV18" s="1326">
        <v>12</v>
      </c>
      <c r="AW18" s="324"/>
      <c r="AX18" s="278"/>
      <c r="AY18" s="335" t="s">
        <v>181</v>
      </c>
      <c r="AZ18" s="335" t="s">
        <v>181</v>
      </c>
      <c r="BA18" s="300"/>
      <c r="BB18" s="300"/>
      <c r="BC18" s="300"/>
      <c r="BD18" s="300"/>
      <c r="BE18" s="941" t="str">
        <f t="shared" ca="1" si="13"/>
        <v/>
      </c>
      <c r="BF18" s="942" t="str">
        <f t="shared" ca="1" si="13"/>
        <v/>
      </c>
      <c r="BG18" s="372" t="e">
        <f ca="1">VLookUpX(53,$A$7:$F$116,3,5)</f>
        <v>#N/A</v>
      </c>
      <c r="BH18" s="372" t="e">
        <f ca="1">VLookUpX(53,$A$7:$F$116,3,6)</f>
        <v>#N/A</v>
      </c>
      <c r="BI18" s="807"/>
      <c r="BJ18" s="300"/>
    </row>
    <row r="19" spans="1:62" ht="14.25" customHeight="1">
      <c r="A19" s="135" t="str">
        <f t="shared" si="3"/>
        <v/>
      </c>
      <c r="B19" s="162" t="str">
        <f>名簿!P16</f>
        <v/>
      </c>
      <c r="C19" s="162"/>
      <c r="D19" s="931"/>
      <c r="E19" s="182">
        <f>名簿!E16</f>
        <v>0</v>
      </c>
      <c r="F19" s="697" t="str">
        <f>名簿!CM16</f>
        <v/>
      </c>
      <c r="G19" s="162" t="str">
        <f>名簿!Z16</f>
        <v/>
      </c>
      <c r="H19" s="675" t="str">
        <f>名簿!CM16</f>
        <v/>
      </c>
      <c r="I19" s="187" t="str">
        <f>名簿!Y16</f>
        <v/>
      </c>
      <c r="J19" s="190" t="str">
        <f>名簿!CN16</f>
        <v/>
      </c>
      <c r="K19" s="1040">
        <f>名簿!CP16</f>
        <v>0</v>
      </c>
      <c r="L19" s="750" t="str">
        <f>名簿!CU16</f>
        <v>00</v>
      </c>
      <c r="M19" s="162" t="str">
        <f>名簿!Q16</f>
        <v/>
      </c>
      <c r="N19" s="697">
        <f>名簿!D16</f>
        <v>0</v>
      </c>
      <c r="O19" s="368"/>
      <c r="P19" s="292" t="str">
        <f t="shared" si="4"/>
        <v/>
      </c>
      <c r="Q19" s="1282" t="str">
        <f>IF(O19="","",HLOOKUP(O19,名簿!$AH$3:$CH$118,14,FALSE))</f>
        <v/>
      </c>
      <c r="R19" s="1282" t="str">
        <f t="shared" si="5"/>
        <v/>
      </c>
      <c r="S19" s="1282" t="str">
        <f t="shared" si="6"/>
        <v/>
      </c>
      <c r="T19" s="368"/>
      <c r="U19" s="292" t="str">
        <f t="shared" si="7"/>
        <v/>
      </c>
      <c r="V19" s="669" t="str">
        <f>IF(T19="","",HLOOKUP(T19,名簿!$AH$3:$CH$118,14,FALSE))</f>
        <v/>
      </c>
      <c r="W19" s="769" t="str">
        <f t="shared" si="8"/>
        <v/>
      </c>
      <c r="X19" s="774" t="str">
        <f t="shared" si="9"/>
        <v/>
      </c>
      <c r="Y19" s="954"/>
      <c r="Z19" s="950" t="str">
        <f>IF(Y19="","",IF(I19=1,VLOOKUP(Y19,男子種目コード!$A$1:$B$33,2,FALSE),IF(I19=2,VLOOKUP(Y19,女子種目コード!$A$1:$B$27,2,FALSE))))</f>
        <v/>
      </c>
      <c r="AA19" s="339"/>
      <c r="AB19" s="338"/>
      <c r="AC19" s="646"/>
      <c r="AD19" s="647"/>
      <c r="AE19" s="773" t="str">
        <f t="shared" si="10"/>
        <v/>
      </c>
      <c r="AF19" s="774" t="str">
        <f t="shared" si="11"/>
        <v/>
      </c>
      <c r="AG19" s="648"/>
      <c r="AH19" s="649"/>
      <c r="AI19" s="650"/>
      <c r="AJ19" s="20"/>
      <c r="AK19" s="20"/>
      <c r="AM19" s="67" t="s">
        <v>181</v>
      </c>
      <c r="AN19" s="135" t="str">
        <f t="shared" si="0"/>
        <v/>
      </c>
      <c r="AO19" s="135" t="str">
        <f t="shared" si="1"/>
        <v/>
      </c>
      <c r="AQ19" s="135"/>
      <c r="AR19" s="135"/>
      <c r="AS19" s="183">
        <f t="shared" si="2"/>
        <v>0</v>
      </c>
      <c r="AT19" s="1317" t="s">
        <v>1082</v>
      </c>
      <c r="AU19" s="196">
        <f>COUNTIF($P$7:$P$116,15)+COUNTIF($U$7:$U$116,15)</f>
        <v>0</v>
      </c>
      <c r="AV19" s="1326">
        <v>15</v>
      </c>
      <c r="AW19" s="324"/>
      <c r="AX19" s="278"/>
      <c r="AY19" s="335" t="s">
        <v>180</v>
      </c>
      <c r="AZ19" s="335" t="s">
        <v>180</v>
      </c>
      <c r="BA19" s="300"/>
      <c r="BB19" s="300"/>
      <c r="BC19" s="300"/>
      <c r="BD19" s="300"/>
      <c r="BE19" s="941" t="str">
        <f t="shared" ca="1" si="13"/>
        <v/>
      </c>
      <c r="BF19" s="942" t="str">
        <f t="shared" ca="1" si="13"/>
        <v/>
      </c>
      <c r="BG19" s="372" t="e">
        <f ca="1">VLookUpX(53,$A$7:$F$116,4,5)</f>
        <v>#N/A</v>
      </c>
      <c r="BH19" s="372" t="e">
        <f ca="1">VLookUpX(53,$A$7:$F$116,4,6)</f>
        <v>#N/A</v>
      </c>
      <c r="BI19" s="807"/>
      <c r="BJ19" s="300"/>
    </row>
    <row r="20" spans="1:62" ht="14.25" customHeight="1">
      <c r="A20" s="135" t="str">
        <f t="shared" si="3"/>
        <v/>
      </c>
      <c r="B20" s="162" t="str">
        <f>名簿!P17</f>
        <v/>
      </c>
      <c r="C20" s="162"/>
      <c r="D20" s="931"/>
      <c r="E20" s="182">
        <f>名簿!E17</f>
        <v>0</v>
      </c>
      <c r="F20" s="697" t="str">
        <f>名簿!CM17</f>
        <v/>
      </c>
      <c r="G20" s="162" t="str">
        <f>名簿!Z17</f>
        <v/>
      </c>
      <c r="H20" s="675" t="str">
        <f>名簿!CM17</f>
        <v/>
      </c>
      <c r="I20" s="187" t="str">
        <f>名簿!Y17</f>
        <v/>
      </c>
      <c r="J20" s="190" t="str">
        <f>名簿!CN17</f>
        <v/>
      </c>
      <c r="K20" s="1040">
        <f>名簿!CP17</f>
        <v>0</v>
      </c>
      <c r="L20" s="750" t="str">
        <f>名簿!CU17</f>
        <v>00</v>
      </c>
      <c r="M20" s="162" t="str">
        <f>名簿!Q17</f>
        <v/>
      </c>
      <c r="N20" s="697">
        <f>名簿!D17</f>
        <v>0</v>
      </c>
      <c r="O20" s="368"/>
      <c r="P20" s="292" t="str">
        <f t="shared" si="4"/>
        <v/>
      </c>
      <c r="Q20" s="1282" t="str">
        <f>IF(O20="","",HLOOKUP(O20,名簿!$AH$3:$CH$118,15,FALSE))</f>
        <v/>
      </c>
      <c r="R20" s="1282" t="str">
        <f t="shared" si="5"/>
        <v/>
      </c>
      <c r="S20" s="1282" t="str">
        <f t="shared" si="6"/>
        <v/>
      </c>
      <c r="T20" s="368"/>
      <c r="U20" s="292" t="str">
        <f t="shared" si="7"/>
        <v/>
      </c>
      <c r="V20" s="669" t="str">
        <f>IF(T20="","",HLOOKUP(T20,名簿!$AH$3:$CH$118,15,FALSE))</f>
        <v/>
      </c>
      <c r="W20" s="769" t="str">
        <f t="shared" si="8"/>
        <v/>
      </c>
      <c r="X20" s="774" t="str">
        <f t="shared" si="9"/>
        <v/>
      </c>
      <c r="Y20" s="954"/>
      <c r="Z20" s="950" t="str">
        <f>IF(Y20="","",IF(I20=1,VLOOKUP(Y20,男子種目コード!$A$1:$B$33,2,FALSE),IF(I20=2,VLOOKUP(Y20,女子種目コード!$A$1:$B$27,2,FALSE))))</f>
        <v/>
      </c>
      <c r="AA20" s="339"/>
      <c r="AB20" s="338"/>
      <c r="AC20" s="646"/>
      <c r="AD20" s="647"/>
      <c r="AE20" s="773" t="str">
        <f t="shared" si="10"/>
        <v/>
      </c>
      <c r="AF20" s="774" t="str">
        <f t="shared" si="11"/>
        <v/>
      </c>
      <c r="AG20" s="648"/>
      <c r="AH20" s="649"/>
      <c r="AI20" s="650"/>
      <c r="AJ20" s="20"/>
      <c r="AK20" s="20"/>
      <c r="AM20" s="67" t="s">
        <v>180</v>
      </c>
      <c r="AN20" s="135" t="str">
        <f t="shared" si="0"/>
        <v/>
      </c>
      <c r="AO20" s="135" t="str">
        <f t="shared" si="1"/>
        <v/>
      </c>
      <c r="AQ20" s="135"/>
      <c r="AR20" s="135"/>
      <c r="AS20" s="183">
        <f t="shared" si="2"/>
        <v>0</v>
      </c>
      <c r="AT20" s="1317" t="s">
        <v>1083</v>
      </c>
      <c r="AU20" s="196">
        <f>COUNTIF($P$7:$P$116,16)+COUNTIF($U$7:$U$116,16)</f>
        <v>0</v>
      </c>
      <c r="AV20" s="1326">
        <v>16</v>
      </c>
      <c r="AW20" s="324"/>
      <c r="AX20" s="278"/>
      <c r="AY20" s="335" t="s">
        <v>184</v>
      </c>
      <c r="AZ20" s="335" t="s">
        <v>184</v>
      </c>
      <c r="BA20" s="300"/>
      <c r="BB20" s="300"/>
      <c r="BC20" s="300"/>
      <c r="BD20" s="300"/>
      <c r="BE20" s="941" t="str">
        <f t="shared" ca="1" si="13"/>
        <v/>
      </c>
      <c r="BF20" s="942" t="str">
        <f t="shared" ca="1" si="13"/>
        <v/>
      </c>
      <c r="BG20" s="372" t="e">
        <f ca="1">VLookUpX(53,$A$7:$F$116,5,5)</f>
        <v>#N/A</v>
      </c>
      <c r="BH20" s="372" t="e">
        <f ca="1">VLookUpX(53,$A$7:$F$116,5,6)</f>
        <v>#N/A</v>
      </c>
      <c r="BI20" s="807"/>
      <c r="BJ20" s="300"/>
    </row>
    <row r="21" spans="1:62" ht="14.25" customHeight="1" thickBot="1">
      <c r="A21" s="135" t="str">
        <f t="shared" si="3"/>
        <v/>
      </c>
      <c r="B21" s="162" t="str">
        <f>名簿!P18</f>
        <v/>
      </c>
      <c r="C21" s="162"/>
      <c r="D21" s="931"/>
      <c r="E21" s="182">
        <f>名簿!E18</f>
        <v>0</v>
      </c>
      <c r="F21" s="697" t="str">
        <f>名簿!CM18</f>
        <v/>
      </c>
      <c r="G21" s="162" t="str">
        <f>名簿!Z18</f>
        <v/>
      </c>
      <c r="H21" s="675" t="str">
        <f>名簿!CM18</f>
        <v/>
      </c>
      <c r="I21" s="187" t="str">
        <f>名簿!Y18</f>
        <v/>
      </c>
      <c r="J21" s="190" t="str">
        <f>名簿!CN18</f>
        <v/>
      </c>
      <c r="K21" s="1040">
        <f>名簿!CP18</f>
        <v>0</v>
      </c>
      <c r="L21" s="750" t="str">
        <f>名簿!CU18</f>
        <v>00</v>
      </c>
      <c r="M21" s="162" t="str">
        <f>名簿!Q18</f>
        <v/>
      </c>
      <c r="N21" s="697">
        <f>名簿!D18</f>
        <v>0</v>
      </c>
      <c r="O21" s="368"/>
      <c r="P21" s="292" t="str">
        <f t="shared" si="4"/>
        <v/>
      </c>
      <c r="Q21" s="1282" t="str">
        <f>IF(O21="","",HLOOKUP(O21,名簿!$AH$3:$CH$118,16,FALSE))</f>
        <v/>
      </c>
      <c r="R21" s="1282" t="str">
        <f t="shared" si="5"/>
        <v/>
      </c>
      <c r="S21" s="1282" t="str">
        <f t="shared" si="6"/>
        <v/>
      </c>
      <c r="T21" s="368"/>
      <c r="U21" s="292" t="str">
        <f t="shared" si="7"/>
        <v/>
      </c>
      <c r="V21" s="669" t="str">
        <f>IF(T21="","",HLOOKUP(T21,名簿!$AH$3:$CH$118,16,FALSE))</f>
        <v/>
      </c>
      <c r="W21" s="769" t="str">
        <f t="shared" si="8"/>
        <v/>
      </c>
      <c r="X21" s="774" t="str">
        <f t="shared" si="9"/>
        <v/>
      </c>
      <c r="Y21" s="954"/>
      <c r="Z21" s="950" t="str">
        <f>IF(Y21="","",IF(I21=1,VLOOKUP(Y21,男子種目コード!$A$1:$B$33,2,FALSE),IF(I21=2,VLOOKUP(Y21,女子種目コード!$A$1:$B$27,2,FALSE))))</f>
        <v/>
      </c>
      <c r="AA21" s="339"/>
      <c r="AB21" s="338"/>
      <c r="AC21" s="646"/>
      <c r="AD21" s="647"/>
      <c r="AE21" s="773" t="str">
        <f t="shared" si="10"/>
        <v/>
      </c>
      <c r="AF21" s="774" t="str">
        <f t="shared" si="11"/>
        <v/>
      </c>
      <c r="AG21" s="648"/>
      <c r="AH21" s="649"/>
      <c r="AI21" s="650"/>
      <c r="AJ21" s="20"/>
      <c r="AK21" s="20"/>
      <c r="AM21" s="67" t="s">
        <v>184</v>
      </c>
      <c r="AN21" s="135" t="str">
        <f t="shared" si="0"/>
        <v/>
      </c>
      <c r="AO21" s="135" t="str">
        <f t="shared" si="1"/>
        <v/>
      </c>
      <c r="AQ21" s="135"/>
      <c r="AR21" s="135"/>
      <c r="AS21" s="183">
        <f t="shared" si="2"/>
        <v>0</v>
      </c>
      <c r="AT21" s="1317" t="s">
        <v>1084</v>
      </c>
      <c r="AU21" s="196">
        <f>COUNTIF($P$7:$P$116,17)+COUNTIF($U$7:$U$116,17)</f>
        <v>0</v>
      </c>
      <c r="AV21" s="1327">
        <v>17</v>
      </c>
      <c r="AW21" s="324"/>
      <c r="AX21" s="278"/>
      <c r="AY21" s="335" t="s">
        <v>185</v>
      </c>
      <c r="AZ21" s="335" t="s">
        <v>185</v>
      </c>
      <c r="BA21" s="300"/>
      <c r="BB21" s="300"/>
      <c r="BC21" s="300"/>
      <c r="BD21" s="300"/>
      <c r="BE21" s="943" t="str">
        <f t="shared" ca="1" si="13"/>
        <v/>
      </c>
      <c r="BF21" s="944" t="str">
        <f t="shared" ca="1" si="13"/>
        <v/>
      </c>
      <c r="BG21" s="372" t="e">
        <f ca="1">VLookUpX(53,$A$7:$F$116,6,5)</f>
        <v>#N/A</v>
      </c>
      <c r="BH21" s="372" t="e">
        <f ca="1">VLookUpX(53,$A$7:$F$116,6,6)</f>
        <v>#N/A</v>
      </c>
      <c r="BI21" s="807"/>
      <c r="BJ21" s="300"/>
    </row>
    <row r="22" spans="1:62" ht="14.25" customHeight="1">
      <c r="A22" s="135" t="str">
        <f t="shared" si="3"/>
        <v/>
      </c>
      <c r="B22" s="162" t="str">
        <f>名簿!P19</f>
        <v/>
      </c>
      <c r="C22" s="162"/>
      <c r="D22" s="931"/>
      <c r="E22" s="182">
        <f>名簿!E19</f>
        <v>0</v>
      </c>
      <c r="F22" s="697" t="str">
        <f>名簿!CM19</f>
        <v/>
      </c>
      <c r="G22" s="162" t="str">
        <f>名簿!Z19</f>
        <v/>
      </c>
      <c r="H22" s="675" t="str">
        <f>名簿!CM19</f>
        <v/>
      </c>
      <c r="I22" s="187" t="str">
        <f>名簿!Y19</f>
        <v/>
      </c>
      <c r="J22" s="190" t="str">
        <f>名簿!CN19</f>
        <v/>
      </c>
      <c r="K22" s="1040">
        <f>名簿!CP19</f>
        <v>0</v>
      </c>
      <c r="L22" s="750" t="str">
        <f>名簿!CU19</f>
        <v>00</v>
      </c>
      <c r="M22" s="162" t="str">
        <f>名簿!Q19</f>
        <v/>
      </c>
      <c r="N22" s="697">
        <f>名簿!D19</f>
        <v>0</v>
      </c>
      <c r="O22" s="368"/>
      <c r="P22" s="292" t="str">
        <f t="shared" si="4"/>
        <v/>
      </c>
      <c r="Q22" s="1282" t="str">
        <f>IF(O22="","",HLOOKUP(O22,名簿!$AH$3:$CH$118,17,FALSE))</f>
        <v/>
      </c>
      <c r="R22" s="1282" t="str">
        <f t="shared" si="5"/>
        <v/>
      </c>
      <c r="S22" s="1282" t="str">
        <f t="shared" si="6"/>
        <v/>
      </c>
      <c r="T22" s="368"/>
      <c r="U22" s="292" t="str">
        <f t="shared" si="7"/>
        <v/>
      </c>
      <c r="V22" s="669" t="str">
        <f>IF(T22="","",HLOOKUP(T22,名簿!$AH$3:$CH$118,17,FALSE))</f>
        <v/>
      </c>
      <c r="W22" s="769" t="str">
        <f t="shared" si="8"/>
        <v/>
      </c>
      <c r="X22" s="774" t="str">
        <f t="shared" si="9"/>
        <v/>
      </c>
      <c r="Y22" s="954"/>
      <c r="Z22" s="950" t="str">
        <f>IF(Y22="","",IF(I22=1,VLOOKUP(Y22,男子種目コード!$A$1:$B$33,2,FALSE),IF(I22=2,VLOOKUP(Y22,女子種目コード!$A$1:$B$27,2,FALSE))))</f>
        <v/>
      </c>
      <c r="AA22" s="339"/>
      <c r="AB22" s="338"/>
      <c r="AC22" s="646"/>
      <c r="AD22" s="647"/>
      <c r="AE22" s="773" t="str">
        <f t="shared" si="10"/>
        <v/>
      </c>
      <c r="AF22" s="774" t="str">
        <f t="shared" si="11"/>
        <v/>
      </c>
      <c r="AG22" s="648"/>
      <c r="AH22" s="649"/>
      <c r="AI22" s="650"/>
      <c r="AJ22" s="20"/>
      <c r="AK22" s="20"/>
      <c r="AM22" s="67" t="s">
        <v>185</v>
      </c>
      <c r="AN22" s="135" t="str">
        <f t="shared" si="0"/>
        <v/>
      </c>
      <c r="AO22" s="135" t="str">
        <f t="shared" si="1"/>
        <v/>
      </c>
      <c r="AQ22" s="135"/>
      <c r="AR22" s="135"/>
      <c r="AS22" s="183">
        <f t="shared" si="2"/>
        <v>0</v>
      </c>
      <c r="AT22" s="1317" t="s">
        <v>1085</v>
      </c>
      <c r="AU22" s="196">
        <f>COUNTIF($P$7:$P$116,18)+COUNTIF($U$7:$U$116,18)</f>
        <v>0</v>
      </c>
      <c r="AV22" s="1325">
        <v>18</v>
      </c>
      <c r="AW22" s="324"/>
      <c r="AX22" s="278"/>
      <c r="AY22" s="335" t="s">
        <v>183</v>
      </c>
      <c r="AZ22" s="335" t="s">
        <v>183</v>
      </c>
      <c r="BA22" s="300"/>
      <c r="BB22" s="300"/>
      <c r="BC22" s="300"/>
      <c r="BD22" s="300"/>
      <c r="BE22" s="300"/>
      <c r="BF22" s="300"/>
      <c r="BG22" s="300"/>
      <c r="BH22" s="300"/>
      <c r="BI22" s="300"/>
      <c r="BJ22" s="300"/>
    </row>
    <row r="23" spans="1:62" ht="14.25" customHeight="1">
      <c r="A23" s="135" t="str">
        <f t="shared" si="3"/>
        <v/>
      </c>
      <c r="B23" s="162" t="str">
        <f>名簿!P20</f>
        <v/>
      </c>
      <c r="C23" s="162"/>
      <c r="D23" s="931"/>
      <c r="E23" s="182">
        <f>名簿!E20</f>
        <v>0</v>
      </c>
      <c r="F23" s="697" t="str">
        <f>名簿!CM20</f>
        <v/>
      </c>
      <c r="G23" s="162" t="str">
        <f>名簿!Z20</f>
        <v/>
      </c>
      <c r="H23" s="675" t="str">
        <f>名簿!CM20</f>
        <v/>
      </c>
      <c r="I23" s="187" t="str">
        <f>名簿!Y20</f>
        <v/>
      </c>
      <c r="J23" s="190" t="str">
        <f>名簿!CN20</f>
        <v/>
      </c>
      <c r="K23" s="1040">
        <f>名簿!CP20</f>
        <v>0</v>
      </c>
      <c r="L23" s="750" t="str">
        <f>名簿!CU20</f>
        <v>00</v>
      </c>
      <c r="M23" s="162" t="str">
        <f>名簿!Q20</f>
        <v/>
      </c>
      <c r="N23" s="697">
        <f>名簿!D20</f>
        <v>0</v>
      </c>
      <c r="O23" s="368"/>
      <c r="P23" s="292" t="str">
        <f t="shared" si="4"/>
        <v/>
      </c>
      <c r="Q23" s="1282" t="str">
        <f>IF(O23="","",HLOOKUP(O23,名簿!$AH$3:$CH$118,18,FALSE))</f>
        <v/>
      </c>
      <c r="R23" s="1282" t="str">
        <f t="shared" si="5"/>
        <v/>
      </c>
      <c r="S23" s="1282" t="str">
        <f t="shared" si="6"/>
        <v/>
      </c>
      <c r="T23" s="368"/>
      <c r="U23" s="292" t="str">
        <f t="shared" si="7"/>
        <v/>
      </c>
      <c r="V23" s="669" t="str">
        <f>IF(T23="","",HLOOKUP(T23,名簿!$AH$3:$CH$118,18,FALSE))</f>
        <v/>
      </c>
      <c r="W23" s="769" t="str">
        <f t="shared" si="8"/>
        <v/>
      </c>
      <c r="X23" s="774" t="str">
        <f t="shared" si="9"/>
        <v/>
      </c>
      <c r="Y23" s="954"/>
      <c r="Z23" s="950" t="str">
        <f>IF(Y23="","",IF(I23=1,VLOOKUP(Y23,男子種目コード!$A$1:$B$33,2,FALSE),IF(I23=2,VLOOKUP(Y23,女子種目コード!$A$1:$B$27,2,FALSE))))</f>
        <v/>
      </c>
      <c r="AA23" s="339"/>
      <c r="AB23" s="338"/>
      <c r="AC23" s="646"/>
      <c r="AD23" s="647"/>
      <c r="AE23" s="773" t="str">
        <f t="shared" si="10"/>
        <v/>
      </c>
      <c r="AF23" s="774" t="str">
        <f t="shared" si="11"/>
        <v/>
      </c>
      <c r="AG23" s="648"/>
      <c r="AH23" s="649"/>
      <c r="AI23" s="650"/>
      <c r="AJ23" s="20"/>
      <c r="AK23" s="20"/>
      <c r="AM23" s="67" t="s">
        <v>183</v>
      </c>
      <c r="AN23" s="135" t="str">
        <f t="shared" si="0"/>
        <v/>
      </c>
      <c r="AO23" s="135" t="str">
        <f t="shared" si="1"/>
        <v/>
      </c>
      <c r="AQ23" s="135"/>
      <c r="AR23" s="135"/>
      <c r="AS23" s="183">
        <f t="shared" si="2"/>
        <v>0</v>
      </c>
      <c r="AT23" s="1317" t="s">
        <v>1118</v>
      </c>
      <c r="AU23" s="196">
        <f>COUNTIF($P$7:$P$116,19)+COUNTIF($U$7:$U$116,19)</f>
        <v>0</v>
      </c>
      <c r="AV23" s="1327">
        <v>19</v>
      </c>
      <c r="AW23" s="324"/>
      <c r="AX23" s="278"/>
      <c r="AY23" s="335" t="s">
        <v>263</v>
      </c>
      <c r="AZ23" s="335" t="s">
        <v>263</v>
      </c>
      <c r="BA23" s="300"/>
      <c r="BB23" s="300"/>
      <c r="BC23" s="300"/>
      <c r="BD23" s="300"/>
      <c r="BE23" s="300"/>
      <c r="BF23" s="300"/>
      <c r="BG23" s="300"/>
      <c r="BH23" s="300"/>
      <c r="BI23" s="300"/>
      <c r="BJ23" s="300"/>
    </row>
    <row r="24" spans="1:62" ht="14.25" customHeight="1">
      <c r="A24" s="135" t="str">
        <f t="shared" si="3"/>
        <v/>
      </c>
      <c r="B24" s="162" t="str">
        <f>名簿!P21</f>
        <v/>
      </c>
      <c r="C24" s="162"/>
      <c r="D24" s="931"/>
      <c r="E24" s="182">
        <f>名簿!E21</f>
        <v>0</v>
      </c>
      <c r="F24" s="697" t="str">
        <f>名簿!CM21</f>
        <v/>
      </c>
      <c r="G24" s="162" t="str">
        <f>名簿!Z21</f>
        <v/>
      </c>
      <c r="H24" s="675" t="str">
        <f>名簿!CM21</f>
        <v/>
      </c>
      <c r="I24" s="187" t="str">
        <f>名簿!Y21</f>
        <v/>
      </c>
      <c r="J24" s="190" t="str">
        <f>名簿!CN21</f>
        <v/>
      </c>
      <c r="K24" s="1040">
        <f>名簿!CP21</f>
        <v>0</v>
      </c>
      <c r="L24" s="750" t="str">
        <f>名簿!CU21</f>
        <v>00</v>
      </c>
      <c r="M24" s="162" t="str">
        <f>名簿!Q21</f>
        <v/>
      </c>
      <c r="N24" s="697">
        <f>名簿!D21</f>
        <v>0</v>
      </c>
      <c r="O24" s="368"/>
      <c r="P24" s="292" t="str">
        <f t="shared" si="4"/>
        <v/>
      </c>
      <c r="Q24" s="1282" t="str">
        <f>IF(O24="","",HLOOKUP(O24,名簿!$AH$3:$CH$118,19,FALSE))</f>
        <v/>
      </c>
      <c r="R24" s="1282" t="str">
        <f t="shared" si="5"/>
        <v/>
      </c>
      <c r="S24" s="1282" t="str">
        <f t="shared" si="6"/>
        <v/>
      </c>
      <c r="T24" s="368"/>
      <c r="U24" s="292" t="str">
        <f t="shared" si="7"/>
        <v/>
      </c>
      <c r="V24" s="669" t="str">
        <f>IF(T24="","",HLOOKUP(T24,名簿!$AH$3:$CH$118,19,FALSE))</f>
        <v/>
      </c>
      <c r="W24" s="769" t="str">
        <f t="shared" si="8"/>
        <v/>
      </c>
      <c r="X24" s="774" t="str">
        <f t="shared" si="9"/>
        <v/>
      </c>
      <c r="Y24" s="954"/>
      <c r="Z24" s="950" t="str">
        <f>IF(Y24="","",IF(I24=1,VLOOKUP(Y24,男子種目コード!$A$1:$B$33,2,FALSE),IF(I24=2,VLOOKUP(Y24,女子種目コード!$A$1:$B$27,2,FALSE))))</f>
        <v/>
      </c>
      <c r="AA24" s="339"/>
      <c r="AB24" s="338"/>
      <c r="AC24" s="646"/>
      <c r="AD24" s="647"/>
      <c r="AE24" s="773" t="str">
        <f t="shared" si="10"/>
        <v/>
      </c>
      <c r="AF24" s="774" t="str">
        <f t="shared" si="11"/>
        <v/>
      </c>
      <c r="AG24" s="648"/>
      <c r="AH24" s="649"/>
      <c r="AI24" s="650"/>
      <c r="AJ24" s="20"/>
      <c r="AK24" s="20"/>
      <c r="AM24" s="67" t="s">
        <v>263</v>
      </c>
      <c r="AN24" s="135" t="str">
        <f t="shared" si="0"/>
        <v/>
      </c>
      <c r="AO24" s="135" t="str">
        <f t="shared" si="1"/>
        <v/>
      </c>
      <c r="AQ24" s="135"/>
      <c r="AR24" s="135"/>
      <c r="AS24" s="183">
        <f t="shared" si="2"/>
        <v>0</v>
      </c>
      <c r="AT24" s="1318" t="s">
        <v>1120</v>
      </c>
      <c r="AU24" s="196">
        <f>COUNTIF($P$7:$P$116,20)+COUNTIF($U$7:$U$116,20)</f>
        <v>0</v>
      </c>
      <c r="AV24" s="1325">
        <v>20</v>
      </c>
      <c r="AW24" s="324"/>
      <c r="AX24" s="278"/>
      <c r="AY24" s="335" t="s">
        <v>265</v>
      </c>
      <c r="AZ24" s="335" t="s">
        <v>265</v>
      </c>
      <c r="BA24" s="300"/>
      <c r="BB24" s="300"/>
      <c r="BC24" s="300"/>
      <c r="BD24" s="300"/>
      <c r="BE24" s="300"/>
      <c r="BF24" s="300"/>
      <c r="BG24" s="300"/>
      <c r="BH24" s="300"/>
      <c r="BI24" s="300"/>
      <c r="BJ24" s="300"/>
    </row>
    <row r="25" spans="1:62" ht="14.25" customHeight="1">
      <c r="A25" s="135" t="str">
        <f t="shared" si="3"/>
        <v/>
      </c>
      <c r="B25" s="162" t="str">
        <f>名簿!P22</f>
        <v/>
      </c>
      <c r="C25" s="162"/>
      <c r="D25" s="931"/>
      <c r="E25" s="182">
        <f>名簿!E22</f>
        <v>0</v>
      </c>
      <c r="F25" s="697" t="str">
        <f>名簿!CM22</f>
        <v/>
      </c>
      <c r="G25" s="162" t="str">
        <f>名簿!Z22</f>
        <v/>
      </c>
      <c r="H25" s="675" t="str">
        <f>名簿!CM22</f>
        <v/>
      </c>
      <c r="I25" s="187" t="str">
        <f>名簿!Y22</f>
        <v/>
      </c>
      <c r="J25" s="190" t="str">
        <f>名簿!CN22</f>
        <v/>
      </c>
      <c r="K25" s="1040">
        <f>名簿!CP22</f>
        <v>0</v>
      </c>
      <c r="L25" s="750" t="str">
        <f>名簿!CU22</f>
        <v>00</v>
      </c>
      <c r="M25" s="162" t="str">
        <f>名簿!Q22</f>
        <v/>
      </c>
      <c r="N25" s="697">
        <f>名簿!D22</f>
        <v>0</v>
      </c>
      <c r="O25" s="368"/>
      <c r="P25" s="292" t="str">
        <f t="shared" si="4"/>
        <v/>
      </c>
      <c r="Q25" s="1282" t="str">
        <f>IF(O25="","",HLOOKUP(O25,名簿!$AH$3:$CH$118,20,FALSE))</f>
        <v/>
      </c>
      <c r="R25" s="1282" t="str">
        <f t="shared" si="5"/>
        <v/>
      </c>
      <c r="S25" s="1282" t="str">
        <f t="shared" si="6"/>
        <v/>
      </c>
      <c r="T25" s="368"/>
      <c r="U25" s="292" t="str">
        <f t="shared" si="7"/>
        <v/>
      </c>
      <c r="V25" s="669" t="str">
        <f>IF(T25="","",HLOOKUP(T25,名簿!$AH$3:$CH$118,20,FALSE))</f>
        <v/>
      </c>
      <c r="W25" s="769" t="str">
        <f t="shared" si="8"/>
        <v/>
      </c>
      <c r="X25" s="774" t="str">
        <f t="shared" si="9"/>
        <v/>
      </c>
      <c r="Y25" s="954"/>
      <c r="Z25" s="950" t="str">
        <f>IF(Y25="","",IF(I25=1,VLOOKUP(Y25,男子種目コード!$A$1:$B$33,2,FALSE),IF(I25=2,VLOOKUP(Y25,女子種目コード!$A$1:$B$27,2,FALSE))))</f>
        <v/>
      </c>
      <c r="AA25" s="339"/>
      <c r="AB25" s="338"/>
      <c r="AC25" s="646"/>
      <c r="AD25" s="647"/>
      <c r="AE25" s="773" t="str">
        <f t="shared" si="10"/>
        <v/>
      </c>
      <c r="AF25" s="774" t="str">
        <f t="shared" si="11"/>
        <v/>
      </c>
      <c r="AG25" s="648"/>
      <c r="AH25" s="649"/>
      <c r="AI25" s="650"/>
      <c r="AJ25" s="20"/>
      <c r="AK25" s="20"/>
      <c r="AM25" s="67" t="s">
        <v>265</v>
      </c>
      <c r="AN25" s="135" t="str">
        <f t="shared" si="0"/>
        <v/>
      </c>
      <c r="AO25" s="135" t="str">
        <f t="shared" si="1"/>
        <v/>
      </c>
      <c r="AQ25" s="135"/>
      <c r="AR25" s="135"/>
      <c r="AS25" s="183">
        <f t="shared" si="2"/>
        <v>0</v>
      </c>
      <c r="AT25" s="1318" t="s">
        <v>1159</v>
      </c>
      <c r="AU25" s="196">
        <f>COUNTIF($P$7:$P$116,21)+COUNTIF($U$7:$U$116,21)</f>
        <v>0</v>
      </c>
      <c r="AV25" s="1326">
        <v>21</v>
      </c>
      <c r="AW25" s="324"/>
      <c r="AX25" s="278"/>
      <c r="AY25" s="335" t="s">
        <v>318</v>
      </c>
      <c r="AZ25" s="335" t="s">
        <v>318</v>
      </c>
      <c r="BA25" s="300"/>
      <c r="BB25" s="300"/>
      <c r="BC25" s="300"/>
      <c r="BD25" s="300"/>
      <c r="BE25" s="300"/>
      <c r="BF25" s="300"/>
      <c r="BG25" s="300"/>
      <c r="BH25" s="300"/>
      <c r="BI25" s="300"/>
      <c r="BJ25" s="300"/>
    </row>
    <row r="26" spans="1:62" ht="14.25" customHeight="1">
      <c r="A26" s="135" t="str">
        <f t="shared" si="3"/>
        <v/>
      </c>
      <c r="B26" s="162" t="str">
        <f>名簿!P23</f>
        <v/>
      </c>
      <c r="C26" s="162"/>
      <c r="D26" s="931"/>
      <c r="E26" s="182">
        <f>名簿!E23</f>
        <v>0</v>
      </c>
      <c r="F26" s="697" t="str">
        <f>名簿!CM23</f>
        <v/>
      </c>
      <c r="G26" s="162" t="str">
        <f>名簿!Z23</f>
        <v/>
      </c>
      <c r="H26" s="675" t="str">
        <f>名簿!CM23</f>
        <v/>
      </c>
      <c r="I26" s="187" t="str">
        <f>名簿!Y23</f>
        <v/>
      </c>
      <c r="J26" s="190" t="str">
        <f>名簿!CN23</f>
        <v/>
      </c>
      <c r="K26" s="1040">
        <f>名簿!CP23</f>
        <v>0</v>
      </c>
      <c r="L26" s="750" t="str">
        <f>名簿!CU23</f>
        <v>00</v>
      </c>
      <c r="M26" s="162" t="str">
        <f>名簿!Q23</f>
        <v/>
      </c>
      <c r="N26" s="697">
        <f>名簿!D23</f>
        <v>0</v>
      </c>
      <c r="O26" s="368"/>
      <c r="P26" s="292" t="str">
        <f t="shared" si="4"/>
        <v/>
      </c>
      <c r="Q26" s="1282" t="str">
        <f>IF(O26="","",HLOOKUP(O26,名簿!$AH$3:$CH$118,21,FALSE))</f>
        <v/>
      </c>
      <c r="R26" s="1282" t="str">
        <f t="shared" si="5"/>
        <v/>
      </c>
      <c r="S26" s="1282" t="str">
        <f t="shared" si="6"/>
        <v/>
      </c>
      <c r="T26" s="368"/>
      <c r="U26" s="292" t="str">
        <f t="shared" si="7"/>
        <v/>
      </c>
      <c r="V26" s="669" t="str">
        <f>IF(T26="","",HLOOKUP(T26,名簿!$AH$3:$CH$118,21,FALSE))</f>
        <v/>
      </c>
      <c r="W26" s="769" t="str">
        <f t="shared" si="8"/>
        <v/>
      </c>
      <c r="X26" s="774" t="str">
        <f t="shared" si="9"/>
        <v/>
      </c>
      <c r="Y26" s="954"/>
      <c r="Z26" s="950" t="str">
        <f>IF(Y26="","",IF(I26=1,VLOOKUP(Y26,男子種目コード!$A$1:$B$33,2,FALSE),IF(I26=2,VLOOKUP(Y26,女子種目コード!$A$1:$B$27,2,FALSE))))</f>
        <v/>
      </c>
      <c r="AA26" s="339"/>
      <c r="AB26" s="338"/>
      <c r="AC26" s="646"/>
      <c r="AD26" s="647"/>
      <c r="AE26" s="773" t="str">
        <f t="shared" si="10"/>
        <v/>
      </c>
      <c r="AF26" s="774" t="str">
        <f t="shared" si="11"/>
        <v/>
      </c>
      <c r="AG26" s="648"/>
      <c r="AH26" s="649"/>
      <c r="AI26" s="650"/>
      <c r="AJ26" s="20"/>
      <c r="AK26" s="20"/>
      <c r="AM26" s="67" t="s">
        <v>318</v>
      </c>
      <c r="AN26" s="135" t="str">
        <f t="shared" si="0"/>
        <v/>
      </c>
      <c r="AO26" s="135" t="str">
        <f t="shared" si="1"/>
        <v/>
      </c>
      <c r="AQ26" s="135"/>
      <c r="AR26" s="135"/>
      <c r="AS26" s="183">
        <f t="shared" si="2"/>
        <v>0</v>
      </c>
      <c r="AT26" s="1318" t="s">
        <v>1160</v>
      </c>
      <c r="AU26" s="196">
        <f>COUNTIF($P$7:$P$116,22)+COUNTIF($U$7:$U$116,22)</f>
        <v>0</v>
      </c>
      <c r="AV26" s="1326">
        <v>22</v>
      </c>
      <c r="AW26" s="324"/>
      <c r="AX26" s="278"/>
      <c r="AY26" s="335" t="s">
        <v>851</v>
      </c>
      <c r="AZ26" s="335" t="s">
        <v>851</v>
      </c>
      <c r="BA26" s="300"/>
      <c r="BB26" s="300"/>
      <c r="BC26" s="300"/>
      <c r="BD26" s="300"/>
      <c r="BE26" s="300"/>
      <c r="BF26" s="300"/>
      <c r="BG26" s="300"/>
      <c r="BH26" s="300"/>
      <c r="BI26" s="300"/>
      <c r="BJ26" s="300"/>
    </row>
    <row r="27" spans="1:62" ht="14.25" customHeight="1">
      <c r="A27" s="135" t="str">
        <f t="shared" si="3"/>
        <v/>
      </c>
      <c r="B27" s="162" t="str">
        <f>名簿!P24</f>
        <v/>
      </c>
      <c r="C27" s="162"/>
      <c r="D27" s="931"/>
      <c r="E27" s="182">
        <f>名簿!E24</f>
        <v>0</v>
      </c>
      <c r="F27" s="697" t="str">
        <f>名簿!CM24</f>
        <v/>
      </c>
      <c r="G27" s="162" t="str">
        <f>名簿!Z24</f>
        <v/>
      </c>
      <c r="H27" s="675" t="str">
        <f>名簿!CM24</f>
        <v/>
      </c>
      <c r="I27" s="187" t="str">
        <f>名簿!Y24</f>
        <v/>
      </c>
      <c r="J27" s="190" t="str">
        <f>名簿!CN24</f>
        <v/>
      </c>
      <c r="K27" s="1040">
        <f>名簿!CP24</f>
        <v>0</v>
      </c>
      <c r="L27" s="750" t="str">
        <f>名簿!CU24</f>
        <v>00</v>
      </c>
      <c r="M27" s="162" t="str">
        <f>名簿!Q24</f>
        <v/>
      </c>
      <c r="N27" s="697">
        <f>名簿!D24</f>
        <v>0</v>
      </c>
      <c r="O27" s="368"/>
      <c r="P27" s="292" t="str">
        <f t="shared" si="4"/>
        <v/>
      </c>
      <c r="Q27" s="1282" t="str">
        <f>IF(O27="","",HLOOKUP(O27,名簿!$AH$3:$CH$118,22,FALSE))</f>
        <v/>
      </c>
      <c r="R27" s="1282" t="str">
        <f t="shared" si="5"/>
        <v/>
      </c>
      <c r="S27" s="1282" t="str">
        <f t="shared" si="6"/>
        <v/>
      </c>
      <c r="T27" s="368"/>
      <c r="U27" s="292" t="str">
        <f t="shared" si="7"/>
        <v/>
      </c>
      <c r="V27" s="669" t="str">
        <f>IF(T27="","",HLOOKUP(T27,名簿!$AH$3:$CH$118,22,FALSE))</f>
        <v/>
      </c>
      <c r="W27" s="769" t="str">
        <f t="shared" si="8"/>
        <v/>
      </c>
      <c r="X27" s="774" t="str">
        <f t="shared" si="9"/>
        <v/>
      </c>
      <c r="Y27" s="954"/>
      <c r="Z27" s="950" t="str">
        <f>IF(Y27="","",IF(I27=1,VLOOKUP(Y27,男子種目コード!$A$1:$B$33,2,FALSE),IF(I27=2,VLOOKUP(Y27,女子種目コード!$A$1:$B$27,2,FALSE))))</f>
        <v/>
      </c>
      <c r="AA27" s="339"/>
      <c r="AB27" s="338"/>
      <c r="AC27" s="646"/>
      <c r="AD27" s="647"/>
      <c r="AE27" s="773" t="str">
        <f t="shared" si="10"/>
        <v/>
      </c>
      <c r="AF27" s="774" t="str">
        <f t="shared" si="11"/>
        <v/>
      </c>
      <c r="AG27" s="648"/>
      <c r="AH27" s="649"/>
      <c r="AI27" s="650"/>
      <c r="AJ27" s="20"/>
      <c r="AK27" s="20"/>
      <c r="AM27" s="69" t="s">
        <v>325</v>
      </c>
      <c r="AN27" s="135" t="str">
        <f t="shared" si="0"/>
        <v/>
      </c>
      <c r="AO27" s="135" t="str">
        <f t="shared" si="1"/>
        <v/>
      </c>
      <c r="AQ27" s="135"/>
      <c r="AR27" s="135"/>
      <c r="AS27" s="183">
        <f t="shared" si="2"/>
        <v>0</v>
      </c>
      <c r="AT27" s="1318" t="s">
        <v>1090</v>
      </c>
      <c r="AU27" s="196">
        <f>COUNTIF($P$7:$P$116,24)+COUNTIF($U$7:$U$116,24)</f>
        <v>0</v>
      </c>
      <c r="AV27" s="1326">
        <v>24</v>
      </c>
      <c r="AW27" s="324"/>
      <c r="AX27" s="278"/>
      <c r="AY27" s="335" t="s">
        <v>319</v>
      </c>
      <c r="AZ27" s="335" t="s">
        <v>644</v>
      </c>
      <c r="BA27" s="300"/>
      <c r="BB27" s="300"/>
      <c r="BC27" s="300"/>
      <c r="BD27" s="300"/>
      <c r="BE27" s="300"/>
      <c r="BF27" s="300"/>
      <c r="BG27" s="300"/>
      <c r="BH27" s="300"/>
      <c r="BI27" s="300"/>
      <c r="BJ27" s="300"/>
    </row>
    <row r="28" spans="1:62" ht="14.25" customHeight="1">
      <c r="A28" s="135" t="str">
        <f t="shared" si="3"/>
        <v/>
      </c>
      <c r="B28" s="162" t="str">
        <f>名簿!P25</f>
        <v/>
      </c>
      <c r="C28" s="162"/>
      <c r="D28" s="931"/>
      <c r="E28" s="182">
        <f>名簿!E25</f>
        <v>0</v>
      </c>
      <c r="F28" s="697" t="str">
        <f>名簿!CM25</f>
        <v/>
      </c>
      <c r="G28" s="162" t="str">
        <f>名簿!Z25</f>
        <v/>
      </c>
      <c r="H28" s="675" t="str">
        <f>名簿!CM25</f>
        <v/>
      </c>
      <c r="I28" s="187" t="str">
        <f>名簿!Y25</f>
        <v/>
      </c>
      <c r="J28" s="190" t="str">
        <f>名簿!CN25</f>
        <v/>
      </c>
      <c r="K28" s="1040">
        <f>名簿!CP25</f>
        <v>0</v>
      </c>
      <c r="L28" s="750" t="str">
        <f>名簿!CU25</f>
        <v>00</v>
      </c>
      <c r="M28" s="162" t="str">
        <f>名簿!Q25</f>
        <v/>
      </c>
      <c r="N28" s="697">
        <f>名簿!D25</f>
        <v>0</v>
      </c>
      <c r="O28" s="368"/>
      <c r="P28" s="292" t="str">
        <f t="shared" si="4"/>
        <v/>
      </c>
      <c r="Q28" s="1282" t="str">
        <f>IF(O28="","",HLOOKUP(O28,名簿!$AH$3:$CH$118,23,FALSE))</f>
        <v/>
      </c>
      <c r="R28" s="1282" t="str">
        <f t="shared" si="5"/>
        <v/>
      </c>
      <c r="S28" s="1282" t="str">
        <f t="shared" si="6"/>
        <v/>
      </c>
      <c r="T28" s="368"/>
      <c r="U28" s="292" t="str">
        <f t="shared" si="7"/>
        <v/>
      </c>
      <c r="V28" s="669" t="str">
        <f>IF(T28="","",HLOOKUP(T28,名簿!$AH$3:$CH$118,23,FALSE))</f>
        <v/>
      </c>
      <c r="W28" s="769" t="str">
        <f t="shared" si="8"/>
        <v/>
      </c>
      <c r="X28" s="774" t="str">
        <f t="shared" si="9"/>
        <v/>
      </c>
      <c r="Y28" s="954"/>
      <c r="Z28" s="950" t="str">
        <f>IF(Y28="","",IF(I28=1,VLOOKUP(Y28,男子種目コード!$A$1:$B$33,2,FALSE),IF(I28=2,VLOOKUP(Y28,女子種目コード!$A$1:$B$27,2,FALSE))))</f>
        <v/>
      </c>
      <c r="AA28" s="339"/>
      <c r="AB28" s="338"/>
      <c r="AC28" s="646"/>
      <c r="AD28" s="647"/>
      <c r="AE28" s="773" t="str">
        <f t="shared" si="10"/>
        <v/>
      </c>
      <c r="AF28" s="774" t="str">
        <f t="shared" si="11"/>
        <v/>
      </c>
      <c r="AG28" s="648"/>
      <c r="AH28" s="649"/>
      <c r="AI28" s="650"/>
      <c r="AJ28" s="20"/>
      <c r="AK28" s="20"/>
      <c r="AM28" s="67" t="s">
        <v>322</v>
      </c>
      <c r="AN28" s="135" t="str">
        <f t="shared" si="0"/>
        <v/>
      </c>
      <c r="AO28" s="135" t="str">
        <f t="shared" si="1"/>
        <v/>
      </c>
      <c r="AQ28" s="135"/>
      <c r="AR28" s="135"/>
      <c r="AS28" s="183">
        <f t="shared" si="2"/>
        <v>0</v>
      </c>
      <c r="AT28" s="1318" t="s">
        <v>1161</v>
      </c>
      <c r="AU28" s="196">
        <f>COUNTIF($P$7:$P$116,25)+COUNTIF($U$7:$U$116,25)</f>
        <v>0</v>
      </c>
      <c r="AV28" s="1327">
        <v>25</v>
      </c>
      <c r="AW28" s="324"/>
      <c r="AX28" s="278"/>
      <c r="AY28" s="335" t="s">
        <v>320</v>
      </c>
      <c r="AZ28" s="335" t="s">
        <v>362</v>
      </c>
      <c r="BA28" s="300"/>
      <c r="BB28" s="300"/>
      <c r="BC28" s="300"/>
      <c r="BD28" s="300"/>
      <c r="BE28" s="300"/>
      <c r="BF28" s="300"/>
      <c r="BG28" s="300"/>
      <c r="BH28" s="300"/>
      <c r="BI28" s="300"/>
      <c r="BJ28" s="300"/>
    </row>
    <row r="29" spans="1:62" ht="14.25" customHeight="1">
      <c r="A29" s="135" t="str">
        <f t="shared" si="3"/>
        <v/>
      </c>
      <c r="B29" s="162" t="str">
        <f>名簿!P26</f>
        <v/>
      </c>
      <c r="C29" s="162"/>
      <c r="D29" s="931"/>
      <c r="E29" s="182">
        <f>名簿!E26</f>
        <v>0</v>
      </c>
      <c r="F29" s="697" t="str">
        <f>名簿!CM26</f>
        <v/>
      </c>
      <c r="G29" s="162" t="str">
        <f>名簿!Z26</f>
        <v/>
      </c>
      <c r="H29" s="675" t="str">
        <f>名簿!CM26</f>
        <v/>
      </c>
      <c r="I29" s="187" t="str">
        <f>名簿!Y26</f>
        <v/>
      </c>
      <c r="J29" s="190" t="str">
        <f>名簿!CN26</f>
        <v/>
      </c>
      <c r="K29" s="1040">
        <f>名簿!CP26</f>
        <v>0</v>
      </c>
      <c r="L29" s="750" t="str">
        <f>名簿!CU26</f>
        <v>00</v>
      </c>
      <c r="M29" s="162" t="str">
        <f>名簿!Q26</f>
        <v/>
      </c>
      <c r="N29" s="697">
        <f>名簿!D26</f>
        <v>0</v>
      </c>
      <c r="O29" s="368"/>
      <c r="P29" s="292" t="str">
        <f t="shared" si="4"/>
        <v/>
      </c>
      <c r="Q29" s="1282" t="str">
        <f>IF(O29="","",HLOOKUP(O29,名簿!$AH$3:$CH$118,24,FALSE))</f>
        <v/>
      </c>
      <c r="R29" s="1282" t="str">
        <f t="shared" si="5"/>
        <v/>
      </c>
      <c r="S29" s="1282" t="str">
        <f t="shared" si="6"/>
        <v/>
      </c>
      <c r="T29" s="368"/>
      <c r="U29" s="292" t="str">
        <f t="shared" si="7"/>
        <v/>
      </c>
      <c r="V29" s="669" t="str">
        <f>IF(T29="","",HLOOKUP(T29,名簿!$AH$3:$CH$118,24,FALSE))</f>
        <v/>
      </c>
      <c r="W29" s="769" t="str">
        <f t="shared" si="8"/>
        <v/>
      </c>
      <c r="X29" s="774" t="str">
        <f t="shared" si="9"/>
        <v/>
      </c>
      <c r="Y29" s="954"/>
      <c r="Z29" s="950" t="str">
        <f>IF(Y29="","",IF(I29=1,VLOOKUP(Y29,男子種目コード!$A$1:$B$33,2,FALSE),IF(I29=2,VLOOKUP(Y29,女子種目コード!$A$1:$B$27,2,FALSE))))</f>
        <v/>
      </c>
      <c r="AA29" s="339"/>
      <c r="AB29" s="338"/>
      <c r="AC29" s="646"/>
      <c r="AD29" s="647"/>
      <c r="AE29" s="773" t="str">
        <f t="shared" si="10"/>
        <v/>
      </c>
      <c r="AF29" s="774" t="str">
        <f t="shared" si="11"/>
        <v/>
      </c>
      <c r="AG29" s="648"/>
      <c r="AH29" s="649"/>
      <c r="AI29" s="650"/>
      <c r="AJ29" s="20"/>
      <c r="AK29" s="20"/>
      <c r="AM29" s="67" t="s">
        <v>319</v>
      </c>
      <c r="AN29" s="135" t="str">
        <f t="shared" si="0"/>
        <v/>
      </c>
      <c r="AO29" s="135" t="str">
        <f t="shared" si="1"/>
        <v/>
      </c>
      <c r="AQ29" s="135"/>
      <c r="AR29" s="135"/>
      <c r="AS29" s="183">
        <f t="shared" si="2"/>
        <v>0</v>
      </c>
      <c r="AT29" s="1318" t="s">
        <v>1162</v>
      </c>
      <c r="AU29" s="196">
        <f>COUNTIF($P$7:$P$116,26)+COUNTIF($U$7:$U$116,26)</f>
        <v>0</v>
      </c>
      <c r="AV29" s="1325">
        <v>26</v>
      </c>
      <c r="AW29" s="324"/>
      <c r="AX29" s="278"/>
      <c r="AY29" s="335" t="s">
        <v>1059</v>
      </c>
      <c r="AZ29" s="335"/>
      <c r="BA29" s="300"/>
      <c r="BB29" s="300"/>
      <c r="BC29" s="300"/>
      <c r="BD29" s="300"/>
      <c r="BE29" s="300"/>
      <c r="BF29" s="300"/>
      <c r="BG29" s="300"/>
      <c r="BH29" s="300"/>
      <c r="BI29" s="300"/>
      <c r="BJ29" s="300"/>
    </row>
    <row r="30" spans="1:62" ht="14.25" customHeight="1">
      <c r="A30" s="135" t="str">
        <f t="shared" si="3"/>
        <v/>
      </c>
      <c r="B30" s="162" t="str">
        <f>名簿!P27</f>
        <v/>
      </c>
      <c r="C30" s="162"/>
      <c r="D30" s="931"/>
      <c r="E30" s="182">
        <f>名簿!E27</f>
        <v>0</v>
      </c>
      <c r="F30" s="697" t="str">
        <f>名簿!CM27</f>
        <v/>
      </c>
      <c r="G30" s="162" t="str">
        <f>名簿!Z27</f>
        <v/>
      </c>
      <c r="H30" s="675" t="str">
        <f>名簿!CM27</f>
        <v/>
      </c>
      <c r="I30" s="187" t="str">
        <f>名簿!Y27</f>
        <v/>
      </c>
      <c r="J30" s="190" t="str">
        <f>名簿!CN27</f>
        <v/>
      </c>
      <c r="K30" s="1040">
        <f>名簿!CP27</f>
        <v>0</v>
      </c>
      <c r="L30" s="750" t="str">
        <f>名簿!CU27</f>
        <v>00</v>
      </c>
      <c r="M30" s="162" t="str">
        <f>名簿!Q27</f>
        <v/>
      </c>
      <c r="N30" s="697">
        <f>名簿!D27</f>
        <v>0</v>
      </c>
      <c r="O30" s="368"/>
      <c r="P30" s="292" t="str">
        <f t="shared" si="4"/>
        <v/>
      </c>
      <c r="Q30" s="1282" t="str">
        <f>IF(O30="","",HLOOKUP(O30,名簿!$AH$3:$CH$118,25,FALSE))</f>
        <v/>
      </c>
      <c r="R30" s="1282" t="str">
        <f t="shared" si="5"/>
        <v/>
      </c>
      <c r="S30" s="1282" t="str">
        <f t="shared" si="6"/>
        <v/>
      </c>
      <c r="T30" s="368"/>
      <c r="U30" s="292" t="str">
        <f t="shared" si="7"/>
        <v/>
      </c>
      <c r="V30" s="669" t="str">
        <f>IF(T30="","",HLOOKUP(T30,名簿!$AH$3:$CH$118,25,FALSE))</f>
        <v/>
      </c>
      <c r="W30" s="769" t="str">
        <f t="shared" si="8"/>
        <v/>
      </c>
      <c r="X30" s="774" t="str">
        <f t="shared" si="9"/>
        <v/>
      </c>
      <c r="Y30" s="954"/>
      <c r="Z30" s="950" t="str">
        <f>IF(Y30="","",IF(I30=1,VLOOKUP(Y30,男子種目コード!$A$1:$B$33,2,FALSE),IF(I30=2,VLOOKUP(Y30,女子種目コード!$A$1:$B$27,2,FALSE))))</f>
        <v/>
      </c>
      <c r="AA30" s="339"/>
      <c r="AB30" s="338"/>
      <c r="AC30" s="646"/>
      <c r="AD30" s="647"/>
      <c r="AE30" s="773" t="str">
        <f t="shared" si="10"/>
        <v/>
      </c>
      <c r="AF30" s="774" t="str">
        <f t="shared" si="11"/>
        <v/>
      </c>
      <c r="AG30" s="648"/>
      <c r="AH30" s="649"/>
      <c r="AI30" s="650"/>
      <c r="AJ30" s="20"/>
      <c r="AK30" s="20"/>
      <c r="AM30" s="67" t="s">
        <v>320</v>
      </c>
      <c r="AN30" s="135" t="str">
        <f t="shared" si="0"/>
        <v/>
      </c>
      <c r="AO30" s="135" t="str">
        <f t="shared" si="1"/>
        <v/>
      </c>
      <c r="AQ30" s="135"/>
      <c r="AR30" s="135"/>
      <c r="AS30" s="183">
        <f t="shared" si="2"/>
        <v>0</v>
      </c>
      <c r="AT30" s="1319" t="s">
        <v>1163</v>
      </c>
      <c r="AU30" s="196">
        <f>COUNTIF($P$7:$P$116,27)+COUNTIF($U$7:$U$116,27)</f>
        <v>0</v>
      </c>
      <c r="AV30" s="1327">
        <v>27</v>
      </c>
      <c r="AW30" s="324"/>
      <c r="AX30" s="300"/>
      <c r="AY30" s="335" t="s">
        <v>761</v>
      </c>
      <c r="AZ30" s="335"/>
      <c r="BA30" s="300"/>
      <c r="BB30" s="300"/>
      <c r="BC30" s="300"/>
      <c r="BD30" s="300"/>
      <c r="BE30" s="300"/>
      <c r="BF30" s="300"/>
      <c r="BG30" s="300"/>
      <c r="BH30" s="300"/>
      <c r="BI30" s="300"/>
      <c r="BJ30" s="300"/>
    </row>
    <row r="31" spans="1:62" ht="14.25" customHeight="1">
      <c r="A31" s="135" t="str">
        <f t="shared" si="3"/>
        <v/>
      </c>
      <c r="B31" s="162" t="str">
        <f>名簿!P28</f>
        <v/>
      </c>
      <c r="C31" s="162"/>
      <c r="D31" s="931"/>
      <c r="E31" s="182">
        <f>名簿!E28</f>
        <v>0</v>
      </c>
      <c r="F31" s="697" t="str">
        <f>名簿!CM28</f>
        <v/>
      </c>
      <c r="G31" s="162" t="str">
        <f>名簿!Z28</f>
        <v/>
      </c>
      <c r="H31" s="675" t="str">
        <f>名簿!CM28</f>
        <v/>
      </c>
      <c r="I31" s="187" t="str">
        <f>名簿!Y28</f>
        <v/>
      </c>
      <c r="J31" s="190" t="str">
        <f>名簿!CN28</f>
        <v/>
      </c>
      <c r="K31" s="1040">
        <f>名簿!CP28</f>
        <v>0</v>
      </c>
      <c r="L31" s="750" t="str">
        <f>名簿!CU28</f>
        <v>00</v>
      </c>
      <c r="M31" s="162" t="str">
        <f>名簿!Q28</f>
        <v/>
      </c>
      <c r="N31" s="697">
        <f>名簿!D28</f>
        <v>0</v>
      </c>
      <c r="O31" s="368"/>
      <c r="P31" s="292" t="str">
        <f t="shared" si="4"/>
        <v/>
      </c>
      <c r="Q31" s="1282" t="str">
        <f>IF(O31="","",HLOOKUP(O31,名簿!$AH$3:$CH$118,26,FALSE))</f>
        <v/>
      </c>
      <c r="R31" s="1282" t="str">
        <f t="shared" si="5"/>
        <v/>
      </c>
      <c r="S31" s="1282" t="str">
        <f t="shared" si="6"/>
        <v/>
      </c>
      <c r="T31" s="368"/>
      <c r="U31" s="292" t="str">
        <f t="shared" si="7"/>
        <v/>
      </c>
      <c r="V31" s="669" t="str">
        <f>IF(T31="","",HLOOKUP(T31,名簿!$AH$3:$CH$118,26,FALSE))</f>
        <v/>
      </c>
      <c r="W31" s="769" t="str">
        <f t="shared" si="8"/>
        <v/>
      </c>
      <c r="X31" s="774" t="str">
        <f t="shared" si="9"/>
        <v/>
      </c>
      <c r="Y31" s="954"/>
      <c r="Z31" s="950" t="str">
        <f>IF(Y31="","",IF(I31=1,VLOOKUP(Y31,男子種目コード!$A$1:$B$33,2,FALSE),IF(I31=2,VLOOKUP(Y31,女子種目コード!$A$1:$B$27,2,FALSE))))</f>
        <v/>
      </c>
      <c r="AA31" s="339"/>
      <c r="AB31" s="338"/>
      <c r="AC31" s="646"/>
      <c r="AD31" s="647"/>
      <c r="AE31" s="773" t="str">
        <f t="shared" si="10"/>
        <v/>
      </c>
      <c r="AF31" s="774" t="str">
        <f t="shared" si="11"/>
        <v/>
      </c>
      <c r="AG31" s="648"/>
      <c r="AH31" s="649"/>
      <c r="AI31" s="650"/>
      <c r="AJ31" s="20"/>
      <c r="AK31" s="20"/>
      <c r="AM31" s="67" t="s">
        <v>321</v>
      </c>
      <c r="AN31" s="135" t="str">
        <f t="shared" si="0"/>
        <v/>
      </c>
      <c r="AO31" s="135" t="str">
        <f t="shared" si="1"/>
        <v/>
      </c>
      <c r="AQ31" s="135"/>
      <c r="AR31" s="135"/>
      <c r="AS31" s="183">
        <f t="shared" si="2"/>
        <v>0</v>
      </c>
      <c r="AT31" s="1317" t="s">
        <v>1164</v>
      </c>
      <c r="AU31" s="196">
        <f>COUNTIF($P$7:$P$116,28)+COUNTIF($U$7:$U$116,28)</f>
        <v>0</v>
      </c>
      <c r="AV31" s="1326">
        <v>28</v>
      </c>
      <c r="AW31" s="324"/>
      <c r="AX31" s="300"/>
      <c r="AY31" s="335" t="s">
        <v>321</v>
      </c>
      <c r="AZ31" s="324"/>
      <c r="BA31" s="300"/>
      <c r="BB31" s="300"/>
      <c r="BC31" s="300"/>
      <c r="BD31" s="300"/>
      <c r="BE31" s="300"/>
      <c r="BF31" s="300"/>
      <c r="BG31" s="300"/>
      <c r="BH31" s="300"/>
      <c r="BI31" s="300"/>
      <c r="BJ31" s="300"/>
    </row>
    <row r="32" spans="1:62" ht="14.25" customHeight="1">
      <c r="A32" s="135" t="str">
        <f t="shared" si="3"/>
        <v/>
      </c>
      <c r="B32" s="162" t="str">
        <f>名簿!P29</f>
        <v/>
      </c>
      <c r="C32" s="162"/>
      <c r="D32" s="931"/>
      <c r="E32" s="182">
        <f>名簿!E29</f>
        <v>0</v>
      </c>
      <c r="F32" s="697" t="str">
        <f>名簿!CM29</f>
        <v/>
      </c>
      <c r="G32" s="162" t="str">
        <f>名簿!Z29</f>
        <v/>
      </c>
      <c r="H32" s="675" t="str">
        <f>名簿!CM29</f>
        <v/>
      </c>
      <c r="I32" s="187" t="str">
        <f>名簿!Y29</f>
        <v/>
      </c>
      <c r="J32" s="190" t="str">
        <f>名簿!CN29</f>
        <v/>
      </c>
      <c r="K32" s="1040">
        <f>名簿!CP29</f>
        <v>0</v>
      </c>
      <c r="L32" s="750" t="str">
        <f>名簿!CU29</f>
        <v>00</v>
      </c>
      <c r="M32" s="162" t="str">
        <f>名簿!Q29</f>
        <v/>
      </c>
      <c r="N32" s="697">
        <f>名簿!D29</f>
        <v>0</v>
      </c>
      <c r="O32" s="368"/>
      <c r="P32" s="292" t="str">
        <f t="shared" si="4"/>
        <v/>
      </c>
      <c r="Q32" s="1282" t="str">
        <f>IF(O32="","",HLOOKUP(O32,名簿!$AH$3:$CH$118,27,FALSE))</f>
        <v/>
      </c>
      <c r="R32" s="1282" t="str">
        <f t="shared" si="5"/>
        <v/>
      </c>
      <c r="S32" s="1282" t="str">
        <f t="shared" si="6"/>
        <v/>
      </c>
      <c r="T32" s="368"/>
      <c r="U32" s="292" t="str">
        <f t="shared" si="7"/>
        <v/>
      </c>
      <c r="V32" s="669" t="str">
        <f>IF(T32="","",HLOOKUP(T32,名簿!$AH$3:$CH$118,27,FALSE))</f>
        <v/>
      </c>
      <c r="W32" s="769" t="str">
        <f t="shared" si="8"/>
        <v/>
      </c>
      <c r="X32" s="774" t="str">
        <f t="shared" si="9"/>
        <v/>
      </c>
      <c r="Y32" s="954"/>
      <c r="Z32" s="950" t="str">
        <f>IF(Y32="","",IF(I32=1,VLOOKUP(Y32,男子種目コード!$A$1:$B$33,2,FALSE),IF(I32=2,VLOOKUP(Y32,女子種目コード!$A$1:$B$27,2,FALSE))))</f>
        <v/>
      </c>
      <c r="AA32" s="339"/>
      <c r="AB32" s="338"/>
      <c r="AC32" s="646"/>
      <c r="AD32" s="647"/>
      <c r="AE32" s="773" t="str">
        <f t="shared" si="10"/>
        <v/>
      </c>
      <c r="AF32" s="774" t="str">
        <f t="shared" si="11"/>
        <v/>
      </c>
      <c r="AG32" s="648"/>
      <c r="AH32" s="649"/>
      <c r="AI32" s="650"/>
      <c r="AJ32" s="20"/>
      <c r="AK32" s="20"/>
      <c r="AM32" s="184" t="s">
        <v>395</v>
      </c>
      <c r="AN32" s="135" t="str">
        <f t="shared" si="0"/>
        <v/>
      </c>
      <c r="AO32" s="135" t="str">
        <f t="shared" si="1"/>
        <v/>
      </c>
      <c r="AQ32" s="135"/>
      <c r="AR32" s="135"/>
      <c r="AS32" s="183">
        <f t="shared" si="2"/>
        <v>0</v>
      </c>
      <c r="AT32" s="1318" t="s">
        <v>1113</v>
      </c>
      <c r="AU32" s="196">
        <f>COUNTIF($P$7:$P$116,29)+COUNTIF($U$7:$U$116,29)</f>
        <v>0</v>
      </c>
      <c r="AV32" s="1325">
        <v>29</v>
      </c>
      <c r="AW32" s="324"/>
      <c r="AX32" s="300"/>
      <c r="AY32" s="335" t="s">
        <v>362</v>
      </c>
      <c r="AZ32" s="324"/>
      <c r="BA32" s="300"/>
      <c r="BB32" s="300"/>
      <c r="BC32" s="300"/>
      <c r="BD32" s="300"/>
      <c r="BE32" s="300"/>
      <c r="BF32" s="300"/>
      <c r="BG32" s="300"/>
      <c r="BH32" s="300"/>
      <c r="BI32" s="300"/>
      <c r="BJ32" s="300"/>
    </row>
    <row r="33" spans="1:62" ht="14.25" customHeight="1">
      <c r="A33" s="135" t="str">
        <f t="shared" si="3"/>
        <v/>
      </c>
      <c r="B33" s="162" t="str">
        <f>名簿!P30</f>
        <v/>
      </c>
      <c r="C33" s="162"/>
      <c r="D33" s="931"/>
      <c r="E33" s="182">
        <f>名簿!E30</f>
        <v>0</v>
      </c>
      <c r="F33" s="697" t="str">
        <f>名簿!CM30</f>
        <v/>
      </c>
      <c r="G33" s="162" t="str">
        <f>名簿!Z30</f>
        <v/>
      </c>
      <c r="H33" s="675" t="str">
        <f>名簿!CM30</f>
        <v/>
      </c>
      <c r="I33" s="187" t="str">
        <f>名簿!Y30</f>
        <v/>
      </c>
      <c r="J33" s="190" t="str">
        <f>名簿!CN30</f>
        <v/>
      </c>
      <c r="K33" s="1040">
        <f>名簿!CP30</f>
        <v>0</v>
      </c>
      <c r="L33" s="750" t="str">
        <f>名簿!CU30</f>
        <v>00</v>
      </c>
      <c r="M33" s="162" t="str">
        <f>名簿!Q30</f>
        <v/>
      </c>
      <c r="N33" s="697">
        <f>名簿!D30</f>
        <v>0</v>
      </c>
      <c r="O33" s="368"/>
      <c r="P33" s="292" t="str">
        <f t="shared" si="4"/>
        <v/>
      </c>
      <c r="Q33" s="1282" t="str">
        <f>IF(O33="","",HLOOKUP(O33,名簿!$AH$3:$CH$118,28,FALSE))</f>
        <v/>
      </c>
      <c r="R33" s="1282" t="str">
        <f t="shared" si="5"/>
        <v/>
      </c>
      <c r="S33" s="1282" t="str">
        <f t="shared" si="6"/>
        <v/>
      </c>
      <c r="T33" s="368"/>
      <c r="U33" s="292" t="str">
        <f t="shared" si="7"/>
        <v/>
      </c>
      <c r="V33" s="669" t="str">
        <f>IF(T33="","",HLOOKUP(T33,名簿!$AH$3:$CH$118,28,FALSE))</f>
        <v/>
      </c>
      <c r="W33" s="769" t="str">
        <f t="shared" si="8"/>
        <v/>
      </c>
      <c r="X33" s="774" t="str">
        <f t="shared" si="9"/>
        <v/>
      </c>
      <c r="Y33" s="954"/>
      <c r="Z33" s="950" t="str">
        <f>IF(Y33="","",IF(I33=1,VLOOKUP(Y33,男子種目コード!$A$1:$B$33,2,FALSE),IF(I33=2,VLOOKUP(Y33,女子種目コード!$A$1:$B$27,2,FALSE))))</f>
        <v/>
      </c>
      <c r="AA33" s="339"/>
      <c r="AB33" s="338"/>
      <c r="AC33" s="646"/>
      <c r="AD33" s="647"/>
      <c r="AE33" s="773" t="str">
        <f t="shared" si="10"/>
        <v/>
      </c>
      <c r="AF33" s="774" t="str">
        <f t="shared" si="11"/>
        <v/>
      </c>
      <c r="AG33" s="648"/>
      <c r="AH33" s="649"/>
      <c r="AI33" s="650"/>
      <c r="AJ33" s="20"/>
      <c r="AK33" s="20"/>
      <c r="AM33" s="184" t="s">
        <v>396</v>
      </c>
      <c r="AN33" s="135" t="str">
        <f t="shared" si="0"/>
        <v/>
      </c>
      <c r="AO33" s="135" t="str">
        <f t="shared" si="1"/>
        <v/>
      </c>
      <c r="AQ33" s="135"/>
      <c r="AR33" s="135"/>
      <c r="AS33" s="183">
        <f t="shared" si="2"/>
        <v>0</v>
      </c>
      <c r="AT33" s="1320" t="s">
        <v>1094</v>
      </c>
      <c r="AU33" s="197">
        <f>COUNTIF($P$7:$P$116,30)+COUNTIF($U$7:$U$116,30)</f>
        <v>0</v>
      </c>
      <c r="AV33" s="1328">
        <v>30</v>
      </c>
      <c r="AW33" s="324"/>
      <c r="AX33" s="300"/>
      <c r="AY33" s="335"/>
      <c r="AZ33" s="324"/>
      <c r="BA33" s="300"/>
      <c r="BB33" s="300"/>
      <c r="BC33" s="300"/>
      <c r="BD33" s="300"/>
      <c r="BE33" s="300"/>
      <c r="BF33" s="300"/>
      <c r="BG33" s="300"/>
      <c r="BH33" s="300"/>
      <c r="BI33" s="300"/>
      <c r="BJ33" s="300"/>
    </row>
    <row r="34" spans="1:62" ht="14.25" customHeight="1" thickBot="1">
      <c r="A34" s="135" t="str">
        <f t="shared" si="3"/>
        <v/>
      </c>
      <c r="B34" s="162" t="str">
        <f>名簿!P31</f>
        <v/>
      </c>
      <c r="C34" s="162"/>
      <c r="D34" s="931"/>
      <c r="E34" s="182">
        <f>名簿!E31</f>
        <v>0</v>
      </c>
      <c r="F34" s="697" t="str">
        <f>名簿!CM31</f>
        <v/>
      </c>
      <c r="G34" s="162" t="str">
        <f>名簿!Z31</f>
        <v/>
      </c>
      <c r="H34" s="675" t="str">
        <f>名簿!CM31</f>
        <v/>
      </c>
      <c r="I34" s="187" t="str">
        <f>名簿!Y31</f>
        <v/>
      </c>
      <c r="J34" s="190" t="str">
        <f>名簿!CN31</f>
        <v/>
      </c>
      <c r="K34" s="1040">
        <f>名簿!CP31</f>
        <v>0</v>
      </c>
      <c r="L34" s="750" t="str">
        <f>名簿!CU31</f>
        <v>00</v>
      </c>
      <c r="M34" s="162" t="str">
        <f>名簿!Q31</f>
        <v/>
      </c>
      <c r="N34" s="697">
        <f>名簿!D31</f>
        <v>0</v>
      </c>
      <c r="O34" s="368"/>
      <c r="P34" s="292" t="str">
        <f t="shared" si="4"/>
        <v/>
      </c>
      <c r="Q34" s="1282" t="str">
        <f>IF(O34="","",HLOOKUP(O34,名簿!$AH$3:$CH$118,29,FALSE))</f>
        <v/>
      </c>
      <c r="R34" s="1282" t="str">
        <f t="shared" si="5"/>
        <v/>
      </c>
      <c r="S34" s="1282" t="str">
        <f t="shared" si="6"/>
        <v/>
      </c>
      <c r="T34" s="368"/>
      <c r="U34" s="292" t="str">
        <f t="shared" si="7"/>
        <v/>
      </c>
      <c r="V34" s="669" t="str">
        <f>IF(T34="","",HLOOKUP(T34,名簿!$AH$3:$CH$118,29,FALSE))</f>
        <v/>
      </c>
      <c r="W34" s="769" t="str">
        <f t="shared" si="8"/>
        <v/>
      </c>
      <c r="X34" s="774" t="str">
        <f t="shared" si="9"/>
        <v/>
      </c>
      <c r="Y34" s="954"/>
      <c r="Z34" s="950" t="str">
        <f>IF(Y34="","",IF(I34=1,VLOOKUP(Y34,男子種目コード!$A$1:$B$33,2,FALSE),IF(I34=2,VLOOKUP(Y34,女子種目コード!$A$1:$B$27,2,FALSE))))</f>
        <v/>
      </c>
      <c r="AA34" s="339"/>
      <c r="AB34" s="338"/>
      <c r="AC34" s="646"/>
      <c r="AD34" s="647"/>
      <c r="AE34" s="773" t="str">
        <f t="shared" si="10"/>
        <v/>
      </c>
      <c r="AF34" s="774" t="str">
        <f t="shared" si="11"/>
        <v/>
      </c>
      <c r="AG34" s="648"/>
      <c r="AH34" s="649"/>
      <c r="AI34" s="650"/>
      <c r="AJ34" s="20"/>
      <c r="AK34" s="20"/>
      <c r="AM34" s="184" t="s">
        <v>397</v>
      </c>
      <c r="AN34" s="135" t="str">
        <f t="shared" si="0"/>
        <v/>
      </c>
      <c r="AO34" s="135" t="str">
        <f t="shared" si="1"/>
        <v/>
      </c>
      <c r="AQ34" s="135"/>
      <c r="AR34" s="135"/>
      <c r="AS34" s="183">
        <f t="shared" si="2"/>
        <v>0</v>
      </c>
      <c r="AT34" s="198" t="s">
        <v>450</v>
      </c>
      <c r="AU34" s="199">
        <f>SUM(AU8:AU33)</f>
        <v>0</v>
      </c>
      <c r="AV34" s="1329"/>
      <c r="AW34" s="324"/>
      <c r="AX34" s="300"/>
      <c r="AY34" s="335"/>
      <c r="AZ34" s="324"/>
      <c r="BA34" s="300"/>
      <c r="BB34" s="300"/>
      <c r="BC34" s="300"/>
      <c r="BD34" s="300"/>
      <c r="BE34" s="300"/>
      <c r="BF34" s="300"/>
      <c r="BG34" s="300"/>
      <c r="BH34" s="300"/>
      <c r="BI34" s="300"/>
      <c r="BJ34" s="300"/>
    </row>
    <row r="35" spans="1:62" ht="14.25" customHeight="1" thickBot="1">
      <c r="A35" s="135" t="str">
        <f t="shared" si="3"/>
        <v/>
      </c>
      <c r="B35" s="162" t="str">
        <f>名簿!P32</f>
        <v/>
      </c>
      <c r="C35" s="162"/>
      <c r="D35" s="931"/>
      <c r="E35" s="182">
        <f>名簿!E32</f>
        <v>0</v>
      </c>
      <c r="F35" s="697" t="str">
        <f>名簿!CM32</f>
        <v/>
      </c>
      <c r="G35" s="162" t="str">
        <f>名簿!Z32</f>
        <v/>
      </c>
      <c r="H35" s="675" t="str">
        <f>名簿!CM32</f>
        <v/>
      </c>
      <c r="I35" s="187" t="str">
        <f>名簿!Y32</f>
        <v/>
      </c>
      <c r="J35" s="190" t="str">
        <f>名簿!CN32</f>
        <v/>
      </c>
      <c r="K35" s="1040">
        <f>名簿!CP32</f>
        <v>0</v>
      </c>
      <c r="L35" s="750" t="str">
        <f>名簿!CU32</f>
        <v>00</v>
      </c>
      <c r="M35" s="162" t="str">
        <f>名簿!Q32</f>
        <v/>
      </c>
      <c r="N35" s="697">
        <f>名簿!D32</f>
        <v>0</v>
      </c>
      <c r="O35" s="368"/>
      <c r="P35" s="292" t="str">
        <f t="shared" si="4"/>
        <v/>
      </c>
      <c r="Q35" s="1282" t="str">
        <f>IF(O35="","",HLOOKUP(O35,名簿!$AH$3:$CH$118,30,FALSE))</f>
        <v/>
      </c>
      <c r="R35" s="1282" t="str">
        <f t="shared" si="5"/>
        <v/>
      </c>
      <c r="S35" s="1282" t="str">
        <f t="shared" si="6"/>
        <v/>
      </c>
      <c r="T35" s="368"/>
      <c r="U35" s="292" t="str">
        <f t="shared" si="7"/>
        <v/>
      </c>
      <c r="V35" s="669" t="str">
        <f>IF(T35="","",HLOOKUP(T35,名簿!$AH$3:$CH$118,30,FALSE))</f>
        <v/>
      </c>
      <c r="W35" s="769" t="str">
        <f t="shared" si="8"/>
        <v/>
      </c>
      <c r="X35" s="774" t="str">
        <f t="shared" si="9"/>
        <v/>
      </c>
      <c r="Y35" s="954"/>
      <c r="Z35" s="950" t="str">
        <f>IF(Y35="","",IF(I35=1,VLOOKUP(Y35,男子種目コード!$A$1:$B$33,2,FALSE),IF(I35=2,VLOOKUP(Y35,女子種目コード!$A$1:$B$27,2,FALSE))))</f>
        <v/>
      </c>
      <c r="AA35" s="339"/>
      <c r="AB35" s="338"/>
      <c r="AC35" s="646"/>
      <c r="AD35" s="647"/>
      <c r="AE35" s="773" t="str">
        <f t="shared" si="10"/>
        <v/>
      </c>
      <c r="AF35" s="774" t="str">
        <f t="shared" si="11"/>
        <v/>
      </c>
      <c r="AG35" s="648"/>
      <c r="AH35" s="649"/>
      <c r="AI35" s="650"/>
      <c r="AJ35" s="20"/>
      <c r="AK35" s="20"/>
      <c r="AM35" s="184" t="s">
        <v>398</v>
      </c>
      <c r="AN35" s="135" t="str">
        <f t="shared" si="0"/>
        <v/>
      </c>
      <c r="AO35" s="135" t="str">
        <f t="shared" si="1"/>
        <v/>
      </c>
      <c r="AQ35" s="135"/>
      <c r="AR35" s="135"/>
      <c r="AS35" s="183">
        <f t="shared" si="2"/>
        <v>0</v>
      </c>
      <c r="AT35" s="1431" t="s">
        <v>275</v>
      </c>
      <c r="AU35" s="1432"/>
      <c r="AV35" s="1330"/>
      <c r="AW35" s="324"/>
      <c r="AX35" s="300"/>
      <c r="AY35" s="335"/>
      <c r="AZ35" s="324"/>
      <c r="BA35" s="300"/>
      <c r="BB35" s="300"/>
      <c r="BC35" s="300"/>
      <c r="BD35" s="300"/>
      <c r="BE35" s="300"/>
      <c r="BF35" s="300"/>
      <c r="BG35" s="300"/>
      <c r="BH35" s="300"/>
      <c r="BI35" s="300"/>
      <c r="BJ35" s="300"/>
    </row>
    <row r="36" spans="1:62" ht="14.25" customHeight="1">
      <c r="A36" s="135" t="str">
        <f t="shared" si="3"/>
        <v/>
      </c>
      <c r="B36" s="162" t="str">
        <f>名簿!P33</f>
        <v/>
      </c>
      <c r="C36" s="162"/>
      <c r="D36" s="931"/>
      <c r="E36" s="182">
        <f>名簿!E33</f>
        <v>0</v>
      </c>
      <c r="F36" s="697" t="str">
        <f>名簿!CM33</f>
        <v/>
      </c>
      <c r="G36" s="162" t="str">
        <f>名簿!Z33</f>
        <v/>
      </c>
      <c r="H36" s="675" t="str">
        <f>名簿!CM33</f>
        <v/>
      </c>
      <c r="I36" s="187" t="str">
        <f>名簿!Y33</f>
        <v/>
      </c>
      <c r="J36" s="190" t="str">
        <f>名簿!CN33</f>
        <v/>
      </c>
      <c r="K36" s="1040">
        <f>名簿!CP33</f>
        <v>0</v>
      </c>
      <c r="L36" s="750" t="str">
        <f>名簿!CU33</f>
        <v>00</v>
      </c>
      <c r="M36" s="162" t="str">
        <f>名簿!Q33</f>
        <v/>
      </c>
      <c r="N36" s="697">
        <f>名簿!D33</f>
        <v>0</v>
      </c>
      <c r="O36" s="368"/>
      <c r="P36" s="292" t="str">
        <f t="shared" si="4"/>
        <v/>
      </c>
      <c r="Q36" s="1282" t="str">
        <f>IF(O36="","",HLOOKUP(O36,名簿!$AH$3:$CH$118,31,FALSE))</f>
        <v/>
      </c>
      <c r="R36" s="1282" t="str">
        <f t="shared" si="5"/>
        <v/>
      </c>
      <c r="S36" s="1282" t="str">
        <f t="shared" si="6"/>
        <v/>
      </c>
      <c r="T36" s="368"/>
      <c r="U36" s="292" t="str">
        <f t="shared" si="7"/>
        <v/>
      </c>
      <c r="V36" s="669" t="str">
        <f>IF(T36="","",HLOOKUP(T36,名簿!$AH$3:$CH$118,31,FALSE))</f>
        <v/>
      </c>
      <c r="W36" s="769" t="str">
        <f t="shared" si="8"/>
        <v/>
      </c>
      <c r="X36" s="774" t="str">
        <f t="shared" si="9"/>
        <v/>
      </c>
      <c r="Y36" s="954"/>
      <c r="Z36" s="950" t="str">
        <f>IF(Y36="","",IF(I36=1,VLOOKUP(Y36,男子種目コード!$A$1:$B$33,2,FALSE),IF(I36=2,VLOOKUP(Y36,女子種目コード!$A$1:$B$27,2,FALSE))))</f>
        <v/>
      </c>
      <c r="AA36" s="339"/>
      <c r="AB36" s="338"/>
      <c r="AC36" s="646"/>
      <c r="AD36" s="647"/>
      <c r="AE36" s="773" t="str">
        <f t="shared" si="10"/>
        <v/>
      </c>
      <c r="AF36" s="774" t="str">
        <f t="shared" si="11"/>
        <v/>
      </c>
      <c r="AG36" s="648"/>
      <c r="AH36" s="649"/>
      <c r="AI36" s="650"/>
      <c r="AJ36" s="20"/>
      <c r="AK36" s="20"/>
      <c r="AM36" s="184" t="s">
        <v>399</v>
      </c>
      <c r="AN36" s="135" t="str">
        <f t="shared" si="0"/>
        <v/>
      </c>
      <c r="AO36" s="135" t="str">
        <f t="shared" si="1"/>
        <v/>
      </c>
      <c r="AQ36" s="135"/>
      <c r="AR36" s="135"/>
      <c r="AS36" s="183">
        <f t="shared" si="2"/>
        <v>0</v>
      </c>
      <c r="AT36" s="1321" t="s">
        <v>1071</v>
      </c>
      <c r="AU36" s="196">
        <f>COUNTIF($P$7:$P$116,40)+COUNTIF($U$7:$U$116,40)</f>
        <v>0</v>
      </c>
      <c r="AV36" s="1326">
        <v>40</v>
      </c>
      <c r="AW36" s="324"/>
      <c r="AX36" s="300"/>
      <c r="AY36" s="335"/>
      <c r="AZ36" s="324"/>
      <c r="BA36" s="300"/>
      <c r="BB36" s="300"/>
      <c r="BC36" s="300"/>
      <c r="BD36" s="300"/>
      <c r="BE36" s="300"/>
      <c r="BF36" s="300"/>
      <c r="BG36" s="300"/>
      <c r="BH36" s="300"/>
      <c r="BI36" s="300"/>
      <c r="BJ36" s="300"/>
    </row>
    <row r="37" spans="1:62" ht="14.25" customHeight="1">
      <c r="A37" s="135" t="str">
        <f t="shared" si="3"/>
        <v/>
      </c>
      <c r="B37" s="162" t="str">
        <f>名簿!P34</f>
        <v/>
      </c>
      <c r="C37" s="162"/>
      <c r="D37" s="931"/>
      <c r="E37" s="182">
        <f>名簿!E34</f>
        <v>0</v>
      </c>
      <c r="F37" s="697" t="str">
        <f>名簿!CM34</f>
        <v/>
      </c>
      <c r="G37" s="162" t="str">
        <f>名簿!Z34</f>
        <v/>
      </c>
      <c r="H37" s="675" t="str">
        <f>名簿!CM34</f>
        <v/>
      </c>
      <c r="I37" s="187" t="str">
        <f>名簿!Y34</f>
        <v/>
      </c>
      <c r="J37" s="190" t="str">
        <f>名簿!CN34</f>
        <v/>
      </c>
      <c r="K37" s="1040">
        <f>名簿!CP34</f>
        <v>0</v>
      </c>
      <c r="L37" s="750" t="str">
        <f>名簿!CU34</f>
        <v>00</v>
      </c>
      <c r="M37" s="162" t="str">
        <f>名簿!Q34</f>
        <v/>
      </c>
      <c r="N37" s="697">
        <f>名簿!D34</f>
        <v>0</v>
      </c>
      <c r="O37" s="368"/>
      <c r="P37" s="292" t="str">
        <f t="shared" si="4"/>
        <v/>
      </c>
      <c r="Q37" s="1282" t="str">
        <f>IF(O37="","",HLOOKUP(O37,名簿!$AH$3:$CH$118,32,FALSE))</f>
        <v/>
      </c>
      <c r="R37" s="1282" t="str">
        <f t="shared" si="5"/>
        <v/>
      </c>
      <c r="S37" s="1282" t="str">
        <f t="shared" si="6"/>
        <v/>
      </c>
      <c r="T37" s="368"/>
      <c r="U37" s="292" t="str">
        <f t="shared" si="7"/>
        <v/>
      </c>
      <c r="V37" s="669" t="str">
        <f>IF(T37="","",HLOOKUP(T37,名簿!$AH$3:$CH$118,32,FALSE))</f>
        <v/>
      </c>
      <c r="W37" s="769" t="str">
        <f t="shared" si="8"/>
        <v/>
      </c>
      <c r="X37" s="774" t="str">
        <f t="shared" si="9"/>
        <v/>
      </c>
      <c r="Y37" s="954"/>
      <c r="Z37" s="950" t="str">
        <f>IF(Y37="","",IF(I37=1,VLOOKUP(Y37,男子種目コード!$A$1:$B$33,2,FALSE),IF(I37=2,VLOOKUP(Y37,女子種目コード!$A$1:$B$27,2,FALSE))))</f>
        <v/>
      </c>
      <c r="AA37" s="339"/>
      <c r="AB37" s="338"/>
      <c r="AC37" s="646"/>
      <c r="AD37" s="647"/>
      <c r="AE37" s="773" t="str">
        <f t="shared" si="10"/>
        <v/>
      </c>
      <c r="AF37" s="774" t="str">
        <f t="shared" si="11"/>
        <v/>
      </c>
      <c r="AG37" s="648"/>
      <c r="AH37" s="649"/>
      <c r="AI37" s="650"/>
      <c r="AJ37" s="20"/>
      <c r="AK37" s="20"/>
      <c r="AM37" s="184" t="s">
        <v>400</v>
      </c>
      <c r="AN37" s="135" t="str">
        <f t="shared" si="0"/>
        <v/>
      </c>
      <c r="AO37" s="135" t="str">
        <f t="shared" si="1"/>
        <v/>
      </c>
      <c r="AQ37" s="135"/>
      <c r="AR37" s="135"/>
      <c r="AS37" s="183">
        <f t="shared" si="2"/>
        <v>0</v>
      </c>
      <c r="AT37" s="1322" t="s">
        <v>1072</v>
      </c>
      <c r="AU37" s="196">
        <f>COUNTIF($P$7:$P$116,41)+COUNTIF($U$7:$U$116,41)</f>
        <v>0</v>
      </c>
      <c r="AV37" s="1326">
        <v>41</v>
      </c>
      <c r="AW37" s="324"/>
      <c r="AX37" s="300"/>
      <c r="AY37" s="335"/>
      <c r="AZ37" s="324"/>
      <c r="BA37" s="300"/>
      <c r="BB37" s="300"/>
      <c r="BC37" s="300"/>
      <c r="BD37" s="300"/>
      <c r="BE37" s="300"/>
      <c r="BF37" s="300"/>
      <c r="BG37" s="300"/>
      <c r="BH37" s="300"/>
      <c r="BI37" s="300"/>
      <c r="BJ37" s="300"/>
    </row>
    <row r="38" spans="1:62" ht="14.25" customHeight="1">
      <c r="A38" s="135" t="str">
        <f t="shared" si="3"/>
        <v/>
      </c>
      <c r="B38" s="162" t="str">
        <f>名簿!P35</f>
        <v/>
      </c>
      <c r="C38" s="162"/>
      <c r="D38" s="931"/>
      <c r="E38" s="182">
        <f>名簿!E35</f>
        <v>0</v>
      </c>
      <c r="F38" s="697" t="str">
        <f>名簿!CM35</f>
        <v/>
      </c>
      <c r="G38" s="162" t="str">
        <f>名簿!Z35</f>
        <v/>
      </c>
      <c r="H38" s="675" t="str">
        <f>名簿!CM35</f>
        <v/>
      </c>
      <c r="I38" s="187" t="str">
        <f>名簿!Y35</f>
        <v/>
      </c>
      <c r="J38" s="190" t="str">
        <f>名簿!CN35</f>
        <v/>
      </c>
      <c r="K38" s="1040">
        <f>名簿!CP35</f>
        <v>0</v>
      </c>
      <c r="L38" s="750" t="str">
        <f>名簿!CU35</f>
        <v>00</v>
      </c>
      <c r="M38" s="162" t="str">
        <f>名簿!Q35</f>
        <v/>
      </c>
      <c r="N38" s="697">
        <f>名簿!D35</f>
        <v>0</v>
      </c>
      <c r="O38" s="368"/>
      <c r="P38" s="292" t="str">
        <f t="shared" si="4"/>
        <v/>
      </c>
      <c r="Q38" s="1282" t="str">
        <f>IF(O38="","",HLOOKUP(O38,名簿!$AH$3:$CH$118,33,FALSE))</f>
        <v/>
      </c>
      <c r="R38" s="1282" t="str">
        <f t="shared" si="5"/>
        <v/>
      </c>
      <c r="S38" s="1282" t="str">
        <f t="shared" si="6"/>
        <v/>
      </c>
      <c r="T38" s="368"/>
      <c r="U38" s="292" t="str">
        <f t="shared" si="7"/>
        <v/>
      </c>
      <c r="V38" s="669" t="str">
        <f>IF(T38="","",HLOOKUP(T38,名簿!$AH$3:$CH$118,33,FALSE))</f>
        <v/>
      </c>
      <c r="W38" s="769" t="str">
        <f t="shared" si="8"/>
        <v/>
      </c>
      <c r="X38" s="774" t="str">
        <f t="shared" si="9"/>
        <v/>
      </c>
      <c r="Y38" s="954"/>
      <c r="Z38" s="950" t="str">
        <f>IF(Y38="","",IF(I38=1,VLOOKUP(Y38,男子種目コード!$A$1:$B$33,2,FALSE),IF(I38=2,VLOOKUP(Y38,女子種目コード!$A$1:$B$27,2,FALSE))))</f>
        <v/>
      </c>
      <c r="AA38" s="339"/>
      <c r="AB38" s="338"/>
      <c r="AC38" s="646"/>
      <c r="AD38" s="647"/>
      <c r="AE38" s="773" t="str">
        <f t="shared" si="10"/>
        <v/>
      </c>
      <c r="AF38" s="774" t="str">
        <f t="shared" si="11"/>
        <v/>
      </c>
      <c r="AG38" s="648"/>
      <c r="AH38" s="649"/>
      <c r="AI38" s="650"/>
      <c r="AJ38" s="20"/>
      <c r="AK38" s="20"/>
      <c r="AM38" s="143"/>
      <c r="AN38" s="135" t="str">
        <f t="shared" si="0"/>
        <v/>
      </c>
      <c r="AO38" s="135" t="str">
        <f t="shared" si="1"/>
        <v/>
      </c>
      <c r="AQ38" s="135"/>
      <c r="AR38" s="135"/>
      <c r="AS38" s="183">
        <f t="shared" si="2"/>
        <v>0</v>
      </c>
      <c r="AT38" s="1322" t="s">
        <v>1073</v>
      </c>
      <c r="AU38" s="196">
        <f>COUNTIF($P$7:$P$116,42)+COUNTIF($U$7:$U$116,42)</f>
        <v>0</v>
      </c>
      <c r="AV38" s="1327">
        <v>42</v>
      </c>
      <c r="AW38" s="324"/>
      <c r="AX38" s="300"/>
      <c r="AY38" s="325"/>
      <c r="AZ38" s="325"/>
      <c r="BA38" s="300"/>
      <c r="BB38" s="300"/>
      <c r="BC38" s="300"/>
      <c r="BD38" s="300"/>
      <c r="BE38" s="300"/>
      <c r="BF38" s="300"/>
      <c r="BG38" s="300"/>
      <c r="BH38" s="300"/>
      <c r="BI38" s="300"/>
      <c r="BJ38" s="300"/>
    </row>
    <row r="39" spans="1:62" ht="14.25" customHeight="1">
      <c r="A39" s="135" t="str">
        <f t="shared" si="3"/>
        <v/>
      </c>
      <c r="B39" s="162" t="str">
        <f>名簿!P36</f>
        <v/>
      </c>
      <c r="C39" s="162"/>
      <c r="D39" s="931"/>
      <c r="E39" s="182">
        <f>名簿!E36</f>
        <v>0</v>
      </c>
      <c r="F39" s="697" t="str">
        <f>名簿!CM36</f>
        <v/>
      </c>
      <c r="G39" s="162" t="str">
        <f>名簿!Z36</f>
        <v/>
      </c>
      <c r="H39" s="675" t="str">
        <f>名簿!CM36</f>
        <v/>
      </c>
      <c r="I39" s="187" t="str">
        <f>名簿!Y36</f>
        <v/>
      </c>
      <c r="J39" s="190" t="str">
        <f>名簿!CN36</f>
        <v/>
      </c>
      <c r="K39" s="1040">
        <f>名簿!CP36</f>
        <v>0</v>
      </c>
      <c r="L39" s="750" t="str">
        <f>名簿!CU36</f>
        <v>00</v>
      </c>
      <c r="M39" s="162" t="str">
        <f>名簿!Q36</f>
        <v/>
      </c>
      <c r="N39" s="697">
        <f>名簿!D36</f>
        <v>0</v>
      </c>
      <c r="O39" s="368"/>
      <c r="P39" s="292" t="str">
        <f t="shared" si="4"/>
        <v/>
      </c>
      <c r="Q39" s="1282" t="str">
        <f>IF(O39="","",HLOOKUP(O39,名簿!$AH$3:$CH$118,34,FALSE))</f>
        <v/>
      </c>
      <c r="R39" s="1282" t="str">
        <f t="shared" si="5"/>
        <v/>
      </c>
      <c r="S39" s="1282" t="str">
        <f t="shared" si="6"/>
        <v/>
      </c>
      <c r="T39" s="368"/>
      <c r="U39" s="292" t="str">
        <f t="shared" si="7"/>
        <v/>
      </c>
      <c r="V39" s="669" t="str">
        <f>IF(T39="","",HLOOKUP(T39,名簿!$AH$3:$CH$118,34,FALSE))</f>
        <v/>
      </c>
      <c r="W39" s="769" t="str">
        <f t="shared" si="8"/>
        <v/>
      </c>
      <c r="X39" s="774" t="str">
        <f t="shared" si="9"/>
        <v/>
      </c>
      <c r="Y39" s="954"/>
      <c r="Z39" s="950" t="str">
        <f>IF(Y39="","",IF(I39=1,VLOOKUP(Y39,男子種目コード!$A$1:$B$33,2,FALSE),IF(I39=2,VLOOKUP(Y39,女子種目コード!$A$1:$B$27,2,FALSE))))</f>
        <v/>
      </c>
      <c r="AA39" s="339"/>
      <c r="AB39" s="338"/>
      <c r="AC39" s="646"/>
      <c r="AD39" s="647"/>
      <c r="AE39" s="773" t="str">
        <f t="shared" si="10"/>
        <v/>
      </c>
      <c r="AF39" s="774" t="str">
        <f t="shared" si="11"/>
        <v/>
      </c>
      <c r="AG39" s="648"/>
      <c r="AH39" s="649"/>
      <c r="AI39" s="650"/>
      <c r="AJ39" s="20"/>
      <c r="AK39" s="20"/>
      <c r="AM39" s="143"/>
      <c r="AN39" s="135" t="str">
        <f t="shared" ref="AN39:AN70" si="14">IF(O39="","",1)</f>
        <v/>
      </c>
      <c r="AO39" s="135" t="str">
        <f t="shared" ref="AO39:AO70" si="15">IF(T39="","",1)</f>
        <v/>
      </c>
      <c r="AQ39" s="135"/>
      <c r="AR39" s="135"/>
      <c r="AS39" s="183">
        <f t="shared" ref="AS39:AS70" si="16">E39</f>
        <v>0</v>
      </c>
      <c r="AT39" s="1322" t="s">
        <v>1074</v>
      </c>
      <c r="AU39" s="196">
        <f>COUNTIF($P$7:$P$116,43)+COUNTIF($U$7:$U$116,43)</f>
        <v>0</v>
      </c>
      <c r="AV39" s="1331">
        <v>43</v>
      </c>
      <c r="AW39" s="324"/>
      <c r="AX39" s="300"/>
      <c r="AY39" s="325"/>
      <c r="AZ39" s="325"/>
      <c r="BA39" s="300"/>
      <c r="BB39" s="300"/>
      <c r="BC39" s="300"/>
      <c r="BD39" s="300"/>
      <c r="BE39" s="300"/>
      <c r="BF39" s="300"/>
      <c r="BG39" s="300"/>
      <c r="BH39" s="300"/>
      <c r="BI39" s="300"/>
      <c r="BJ39" s="300"/>
    </row>
    <row r="40" spans="1:62" ht="14.25" customHeight="1">
      <c r="A40" s="135" t="str">
        <f t="shared" si="3"/>
        <v/>
      </c>
      <c r="B40" s="162" t="str">
        <f>名簿!P37</f>
        <v/>
      </c>
      <c r="C40" s="162"/>
      <c r="D40" s="931"/>
      <c r="E40" s="182">
        <f>名簿!E37</f>
        <v>0</v>
      </c>
      <c r="F40" s="697" t="str">
        <f>名簿!CM37</f>
        <v/>
      </c>
      <c r="G40" s="162" t="str">
        <f>名簿!Z37</f>
        <v/>
      </c>
      <c r="H40" s="675" t="str">
        <f>名簿!CM37</f>
        <v/>
      </c>
      <c r="I40" s="187" t="str">
        <f>名簿!Y37</f>
        <v/>
      </c>
      <c r="J40" s="190" t="str">
        <f>名簿!CN37</f>
        <v/>
      </c>
      <c r="K40" s="1040">
        <f>名簿!CP37</f>
        <v>0</v>
      </c>
      <c r="L40" s="750" t="str">
        <f>名簿!CU37</f>
        <v>00</v>
      </c>
      <c r="M40" s="162" t="str">
        <f>名簿!Q37</f>
        <v/>
      </c>
      <c r="N40" s="697">
        <f>名簿!D37</f>
        <v>0</v>
      </c>
      <c r="O40" s="368"/>
      <c r="P40" s="292" t="str">
        <f t="shared" si="4"/>
        <v/>
      </c>
      <c r="Q40" s="1282" t="str">
        <f>IF(O40="","",HLOOKUP(O40,名簿!$AH$3:$CH$118,35,FALSE))</f>
        <v/>
      </c>
      <c r="R40" s="1282" t="str">
        <f t="shared" si="5"/>
        <v/>
      </c>
      <c r="S40" s="1282" t="str">
        <f t="shared" si="6"/>
        <v/>
      </c>
      <c r="T40" s="368"/>
      <c r="U40" s="292" t="str">
        <f t="shared" si="7"/>
        <v/>
      </c>
      <c r="V40" s="669" t="str">
        <f>IF(T40="","",HLOOKUP(T40,名簿!$AH$3:$CH$118,35,FALSE))</f>
        <v/>
      </c>
      <c r="W40" s="769" t="str">
        <f t="shared" si="8"/>
        <v/>
      </c>
      <c r="X40" s="774" t="str">
        <f t="shared" si="9"/>
        <v/>
      </c>
      <c r="Y40" s="954"/>
      <c r="Z40" s="950" t="str">
        <f>IF(Y40="","",IF(I40=1,VLOOKUP(Y40,男子種目コード!$A$1:$B$33,2,FALSE),IF(I40=2,VLOOKUP(Y40,女子種目コード!$A$1:$B$27,2,FALSE))))</f>
        <v/>
      </c>
      <c r="AA40" s="339"/>
      <c r="AB40" s="338"/>
      <c r="AC40" s="646"/>
      <c r="AD40" s="647"/>
      <c r="AE40" s="773" t="str">
        <f t="shared" si="10"/>
        <v/>
      </c>
      <c r="AF40" s="774" t="str">
        <f t="shared" si="11"/>
        <v/>
      </c>
      <c r="AG40" s="648"/>
      <c r="AH40" s="649"/>
      <c r="AI40" s="650"/>
      <c r="AJ40" s="20"/>
      <c r="AK40" s="20"/>
      <c r="AM40" s="143"/>
      <c r="AN40" s="135" t="str">
        <f t="shared" si="14"/>
        <v/>
      </c>
      <c r="AO40" s="135" t="str">
        <f t="shared" si="15"/>
        <v/>
      </c>
      <c r="AQ40" s="135"/>
      <c r="AR40" s="135"/>
      <c r="AS40" s="183">
        <f t="shared" si="16"/>
        <v>0</v>
      </c>
      <c r="AT40" s="1322" t="s">
        <v>1075</v>
      </c>
      <c r="AU40" s="196">
        <f>COUNTIF($P$7:$P$116,44)+COUNTIF($U$7:$U$116,44)</f>
        <v>0</v>
      </c>
      <c r="AV40" s="1331">
        <v>44</v>
      </c>
      <c r="AW40" s="324"/>
      <c r="AX40" s="300"/>
      <c r="AY40" s="325"/>
      <c r="AZ40" s="325"/>
      <c r="BA40" s="300"/>
      <c r="BB40" s="300"/>
      <c r="BC40" s="300"/>
      <c r="BD40" s="300"/>
      <c r="BE40" s="300"/>
      <c r="BF40" s="300"/>
      <c r="BG40" s="300"/>
      <c r="BH40" s="300"/>
      <c r="BI40" s="300"/>
      <c r="BJ40" s="300"/>
    </row>
    <row r="41" spans="1:62" ht="14.25" customHeight="1">
      <c r="A41" s="135" t="str">
        <f t="shared" si="3"/>
        <v/>
      </c>
      <c r="B41" s="162" t="str">
        <f>名簿!P38</f>
        <v/>
      </c>
      <c r="C41" s="162"/>
      <c r="D41" s="931"/>
      <c r="E41" s="182">
        <f>名簿!E38</f>
        <v>0</v>
      </c>
      <c r="F41" s="697" t="str">
        <f>名簿!CM38</f>
        <v/>
      </c>
      <c r="G41" s="162" t="str">
        <f>名簿!Z38</f>
        <v/>
      </c>
      <c r="H41" s="675" t="str">
        <f>名簿!CM38</f>
        <v/>
      </c>
      <c r="I41" s="187" t="str">
        <f>名簿!Y38</f>
        <v/>
      </c>
      <c r="J41" s="190" t="str">
        <f>名簿!CN38</f>
        <v/>
      </c>
      <c r="K41" s="1040">
        <f>名簿!CP38</f>
        <v>0</v>
      </c>
      <c r="L41" s="750" t="str">
        <f>名簿!CU38</f>
        <v>00</v>
      </c>
      <c r="M41" s="162" t="str">
        <f>名簿!Q38</f>
        <v/>
      </c>
      <c r="N41" s="697">
        <f>名簿!D38</f>
        <v>0</v>
      </c>
      <c r="O41" s="368"/>
      <c r="P41" s="292" t="str">
        <f t="shared" si="4"/>
        <v/>
      </c>
      <c r="Q41" s="1282" t="str">
        <f>IF(O41="","",HLOOKUP(O41,名簿!$AH$3:$CH$118,36,FALSE))</f>
        <v/>
      </c>
      <c r="R41" s="1282" t="str">
        <f t="shared" si="5"/>
        <v/>
      </c>
      <c r="S41" s="1282" t="str">
        <f t="shared" si="6"/>
        <v/>
      </c>
      <c r="T41" s="368"/>
      <c r="U41" s="292" t="str">
        <f t="shared" si="7"/>
        <v/>
      </c>
      <c r="V41" s="669" t="str">
        <f>IF(T41="","",HLOOKUP(T41,名簿!$AH$3:$CH$118,36,FALSE))</f>
        <v/>
      </c>
      <c r="W41" s="769" t="str">
        <f t="shared" si="8"/>
        <v/>
      </c>
      <c r="X41" s="774" t="str">
        <f t="shared" si="9"/>
        <v/>
      </c>
      <c r="Y41" s="954"/>
      <c r="Z41" s="950" t="str">
        <f>IF(Y41="","",IF(I41=1,VLOOKUP(Y41,男子種目コード!$A$1:$B$33,2,FALSE),IF(I41=2,VLOOKUP(Y41,女子種目コード!$A$1:$B$27,2,FALSE))))</f>
        <v/>
      </c>
      <c r="AA41" s="339"/>
      <c r="AB41" s="338"/>
      <c r="AC41" s="646"/>
      <c r="AD41" s="647"/>
      <c r="AE41" s="773" t="str">
        <f t="shared" si="10"/>
        <v/>
      </c>
      <c r="AF41" s="774" t="str">
        <f t="shared" si="11"/>
        <v/>
      </c>
      <c r="AG41" s="648"/>
      <c r="AH41" s="649"/>
      <c r="AI41" s="650"/>
      <c r="AJ41" s="20"/>
      <c r="AK41" s="20"/>
      <c r="AM41" s="143"/>
      <c r="AN41" s="135" t="str">
        <f t="shared" si="14"/>
        <v/>
      </c>
      <c r="AO41" s="135" t="str">
        <f t="shared" si="15"/>
        <v/>
      </c>
      <c r="AQ41" s="135"/>
      <c r="AR41" s="135"/>
      <c r="AS41" s="183">
        <f t="shared" si="16"/>
        <v>0</v>
      </c>
      <c r="AT41" s="1323" t="s">
        <v>1076</v>
      </c>
      <c r="AU41" s="196">
        <f>COUNTIF($P$7:$P$116,46)+COUNTIF($U$7:$U$116,46)</f>
        <v>0</v>
      </c>
      <c r="AV41" s="1331">
        <v>46</v>
      </c>
      <c r="AW41" s="324"/>
      <c r="AX41" s="300"/>
      <c r="AY41" s="325"/>
      <c r="AZ41" s="325"/>
      <c r="BA41" s="300"/>
      <c r="BB41" s="300"/>
      <c r="BC41" s="300"/>
      <c r="BD41" s="300"/>
      <c r="BE41" s="300"/>
      <c r="BF41" s="300"/>
      <c r="BG41" s="300"/>
      <c r="BH41" s="300"/>
      <c r="BI41" s="300"/>
      <c r="BJ41" s="300"/>
    </row>
    <row r="42" spans="1:62" ht="14.25" customHeight="1">
      <c r="A42" s="135" t="str">
        <f t="shared" si="3"/>
        <v/>
      </c>
      <c r="B42" s="162" t="str">
        <f>名簿!P39</f>
        <v/>
      </c>
      <c r="C42" s="162"/>
      <c r="D42" s="931"/>
      <c r="E42" s="182">
        <f>名簿!E39</f>
        <v>0</v>
      </c>
      <c r="F42" s="697" t="str">
        <f>名簿!CM39</f>
        <v/>
      </c>
      <c r="G42" s="162" t="str">
        <f>名簿!Z39</f>
        <v/>
      </c>
      <c r="H42" s="675" t="str">
        <f>名簿!CM39</f>
        <v/>
      </c>
      <c r="I42" s="187" t="str">
        <f>名簿!Y39</f>
        <v/>
      </c>
      <c r="J42" s="190" t="str">
        <f>名簿!CN39</f>
        <v/>
      </c>
      <c r="K42" s="1040">
        <f>名簿!CP39</f>
        <v>0</v>
      </c>
      <c r="L42" s="750" t="str">
        <f>名簿!CU39</f>
        <v>00</v>
      </c>
      <c r="M42" s="162" t="str">
        <f>名簿!Q39</f>
        <v/>
      </c>
      <c r="N42" s="697">
        <f>名簿!D39</f>
        <v>0</v>
      </c>
      <c r="O42" s="368"/>
      <c r="P42" s="292" t="str">
        <f t="shared" si="4"/>
        <v/>
      </c>
      <c r="Q42" s="1282" t="str">
        <f>IF(O42="","",HLOOKUP(O42,名簿!$AH$3:$CH$118,37,FALSE))</f>
        <v/>
      </c>
      <c r="R42" s="1282" t="str">
        <f t="shared" si="5"/>
        <v/>
      </c>
      <c r="S42" s="1282" t="str">
        <f t="shared" si="6"/>
        <v/>
      </c>
      <c r="T42" s="368"/>
      <c r="U42" s="292" t="str">
        <f t="shared" si="7"/>
        <v/>
      </c>
      <c r="V42" s="669" t="str">
        <f>IF(T42="","",HLOOKUP(T42,名簿!$AH$3:$CH$118,37,FALSE))</f>
        <v/>
      </c>
      <c r="W42" s="769" t="str">
        <f t="shared" si="8"/>
        <v/>
      </c>
      <c r="X42" s="774" t="str">
        <f t="shared" si="9"/>
        <v/>
      </c>
      <c r="Y42" s="954"/>
      <c r="Z42" s="950" t="str">
        <f>IF(Y42="","",IF(I42=1,VLOOKUP(Y42,男子種目コード!$A$1:$B$33,2,FALSE),IF(I42=2,VLOOKUP(Y42,女子種目コード!$A$1:$B$27,2,FALSE))))</f>
        <v/>
      </c>
      <c r="AA42" s="339"/>
      <c r="AB42" s="338"/>
      <c r="AC42" s="646"/>
      <c r="AD42" s="647"/>
      <c r="AE42" s="773" t="str">
        <f t="shared" si="10"/>
        <v/>
      </c>
      <c r="AF42" s="774" t="str">
        <f t="shared" si="11"/>
        <v/>
      </c>
      <c r="AG42" s="648"/>
      <c r="AH42" s="649"/>
      <c r="AI42" s="650"/>
      <c r="AJ42" s="20"/>
      <c r="AK42" s="20"/>
      <c r="AM42" s="143"/>
      <c r="AN42" s="135" t="str">
        <f t="shared" si="14"/>
        <v/>
      </c>
      <c r="AO42" s="135" t="str">
        <f t="shared" si="15"/>
        <v/>
      </c>
      <c r="AQ42" s="135"/>
      <c r="AR42" s="135"/>
      <c r="AS42" s="183">
        <f t="shared" si="16"/>
        <v>0</v>
      </c>
      <c r="AT42" s="1322" t="s">
        <v>1077</v>
      </c>
      <c r="AU42" s="196">
        <f>COUNTIF($P$7:$P$116,47)+COUNTIF($U$7:$U$116,47)</f>
        <v>0</v>
      </c>
      <c r="AV42" s="1331">
        <v>47</v>
      </c>
      <c r="AW42" s="324"/>
      <c r="AX42" s="300"/>
      <c r="AY42" s="325"/>
      <c r="AZ42" s="325"/>
      <c r="BA42" s="300"/>
      <c r="BB42" s="300"/>
      <c r="BC42" s="300"/>
      <c r="BD42" s="300"/>
      <c r="BE42" s="300"/>
      <c r="BF42" s="300"/>
      <c r="BG42" s="300"/>
      <c r="BH42" s="300"/>
      <c r="BI42" s="300"/>
      <c r="BJ42" s="300"/>
    </row>
    <row r="43" spans="1:62" ht="14.25" customHeight="1">
      <c r="A43" s="135" t="str">
        <f t="shared" si="3"/>
        <v/>
      </c>
      <c r="B43" s="162" t="str">
        <f>名簿!P40</f>
        <v/>
      </c>
      <c r="C43" s="162"/>
      <c r="D43" s="931"/>
      <c r="E43" s="182">
        <f>名簿!E40</f>
        <v>0</v>
      </c>
      <c r="F43" s="697" t="str">
        <f>名簿!CM40</f>
        <v/>
      </c>
      <c r="G43" s="162" t="str">
        <f>名簿!Z40</f>
        <v/>
      </c>
      <c r="H43" s="675" t="str">
        <f>名簿!CM40</f>
        <v/>
      </c>
      <c r="I43" s="187" t="str">
        <f>名簿!Y40</f>
        <v/>
      </c>
      <c r="J43" s="190" t="str">
        <f>名簿!CN40</f>
        <v/>
      </c>
      <c r="K43" s="1040">
        <f>名簿!CP40</f>
        <v>0</v>
      </c>
      <c r="L43" s="750" t="str">
        <f>名簿!CU40</f>
        <v>00</v>
      </c>
      <c r="M43" s="162" t="str">
        <f>名簿!Q40</f>
        <v/>
      </c>
      <c r="N43" s="697">
        <f>名簿!D40</f>
        <v>0</v>
      </c>
      <c r="O43" s="368"/>
      <c r="P43" s="292" t="str">
        <f t="shared" si="4"/>
        <v/>
      </c>
      <c r="Q43" s="1282" t="str">
        <f>IF(O43="","",HLOOKUP(O43,名簿!$AH$3:$CH$118,38,FALSE))</f>
        <v/>
      </c>
      <c r="R43" s="1282" t="str">
        <f t="shared" si="5"/>
        <v/>
      </c>
      <c r="S43" s="1282" t="str">
        <f t="shared" si="6"/>
        <v/>
      </c>
      <c r="T43" s="368"/>
      <c r="U43" s="292" t="str">
        <f t="shared" si="7"/>
        <v/>
      </c>
      <c r="V43" s="669" t="str">
        <f>IF(T43="","",HLOOKUP(T43,名簿!$AH$3:$CH$118,38,FALSE))</f>
        <v/>
      </c>
      <c r="W43" s="769" t="str">
        <f t="shared" si="8"/>
        <v/>
      </c>
      <c r="X43" s="774" t="str">
        <f t="shared" si="9"/>
        <v/>
      </c>
      <c r="Y43" s="954"/>
      <c r="Z43" s="950" t="str">
        <f>IF(Y43="","",IF(I43=1,VLOOKUP(Y43,男子種目コード!$A$1:$B$33,2,FALSE),IF(I43=2,VLOOKUP(Y43,女子種目コード!$A$1:$B$27,2,FALSE))))</f>
        <v/>
      </c>
      <c r="AA43" s="339"/>
      <c r="AB43" s="338"/>
      <c r="AC43" s="646"/>
      <c r="AD43" s="647"/>
      <c r="AE43" s="773" t="str">
        <f t="shared" si="10"/>
        <v/>
      </c>
      <c r="AF43" s="774" t="str">
        <f t="shared" si="11"/>
        <v/>
      </c>
      <c r="AG43" s="648"/>
      <c r="AH43" s="649"/>
      <c r="AI43" s="650"/>
      <c r="AJ43" s="20"/>
      <c r="AK43" s="20"/>
      <c r="AM43" s="143"/>
      <c r="AN43" s="135" t="str">
        <f t="shared" si="14"/>
        <v/>
      </c>
      <c r="AO43" s="135" t="str">
        <f t="shared" si="15"/>
        <v/>
      </c>
      <c r="AQ43" s="135"/>
      <c r="AR43" s="135"/>
      <c r="AS43" s="183">
        <f t="shared" si="16"/>
        <v>0</v>
      </c>
      <c r="AT43" s="1322" t="s">
        <v>1165</v>
      </c>
      <c r="AU43" s="196">
        <f>COUNTIF($P$7:$P$116,48)+COUNTIF($U$7:$U$116,48)</f>
        <v>0</v>
      </c>
      <c r="AV43" s="1331">
        <v>48</v>
      </c>
      <c r="AW43" s="324"/>
      <c r="AX43" s="300"/>
      <c r="AY43" s="325"/>
      <c r="AZ43" s="325"/>
      <c r="BA43" s="300"/>
      <c r="BB43" s="300"/>
      <c r="BC43" s="300"/>
      <c r="BD43" s="300"/>
      <c r="BE43" s="300"/>
      <c r="BF43" s="300"/>
      <c r="BG43" s="300"/>
      <c r="BH43" s="300"/>
      <c r="BI43" s="300"/>
      <c r="BJ43" s="300"/>
    </row>
    <row r="44" spans="1:62" ht="14.25" customHeight="1">
      <c r="A44" s="135" t="str">
        <f t="shared" si="3"/>
        <v/>
      </c>
      <c r="B44" s="162" t="str">
        <f>名簿!P41</f>
        <v/>
      </c>
      <c r="C44" s="162"/>
      <c r="D44" s="931"/>
      <c r="E44" s="182">
        <f>名簿!E41</f>
        <v>0</v>
      </c>
      <c r="F44" s="697" t="str">
        <f>名簿!CM41</f>
        <v/>
      </c>
      <c r="G44" s="162" t="str">
        <f>名簿!Z41</f>
        <v/>
      </c>
      <c r="H44" s="675" t="str">
        <f>名簿!CM41</f>
        <v/>
      </c>
      <c r="I44" s="187" t="str">
        <f>名簿!Y41</f>
        <v/>
      </c>
      <c r="J44" s="190" t="str">
        <f>名簿!CN41</f>
        <v/>
      </c>
      <c r="K44" s="1040">
        <f>名簿!CP41</f>
        <v>0</v>
      </c>
      <c r="L44" s="750" t="str">
        <f>名簿!CU41</f>
        <v>00</v>
      </c>
      <c r="M44" s="162" t="str">
        <f>名簿!Q41</f>
        <v/>
      </c>
      <c r="N44" s="697">
        <f>名簿!D41</f>
        <v>0</v>
      </c>
      <c r="O44" s="368"/>
      <c r="P44" s="292" t="str">
        <f t="shared" si="4"/>
        <v/>
      </c>
      <c r="Q44" s="1282" t="str">
        <f>IF(O44="","",HLOOKUP(O44,名簿!$AH$3:$CH$118,39,FALSE))</f>
        <v/>
      </c>
      <c r="R44" s="1282" t="str">
        <f t="shared" si="5"/>
        <v/>
      </c>
      <c r="S44" s="1282" t="str">
        <f t="shared" si="6"/>
        <v/>
      </c>
      <c r="T44" s="368"/>
      <c r="U44" s="292" t="str">
        <f t="shared" si="7"/>
        <v/>
      </c>
      <c r="V44" s="669" t="str">
        <f>IF(T44="","",HLOOKUP(T44,名簿!$AH$3:$CH$118,39,FALSE))</f>
        <v/>
      </c>
      <c r="W44" s="769" t="str">
        <f t="shared" si="8"/>
        <v/>
      </c>
      <c r="X44" s="774" t="str">
        <f t="shared" si="9"/>
        <v/>
      </c>
      <c r="Y44" s="954"/>
      <c r="Z44" s="950" t="str">
        <f>IF(Y44="","",IF(I44=1,VLOOKUP(Y44,男子種目コード!$A$1:$B$33,2,FALSE),IF(I44=2,VLOOKUP(Y44,女子種目コード!$A$1:$B$27,2,FALSE))))</f>
        <v/>
      </c>
      <c r="AA44" s="339"/>
      <c r="AB44" s="338"/>
      <c r="AC44" s="646"/>
      <c r="AD44" s="647"/>
      <c r="AE44" s="773" t="str">
        <f t="shared" si="10"/>
        <v/>
      </c>
      <c r="AF44" s="774" t="str">
        <f t="shared" si="11"/>
        <v/>
      </c>
      <c r="AG44" s="648"/>
      <c r="AH44" s="649"/>
      <c r="AI44" s="650"/>
      <c r="AJ44" s="20"/>
      <c r="AK44" s="20"/>
      <c r="AM44" s="143"/>
      <c r="AN44" s="135" t="str">
        <f t="shared" si="14"/>
        <v/>
      </c>
      <c r="AO44" s="135" t="str">
        <f t="shared" si="15"/>
        <v/>
      </c>
      <c r="AQ44" s="135"/>
      <c r="AR44" s="135"/>
      <c r="AS44" s="183">
        <f t="shared" si="16"/>
        <v>0</v>
      </c>
      <c r="AT44" s="1322" t="s">
        <v>1157</v>
      </c>
      <c r="AU44" s="196">
        <f>COUNTIF($P$7:$P$116,49)+COUNTIF($U$7:$U$116,49)</f>
        <v>0</v>
      </c>
      <c r="AV44" s="1331">
        <v>49</v>
      </c>
      <c r="AW44" s="324"/>
      <c r="AX44" s="300"/>
      <c r="AY44" s="325"/>
      <c r="AZ44" s="325"/>
      <c r="BA44" s="300"/>
      <c r="BB44" s="300"/>
      <c r="BC44" s="300"/>
      <c r="BD44" s="300"/>
      <c r="BE44" s="300"/>
      <c r="BF44" s="300"/>
      <c r="BG44" s="300"/>
      <c r="BH44" s="300"/>
      <c r="BI44" s="300"/>
      <c r="BJ44" s="300"/>
    </row>
    <row r="45" spans="1:62" ht="14.25" customHeight="1">
      <c r="A45" s="135" t="str">
        <f t="shared" si="3"/>
        <v/>
      </c>
      <c r="B45" s="162" t="str">
        <f>名簿!P42</f>
        <v/>
      </c>
      <c r="C45" s="162"/>
      <c r="D45" s="931"/>
      <c r="E45" s="182">
        <f>名簿!E42</f>
        <v>0</v>
      </c>
      <c r="F45" s="697" t="str">
        <f>名簿!CM42</f>
        <v/>
      </c>
      <c r="G45" s="162" t="str">
        <f>名簿!Z42</f>
        <v/>
      </c>
      <c r="H45" s="675" t="str">
        <f>名簿!CM42</f>
        <v/>
      </c>
      <c r="I45" s="187" t="str">
        <f>名簿!Y42</f>
        <v/>
      </c>
      <c r="J45" s="190" t="str">
        <f>名簿!CN42</f>
        <v/>
      </c>
      <c r="K45" s="1040">
        <f>名簿!CP42</f>
        <v>0</v>
      </c>
      <c r="L45" s="750" t="str">
        <f>名簿!CU42</f>
        <v>00</v>
      </c>
      <c r="M45" s="162" t="str">
        <f>名簿!Q42</f>
        <v/>
      </c>
      <c r="N45" s="697">
        <f>名簿!D42</f>
        <v>0</v>
      </c>
      <c r="O45" s="368"/>
      <c r="P45" s="292" t="str">
        <f t="shared" si="4"/>
        <v/>
      </c>
      <c r="Q45" s="1282" t="str">
        <f>IF(O45="","",HLOOKUP(O45,名簿!$AH$3:$CH$118,40,FALSE))</f>
        <v/>
      </c>
      <c r="R45" s="1282" t="str">
        <f t="shared" si="5"/>
        <v/>
      </c>
      <c r="S45" s="1282" t="str">
        <f t="shared" si="6"/>
        <v/>
      </c>
      <c r="T45" s="368"/>
      <c r="U45" s="292" t="str">
        <f t="shared" si="7"/>
        <v/>
      </c>
      <c r="V45" s="669" t="str">
        <f>IF(T45="","",HLOOKUP(T45,名簿!$AH$3:$CH$118,40,FALSE))</f>
        <v/>
      </c>
      <c r="W45" s="769" t="str">
        <f t="shared" si="8"/>
        <v/>
      </c>
      <c r="X45" s="774" t="str">
        <f t="shared" si="9"/>
        <v/>
      </c>
      <c r="Y45" s="954"/>
      <c r="Z45" s="950" t="str">
        <f>IF(Y45="","",IF(I45=1,VLOOKUP(Y45,男子種目コード!$A$1:$B$33,2,FALSE),IF(I45=2,VLOOKUP(Y45,女子種目コード!$A$1:$B$27,2,FALSE))))</f>
        <v/>
      </c>
      <c r="AA45" s="339"/>
      <c r="AB45" s="338"/>
      <c r="AC45" s="646"/>
      <c r="AD45" s="647"/>
      <c r="AE45" s="773" t="str">
        <f t="shared" si="10"/>
        <v/>
      </c>
      <c r="AF45" s="774" t="str">
        <f t="shared" si="11"/>
        <v/>
      </c>
      <c r="AG45" s="648"/>
      <c r="AH45" s="649"/>
      <c r="AI45" s="650"/>
      <c r="AJ45" s="20"/>
      <c r="AK45" s="20"/>
      <c r="AM45" s="143"/>
      <c r="AN45" s="135" t="str">
        <f t="shared" si="14"/>
        <v/>
      </c>
      <c r="AO45" s="135" t="str">
        <f t="shared" si="15"/>
        <v/>
      </c>
      <c r="AQ45" s="135"/>
      <c r="AR45" s="135"/>
      <c r="AS45" s="183">
        <f t="shared" si="16"/>
        <v>0</v>
      </c>
      <c r="AT45" s="1323" t="s">
        <v>1158</v>
      </c>
      <c r="AU45" s="196">
        <f>COUNTIF($P$7:$P$116,50)+COUNTIF($U$7:$U$116,50)</f>
        <v>0</v>
      </c>
      <c r="AV45" s="1331">
        <v>50</v>
      </c>
      <c r="AW45" s="324"/>
      <c r="AX45" s="300"/>
      <c r="AY45" s="325"/>
      <c r="AZ45" s="325"/>
      <c r="BA45" s="300"/>
      <c r="BB45" s="300"/>
      <c r="BC45" s="300"/>
      <c r="BD45" s="300"/>
      <c r="BE45" s="300"/>
      <c r="BF45" s="300"/>
      <c r="BG45" s="300"/>
      <c r="BH45" s="300"/>
      <c r="BI45" s="300"/>
      <c r="BJ45" s="300"/>
    </row>
    <row r="46" spans="1:62" ht="14.25" customHeight="1">
      <c r="A46" s="135" t="str">
        <f t="shared" si="3"/>
        <v/>
      </c>
      <c r="B46" s="162" t="str">
        <f>名簿!P43</f>
        <v/>
      </c>
      <c r="C46" s="162"/>
      <c r="D46" s="931"/>
      <c r="E46" s="182">
        <f>名簿!E43</f>
        <v>0</v>
      </c>
      <c r="F46" s="697" t="str">
        <f>名簿!CM43</f>
        <v/>
      </c>
      <c r="G46" s="162" t="str">
        <f>名簿!Z43</f>
        <v/>
      </c>
      <c r="H46" s="675" t="str">
        <f>名簿!CM43</f>
        <v/>
      </c>
      <c r="I46" s="187" t="str">
        <f>名簿!Y43</f>
        <v/>
      </c>
      <c r="J46" s="190" t="str">
        <f>名簿!CN43</f>
        <v/>
      </c>
      <c r="K46" s="1040">
        <f>名簿!CP43</f>
        <v>0</v>
      </c>
      <c r="L46" s="750" t="str">
        <f>名簿!CU43</f>
        <v>00</v>
      </c>
      <c r="M46" s="162" t="str">
        <f>名簿!Q43</f>
        <v/>
      </c>
      <c r="N46" s="697">
        <f>名簿!D43</f>
        <v>0</v>
      </c>
      <c r="O46" s="368"/>
      <c r="P46" s="292" t="str">
        <f t="shared" si="4"/>
        <v/>
      </c>
      <c r="Q46" s="1282" t="str">
        <f>IF(O46="","",HLOOKUP(O46,名簿!$AH$3:$CH$118,41,FALSE))</f>
        <v/>
      </c>
      <c r="R46" s="1282" t="str">
        <f t="shared" si="5"/>
        <v/>
      </c>
      <c r="S46" s="1282" t="str">
        <f t="shared" si="6"/>
        <v/>
      </c>
      <c r="T46" s="368"/>
      <c r="U46" s="292" t="str">
        <f t="shared" si="7"/>
        <v/>
      </c>
      <c r="V46" s="669" t="str">
        <f>IF(T46="","",HLOOKUP(T46,名簿!$AH$3:$CH$118,41,FALSE))</f>
        <v/>
      </c>
      <c r="W46" s="769" t="str">
        <f t="shared" si="8"/>
        <v/>
      </c>
      <c r="X46" s="774" t="str">
        <f t="shared" si="9"/>
        <v/>
      </c>
      <c r="Y46" s="954"/>
      <c r="Z46" s="950" t="str">
        <f>IF(Y46="","",IF(I46=1,VLOOKUP(Y46,男子種目コード!$A$1:$B$33,2,FALSE),IF(I46=2,VLOOKUP(Y46,女子種目コード!$A$1:$B$27,2,FALSE))))</f>
        <v/>
      </c>
      <c r="AA46" s="339"/>
      <c r="AB46" s="338"/>
      <c r="AC46" s="646"/>
      <c r="AD46" s="647"/>
      <c r="AE46" s="773" t="str">
        <f t="shared" si="10"/>
        <v/>
      </c>
      <c r="AF46" s="774" t="str">
        <f t="shared" si="11"/>
        <v/>
      </c>
      <c r="AG46" s="648"/>
      <c r="AH46" s="649"/>
      <c r="AI46" s="650"/>
      <c r="AJ46" s="20"/>
      <c r="AK46" s="20"/>
      <c r="AM46" s="143"/>
      <c r="AN46" s="135" t="str">
        <f t="shared" si="14"/>
        <v/>
      </c>
      <c r="AO46" s="135" t="str">
        <f t="shared" si="15"/>
        <v/>
      </c>
      <c r="AQ46" s="135"/>
      <c r="AR46" s="135"/>
      <c r="AS46" s="183">
        <f t="shared" si="16"/>
        <v>0</v>
      </c>
      <c r="AT46" s="1323" t="s">
        <v>1081</v>
      </c>
      <c r="AU46" s="196">
        <f>COUNTIF($P$7:$P$116,52)+COUNTIF($U$7:$U$116,52)</f>
        <v>0</v>
      </c>
      <c r="AV46" s="1331">
        <v>52</v>
      </c>
      <c r="AW46" s="324"/>
      <c r="AX46" s="300"/>
      <c r="AY46" s="325"/>
      <c r="AZ46" s="325"/>
      <c r="BA46" s="300"/>
      <c r="BB46" s="300"/>
      <c r="BC46" s="300"/>
      <c r="BD46" s="300"/>
      <c r="BE46" s="300"/>
      <c r="BF46" s="300"/>
      <c r="BG46" s="300"/>
      <c r="BH46" s="300"/>
      <c r="BI46" s="300"/>
      <c r="BJ46" s="300"/>
    </row>
    <row r="47" spans="1:62" ht="14.25" customHeight="1">
      <c r="A47" s="135" t="str">
        <f t="shared" si="3"/>
        <v/>
      </c>
      <c r="B47" s="162" t="str">
        <f>名簿!P44</f>
        <v/>
      </c>
      <c r="C47" s="162"/>
      <c r="D47" s="931"/>
      <c r="E47" s="182">
        <f>名簿!E44</f>
        <v>0</v>
      </c>
      <c r="F47" s="697" t="str">
        <f>名簿!CM44</f>
        <v/>
      </c>
      <c r="G47" s="162" t="str">
        <f>名簿!Z44</f>
        <v/>
      </c>
      <c r="H47" s="675" t="str">
        <f>名簿!CM44</f>
        <v/>
      </c>
      <c r="I47" s="187" t="str">
        <f>名簿!Y44</f>
        <v/>
      </c>
      <c r="J47" s="190" t="str">
        <f>名簿!CN44</f>
        <v/>
      </c>
      <c r="K47" s="1040">
        <f>名簿!CP44</f>
        <v>0</v>
      </c>
      <c r="L47" s="750" t="str">
        <f>名簿!CU44</f>
        <v>00</v>
      </c>
      <c r="M47" s="162" t="str">
        <f>名簿!Q44</f>
        <v/>
      </c>
      <c r="N47" s="697">
        <f>名簿!D44</f>
        <v>0</v>
      </c>
      <c r="O47" s="368"/>
      <c r="P47" s="292" t="str">
        <f t="shared" si="4"/>
        <v/>
      </c>
      <c r="Q47" s="1282" t="str">
        <f>IF(O47="","",HLOOKUP(O47,名簿!$AH$3:$CH$118,42,FALSE))</f>
        <v/>
      </c>
      <c r="R47" s="1282" t="str">
        <f t="shared" si="5"/>
        <v/>
      </c>
      <c r="S47" s="1282" t="str">
        <f t="shared" si="6"/>
        <v/>
      </c>
      <c r="T47" s="368"/>
      <c r="U47" s="292" t="str">
        <f t="shared" si="7"/>
        <v/>
      </c>
      <c r="V47" s="669" t="str">
        <f>IF(T47="","",HLOOKUP(T47,名簿!$AH$3:$CH$118,42,FALSE))</f>
        <v/>
      </c>
      <c r="W47" s="769" t="str">
        <f t="shared" si="8"/>
        <v/>
      </c>
      <c r="X47" s="774" t="str">
        <f t="shared" si="9"/>
        <v/>
      </c>
      <c r="Y47" s="954"/>
      <c r="Z47" s="950" t="str">
        <f>IF(Y47="","",IF(I47=1,VLOOKUP(Y47,男子種目コード!$A$1:$B$33,2,FALSE),IF(I47=2,VLOOKUP(Y47,女子種目コード!$A$1:$B$27,2,FALSE))))</f>
        <v/>
      </c>
      <c r="AA47" s="339"/>
      <c r="AB47" s="338"/>
      <c r="AC47" s="646"/>
      <c r="AD47" s="647"/>
      <c r="AE47" s="773" t="str">
        <f t="shared" si="10"/>
        <v/>
      </c>
      <c r="AF47" s="774" t="str">
        <f t="shared" si="11"/>
        <v/>
      </c>
      <c r="AG47" s="648"/>
      <c r="AH47" s="649"/>
      <c r="AI47" s="650"/>
      <c r="AJ47" s="20"/>
      <c r="AK47" s="20"/>
      <c r="AM47" s="143"/>
      <c r="AN47" s="135" t="str">
        <f t="shared" si="14"/>
        <v/>
      </c>
      <c r="AO47" s="135" t="str">
        <f t="shared" si="15"/>
        <v/>
      </c>
      <c r="AQ47" s="135"/>
      <c r="AR47" s="135"/>
      <c r="AS47" s="183">
        <f t="shared" si="16"/>
        <v>0</v>
      </c>
      <c r="AT47" s="1323" t="s">
        <v>1082</v>
      </c>
      <c r="AU47" s="196">
        <f>COUNTIF($P$7:$P$116,55)+COUNTIF($U$7:$U$116,55)</f>
        <v>0</v>
      </c>
      <c r="AV47" s="1331">
        <v>55</v>
      </c>
      <c r="AW47" s="324"/>
      <c r="AX47" s="300"/>
      <c r="AY47" s="325"/>
      <c r="AZ47" s="325"/>
      <c r="BA47" s="300"/>
      <c r="BB47" s="300"/>
      <c r="BC47" s="300"/>
      <c r="BD47" s="300"/>
      <c r="BE47" s="300"/>
      <c r="BF47" s="300"/>
      <c r="BG47" s="300"/>
      <c r="BH47" s="300"/>
      <c r="BI47" s="300"/>
      <c r="BJ47" s="300"/>
    </row>
    <row r="48" spans="1:62" ht="14.25" customHeight="1">
      <c r="A48" s="135" t="str">
        <f t="shared" si="3"/>
        <v/>
      </c>
      <c r="B48" s="162" t="str">
        <f>名簿!P45</f>
        <v/>
      </c>
      <c r="C48" s="162"/>
      <c r="D48" s="931"/>
      <c r="E48" s="182">
        <f>名簿!E45</f>
        <v>0</v>
      </c>
      <c r="F48" s="697" t="str">
        <f>名簿!CM45</f>
        <v/>
      </c>
      <c r="G48" s="162" t="str">
        <f>名簿!Z45</f>
        <v/>
      </c>
      <c r="H48" s="675" t="str">
        <f>名簿!CM45</f>
        <v/>
      </c>
      <c r="I48" s="187" t="str">
        <f>名簿!Y45</f>
        <v/>
      </c>
      <c r="J48" s="190" t="str">
        <f>名簿!CN45</f>
        <v/>
      </c>
      <c r="K48" s="1040">
        <f>名簿!CP45</f>
        <v>0</v>
      </c>
      <c r="L48" s="750" t="str">
        <f>名簿!CU45</f>
        <v>00</v>
      </c>
      <c r="M48" s="162" t="str">
        <f>名簿!Q45</f>
        <v/>
      </c>
      <c r="N48" s="697">
        <f>名簿!D45</f>
        <v>0</v>
      </c>
      <c r="O48" s="368"/>
      <c r="P48" s="292" t="str">
        <f t="shared" si="4"/>
        <v/>
      </c>
      <c r="Q48" s="1282" t="str">
        <f>IF(O48="","",HLOOKUP(O48,名簿!$AH$3:$CH$118,43,FALSE))</f>
        <v/>
      </c>
      <c r="R48" s="1282" t="str">
        <f t="shared" si="5"/>
        <v/>
      </c>
      <c r="S48" s="1282" t="str">
        <f t="shared" si="6"/>
        <v/>
      </c>
      <c r="T48" s="368"/>
      <c r="U48" s="292" t="str">
        <f t="shared" si="7"/>
        <v/>
      </c>
      <c r="V48" s="669" t="str">
        <f>IF(T48="","",HLOOKUP(T48,名簿!$AH$3:$CH$118,43,FALSE))</f>
        <v/>
      </c>
      <c r="W48" s="769" t="str">
        <f t="shared" si="8"/>
        <v/>
      </c>
      <c r="X48" s="774" t="str">
        <f t="shared" si="9"/>
        <v/>
      </c>
      <c r="Y48" s="954"/>
      <c r="Z48" s="950" t="str">
        <f>IF(Y48="","",IF(I48=1,VLOOKUP(Y48,男子種目コード!$A$1:$B$33,2,FALSE),IF(I48=2,VLOOKUP(Y48,女子種目コード!$A$1:$B$27,2,FALSE))))</f>
        <v/>
      </c>
      <c r="AA48" s="339"/>
      <c r="AB48" s="338"/>
      <c r="AC48" s="646"/>
      <c r="AD48" s="647"/>
      <c r="AE48" s="773" t="str">
        <f t="shared" si="10"/>
        <v/>
      </c>
      <c r="AF48" s="774" t="str">
        <f t="shared" si="11"/>
        <v/>
      </c>
      <c r="AG48" s="648"/>
      <c r="AH48" s="649"/>
      <c r="AI48" s="650"/>
      <c r="AJ48" s="20"/>
      <c r="AK48" s="20"/>
      <c r="AM48" s="143"/>
      <c r="AN48" s="135" t="str">
        <f t="shared" si="14"/>
        <v/>
      </c>
      <c r="AO48" s="135" t="str">
        <f t="shared" si="15"/>
        <v/>
      </c>
      <c r="AQ48" s="135"/>
      <c r="AR48" s="135"/>
      <c r="AS48" s="183">
        <f t="shared" si="16"/>
        <v>0</v>
      </c>
      <c r="AT48" s="1323" t="s">
        <v>1083</v>
      </c>
      <c r="AU48" s="196">
        <f>COUNTIF($P$7:$P$116,56)+COUNTIF($U$7:$U$116,56)</f>
        <v>0</v>
      </c>
      <c r="AV48" s="1331">
        <v>56</v>
      </c>
      <c r="AW48" s="324"/>
      <c r="AX48" s="300"/>
      <c r="AY48" s="325"/>
      <c r="AZ48" s="325"/>
      <c r="BA48" s="300"/>
      <c r="BB48" s="300"/>
      <c r="BC48" s="300"/>
      <c r="BD48" s="300"/>
      <c r="BE48" s="300"/>
      <c r="BF48" s="300"/>
      <c r="BG48" s="300"/>
      <c r="BH48" s="300"/>
      <c r="BI48" s="300"/>
      <c r="BJ48" s="300"/>
    </row>
    <row r="49" spans="1:62" ht="14.25" customHeight="1">
      <c r="A49" s="135" t="str">
        <f t="shared" si="3"/>
        <v/>
      </c>
      <c r="B49" s="162" t="str">
        <f>名簿!P46</f>
        <v/>
      </c>
      <c r="C49" s="162"/>
      <c r="D49" s="931"/>
      <c r="E49" s="182">
        <f>名簿!E46</f>
        <v>0</v>
      </c>
      <c r="F49" s="697" t="str">
        <f>名簿!CM46</f>
        <v/>
      </c>
      <c r="G49" s="162" t="str">
        <f>名簿!Z46</f>
        <v/>
      </c>
      <c r="H49" s="675" t="str">
        <f>名簿!CM46</f>
        <v/>
      </c>
      <c r="I49" s="187" t="str">
        <f>名簿!Y46</f>
        <v/>
      </c>
      <c r="J49" s="190" t="str">
        <f>名簿!CN46</f>
        <v/>
      </c>
      <c r="K49" s="1040">
        <f>名簿!CP46</f>
        <v>0</v>
      </c>
      <c r="L49" s="750" t="str">
        <f>名簿!CU46</f>
        <v>00</v>
      </c>
      <c r="M49" s="162" t="str">
        <f>名簿!Q46</f>
        <v/>
      </c>
      <c r="N49" s="697">
        <f>名簿!D46</f>
        <v>0</v>
      </c>
      <c r="O49" s="368"/>
      <c r="P49" s="292" t="str">
        <f t="shared" si="4"/>
        <v/>
      </c>
      <c r="Q49" s="1282" t="str">
        <f>IF(O49="","",HLOOKUP(O49,名簿!$AH$3:$CH$118,44,FALSE))</f>
        <v/>
      </c>
      <c r="R49" s="1282" t="str">
        <f t="shared" si="5"/>
        <v/>
      </c>
      <c r="S49" s="1282" t="str">
        <f t="shared" si="6"/>
        <v/>
      </c>
      <c r="T49" s="368"/>
      <c r="U49" s="292" t="str">
        <f t="shared" si="7"/>
        <v/>
      </c>
      <c r="V49" s="669" t="str">
        <f>IF(T49="","",HLOOKUP(T49,名簿!$AH$3:$CH$118,44,FALSE))</f>
        <v/>
      </c>
      <c r="W49" s="769" t="str">
        <f t="shared" si="8"/>
        <v/>
      </c>
      <c r="X49" s="774" t="str">
        <f t="shared" si="9"/>
        <v/>
      </c>
      <c r="Y49" s="954"/>
      <c r="Z49" s="950" t="str">
        <f>IF(Y49="","",IF(I49=1,VLOOKUP(Y49,男子種目コード!$A$1:$B$33,2,FALSE),IF(I49=2,VLOOKUP(Y49,女子種目コード!$A$1:$B$27,2,FALSE))))</f>
        <v/>
      </c>
      <c r="AA49" s="339"/>
      <c r="AB49" s="338"/>
      <c r="AC49" s="646"/>
      <c r="AD49" s="647"/>
      <c r="AE49" s="773" t="str">
        <f t="shared" si="10"/>
        <v/>
      </c>
      <c r="AF49" s="774" t="str">
        <f t="shared" si="11"/>
        <v/>
      </c>
      <c r="AG49" s="648"/>
      <c r="AH49" s="649"/>
      <c r="AI49" s="650"/>
      <c r="AJ49" s="20"/>
      <c r="AK49" s="20"/>
      <c r="AM49" s="143"/>
      <c r="AN49" s="135" t="str">
        <f t="shared" si="14"/>
        <v/>
      </c>
      <c r="AO49" s="135" t="str">
        <f t="shared" si="15"/>
        <v/>
      </c>
      <c r="AQ49" s="135"/>
      <c r="AR49" s="135"/>
      <c r="AS49" s="183">
        <f t="shared" si="16"/>
        <v>0</v>
      </c>
      <c r="AT49" s="1323" t="s">
        <v>1084</v>
      </c>
      <c r="AU49" s="196">
        <f>COUNTIF($P$7:$P$116,57)+COUNTIF($U$7:$U$116,57)</f>
        <v>0</v>
      </c>
      <c r="AV49" s="1331">
        <v>57</v>
      </c>
      <c r="AW49" s="324"/>
      <c r="AX49" s="300"/>
      <c r="AY49" s="325"/>
      <c r="AZ49" s="325"/>
      <c r="BA49" s="300"/>
      <c r="BB49" s="300"/>
      <c r="BC49" s="300"/>
      <c r="BD49" s="300"/>
      <c r="BE49" s="300"/>
      <c r="BF49" s="300"/>
      <c r="BG49" s="300"/>
      <c r="BH49" s="300"/>
      <c r="BI49" s="300"/>
      <c r="BJ49" s="300"/>
    </row>
    <row r="50" spans="1:62" ht="14.25" customHeight="1">
      <c r="A50" s="135" t="str">
        <f t="shared" si="3"/>
        <v/>
      </c>
      <c r="B50" s="162" t="str">
        <f>名簿!P47</f>
        <v/>
      </c>
      <c r="C50" s="162"/>
      <c r="D50" s="931"/>
      <c r="E50" s="182">
        <f>名簿!E47</f>
        <v>0</v>
      </c>
      <c r="F50" s="697" t="str">
        <f>名簿!CM47</f>
        <v/>
      </c>
      <c r="G50" s="162" t="str">
        <f>名簿!Z47</f>
        <v/>
      </c>
      <c r="H50" s="675" t="str">
        <f>名簿!CM47</f>
        <v/>
      </c>
      <c r="I50" s="187" t="str">
        <f>名簿!Y47</f>
        <v/>
      </c>
      <c r="J50" s="190" t="str">
        <f>名簿!CN47</f>
        <v/>
      </c>
      <c r="K50" s="1040">
        <f>名簿!CP47</f>
        <v>0</v>
      </c>
      <c r="L50" s="750" t="str">
        <f>名簿!CU47</f>
        <v>00</v>
      </c>
      <c r="M50" s="162" t="str">
        <f>名簿!Q47</f>
        <v/>
      </c>
      <c r="N50" s="697">
        <f>名簿!D47</f>
        <v>0</v>
      </c>
      <c r="O50" s="368"/>
      <c r="P50" s="292" t="str">
        <f t="shared" si="4"/>
        <v/>
      </c>
      <c r="Q50" s="1282" t="str">
        <f>IF(O50="","",HLOOKUP(O50,名簿!$AH$3:$CH$118,45,FALSE))</f>
        <v/>
      </c>
      <c r="R50" s="1282" t="str">
        <f t="shared" si="5"/>
        <v/>
      </c>
      <c r="S50" s="1282" t="str">
        <f t="shared" si="6"/>
        <v/>
      </c>
      <c r="T50" s="368"/>
      <c r="U50" s="292" t="str">
        <f t="shared" si="7"/>
        <v/>
      </c>
      <c r="V50" s="669" t="str">
        <f>IF(T50="","",HLOOKUP(T50,名簿!$AH$3:$CH$118,45,FALSE))</f>
        <v/>
      </c>
      <c r="W50" s="769" t="str">
        <f t="shared" si="8"/>
        <v/>
      </c>
      <c r="X50" s="774" t="str">
        <f t="shared" si="9"/>
        <v/>
      </c>
      <c r="Y50" s="954"/>
      <c r="Z50" s="950" t="str">
        <f>IF(Y50="","",IF(I50=1,VLOOKUP(Y50,男子種目コード!$A$1:$B$33,2,FALSE),IF(I50=2,VLOOKUP(Y50,女子種目コード!$A$1:$B$27,2,FALSE))))</f>
        <v/>
      </c>
      <c r="AA50" s="339"/>
      <c r="AB50" s="338"/>
      <c r="AC50" s="646"/>
      <c r="AD50" s="647"/>
      <c r="AE50" s="773" t="str">
        <f t="shared" si="10"/>
        <v/>
      </c>
      <c r="AF50" s="774" t="str">
        <f t="shared" si="11"/>
        <v/>
      </c>
      <c r="AG50" s="648"/>
      <c r="AH50" s="649"/>
      <c r="AI50" s="650"/>
      <c r="AJ50" s="20"/>
      <c r="AK50" s="20"/>
      <c r="AM50" s="143"/>
      <c r="AN50" s="135" t="str">
        <f t="shared" si="14"/>
        <v/>
      </c>
      <c r="AO50" s="135" t="str">
        <f t="shared" si="15"/>
        <v/>
      </c>
      <c r="AQ50" s="135"/>
      <c r="AR50" s="135"/>
      <c r="AS50" s="183">
        <f t="shared" si="16"/>
        <v>0</v>
      </c>
      <c r="AT50" s="1323" t="s">
        <v>1085</v>
      </c>
      <c r="AU50" s="196">
        <f>COUNTIF($P$7:$P$116,58)+COUNTIF($U$7:$U$116,58)</f>
        <v>0</v>
      </c>
      <c r="AV50" s="1331">
        <v>58</v>
      </c>
      <c r="AW50" s="324"/>
      <c r="AX50" s="300"/>
      <c r="AY50" s="325"/>
      <c r="AZ50" s="325"/>
      <c r="BA50" s="300"/>
      <c r="BB50" s="300"/>
      <c r="BC50" s="300"/>
      <c r="BD50" s="300"/>
      <c r="BE50" s="300"/>
      <c r="BF50" s="300"/>
      <c r="BG50" s="300"/>
      <c r="BH50" s="300"/>
      <c r="BI50" s="300"/>
      <c r="BJ50" s="300"/>
    </row>
    <row r="51" spans="1:62" ht="14.25" customHeight="1">
      <c r="A51" s="135" t="str">
        <f t="shared" si="3"/>
        <v/>
      </c>
      <c r="B51" s="162" t="str">
        <f>名簿!P48</f>
        <v/>
      </c>
      <c r="C51" s="162"/>
      <c r="D51" s="931"/>
      <c r="E51" s="182">
        <f>名簿!E48</f>
        <v>0</v>
      </c>
      <c r="F51" s="697" t="str">
        <f>名簿!CM48</f>
        <v/>
      </c>
      <c r="G51" s="162" t="str">
        <f>名簿!Z48</f>
        <v/>
      </c>
      <c r="H51" s="675" t="str">
        <f>名簿!CM48</f>
        <v/>
      </c>
      <c r="I51" s="187" t="str">
        <f>名簿!Y48</f>
        <v/>
      </c>
      <c r="J51" s="190" t="str">
        <f>名簿!CN48</f>
        <v/>
      </c>
      <c r="K51" s="1040">
        <f>名簿!CP48</f>
        <v>0</v>
      </c>
      <c r="L51" s="750" t="str">
        <f>名簿!CU48</f>
        <v>00</v>
      </c>
      <c r="M51" s="162" t="str">
        <f>名簿!Q48</f>
        <v/>
      </c>
      <c r="N51" s="697">
        <f>名簿!D48</f>
        <v>0</v>
      </c>
      <c r="O51" s="368"/>
      <c r="P51" s="292" t="str">
        <f t="shared" si="4"/>
        <v/>
      </c>
      <c r="Q51" s="1282" t="str">
        <f>IF(O51="","",HLOOKUP(O51,名簿!$AH$3:$CH$118,46,FALSE))</f>
        <v/>
      </c>
      <c r="R51" s="1282" t="str">
        <f t="shared" si="5"/>
        <v/>
      </c>
      <c r="S51" s="1282" t="str">
        <f t="shared" si="6"/>
        <v/>
      </c>
      <c r="T51" s="368"/>
      <c r="U51" s="292" t="str">
        <f t="shared" si="7"/>
        <v/>
      </c>
      <c r="V51" s="669" t="str">
        <f>IF(T51="","",HLOOKUP(T51,名簿!$AH$3:$CH$118,46,FALSE))</f>
        <v/>
      </c>
      <c r="W51" s="769" t="str">
        <f t="shared" si="8"/>
        <v/>
      </c>
      <c r="X51" s="774" t="str">
        <f t="shared" si="9"/>
        <v/>
      </c>
      <c r="Y51" s="954"/>
      <c r="Z51" s="950" t="str">
        <f>IF(Y51="","",IF(I51=1,VLOOKUP(Y51,男子種目コード!$A$1:$B$33,2,FALSE),IF(I51=2,VLOOKUP(Y51,女子種目コード!$A$1:$B$27,2,FALSE))))</f>
        <v/>
      </c>
      <c r="AA51" s="339"/>
      <c r="AB51" s="338"/>
      <c r="AC51" s="646"/>
      <c r="AD51" s="647"/>
      <c r="AE51" s="773" t="str">
        <f t="shared" si="10"/>
        <v/>
      </c>
      <c r="AF51" s="774" t="str">
        <f t="shared" si="11"/>
        <v/>
      </c>
      <c r="AG51" s="648"/>
      <c r="AH51" s="649"/>
      <c r="AI51" s="650"/>
      <c r="AJ51" s="20"/>
      <c r="AK51" s="20"/>
      <c r="AM51" s="143"/>
      <c r="AN51" s="135" t="str">
        <f t="shared" si="14"/>
        <v/>
      </c>
      <c r="AO51" s="135" t="str">
        <f t="shared" si="15"/>
        <v/>
      </c>
      <c r="AQ51" s="135"/>
      <c r="AR51" s="135"/>
      <c r="AS51" s="183">
        <f t="shared" si="16"/>
        <v>0</v>
      </c>
      <c r="AT51" s="1323" t="s">
        <v>1118</v>
      </c>
      <c r="AU51" s="196">
        <f>COUNTIF($P$7:$P$116,59)+COUNTIF($U$7:$U$116,59)</f>
        <v>0</v>
      </c>
      <c r="AV51" s="1331">
        <v>59</v>
      </c>
      <c r="AW51" s="324"/>
      <c r="AX51" s="300"/>
      <c r="AY51" s="325"/>
      <c r="AZ51" s="325"/>
      <c r="BA51" s="300"/>
      <c r="BB51" s="300"/>
      <c r="BC51" s="300"/>
      <c r="BD51" s="300"/>
      <c r="BE51" s="300"/>
      <c r="BF51" s="300"/>
      <c r="BG51" s="300"/>
      <c r="BH51" s="300"/>
      <c r="BI51" s="300"/>
      <c r="BJ51" s="300"/>
    </row>
    <row r="52" spans="1:62" ht="14.25" customHeight="1">
      <c r="A52" s="135" t="str">
        <f t="shared" si="3"/>
        <v/>
      </c>
      <c r="B52" s="162" t="str">
        <f>名簿!P49</f>
        <v/>
      </c>
      <c r="C52" s="162"/>
      <c r="D52" s="931"/>
      <c r="E52" s="182">
        <f>名簿!E49</f>
        <v>0</v>
      </c>
      <c r="F52" s="697" t="str">
        <f>名簿!CM49</f>
        <v/>
      </c>
      <c r="G52" s="162" t="str">
        <f>名簿!Z49</f>
        <v/>
      </c>
      <c r="H52" s="675" t="str">
        <f>名簿!CM49</f>
        <v/>
      </c>
      <c r="I52" s="187" t="str">
        <f>名簿!Y49</f>
        <v/>
      </c>
      <c r="J52" s="190" t="str">
        <f>名簿!CN49</f>
        <v/>
      </c>
      <c r="K52" s="1040">
        <f>名簿!CP49</f>
        <v>0</v>
      </c>
      <c r="L52" s="750" t="str">
        <f>名簿!CU49</f>
        <v>00</v>
      </c>
      <c r="M52" s="162" t="str">
        <f>名簿!Q49</f>
        <v/>
      </c>
      <c r="N52" s="697">
        <f>名簿!D49</f>
        <v>0</v>
      </c>
      <c r="O52" s="368"/>
      <c r="P52" s="292" t="str">
        <f t="shared" si="4"/>
        <v/>
      </c>
      <c r="Q52" s="1282" t="str">
        <f>IF(O52="","",HLOOKUP(O52,名簿!$AH$3:$CH$118,47,FALSE))</f>
        <v/>
      </c>
      <c r="R52" s="1282" t="str">
        <f t="shared" si="5"/>
        <v/>
      </c>
      <c r="S52" s="1282" t="str">
        <f t="shared" si="6"/>
        <v/>
      </c>
      <c r="T52" s="368"/>
      <c r="U52" s="292" t="str">
        <f t="shared" si="7"/>
        <v/>
      </c>
      <c r="V52" s="669" t="str">
        <f>IF(T52="","",HLOOKUP(T52,名簿!$AH$3:$CH$118,47,FALSE))</f>
        <v/>
      </c>
      <c r="W52" s="769" t="str">
        <f t="shared" si="8"/>
        <v/>
      </c>
      <c r="X52" s="774" t="str">
        <f t="shared" si="9"/>
        <v/>
      </c>
      <c r="Y52" s="954"/>
      <c r="Z52" s="950" t="str">
        <f>IF(Y52="","",IF(I52=1,VLOOKUP(Y52,男子種目コード!$A$1:$B$33,2,FALSE),IF(I52=2,VLOOKUP(Y52,女子種目コード!$A$1:$B$27,2,FALSE))))</f>
        <v/>
      </c>
      <c r="AA52" s="339"/>
      <c r="AB52" s="338"/>
      <c r="AC52" s="646"/>
      <c r="AD52" s="647"/>
      <c r="AE52" s="773" t="str">
        <f t="shared" si="10"/>
        <v/>
      </c>
      <c r="AF52" s="774" t="str">
        <f t="shared" si="11"/>
        <v/>
      </c>
      <c r="AG52" s="648"/>
      <c r="AH52" s="649"/>
      <c r="AI52" s="650"/>
      <c r="AJ52" s="20"/>
      <c r="AK52" s="20"/>
      <c r="AM52" s="143"/>
      <c r="AN52" s="135" t="str">
        <f t="shared" si="14"/>
        <v/>
      </c>
      <c r="AO52" s="135" t="str">
        <f t="shared" si="15"/>
        <v/>
      </c>
      <c r="AQ52" s="135"/>
      <c r="AR52" s="135"/>
      <c r="AS52" s="183">
        <f t="shared" si="16"/>
        <v>0</v>
      </c>
      <c r="AT52" s="1323" t="s">
        <v>1120</v>
      </c>
      <c r="AU52" s="196">
        <f>COUNTIF($P$7:$P$116,60)+COUNTIF($U$7:$U$116,60)</f>
        <v>0</v>
      </c>
      <c r="AV52" s="1331">
        <v>60</v>
      </c>
      <c r="AW52" s="324"/>
      <c r="AX52" s="300"/>
      <c r="AY52" s="325"/>
      <c r="AZ52" s="325"/>
      <c r="BA52" s="300"/>
      <c r="BB52" s="300"/>
      <c r="BC52" s="300"/>
      <c r="BD52" s="300"/>
      <c r="BE52" s="300"/>
      <c r="BF52" s="300"/>
      <c r="BG52" s="300"/>
      <c r="BH52" s="300"/>
      <c r="BI52" s="300"/>
      <c r="BJ52" s="300"/>
    </row>
    <row r="53" spans="1:62" ht="14.25" customHeight="1">
      <c r="A53" s="135" t="str">
        <f t="shared" si="3"/>
        <v/>
      </c>
      <c r="B53" s="162" t="str">
        <f>名簿!P50</f>
        <v/>
      </c>
      <c r="C53" s="162"/>
      <c r="D53" s="931"/>
      <c r="E53" s="182">
        <f>名簿!E50</f>
        <v>0</v>
      </c>
      <c r="F53" s="697" t="str">
        <f>名簿!CM50</f>
        <v/>
      </c>
      <c r="G53" s="162" t="str">
        <f>名簿!Z50</f>
        <v/>
      </c>
      <c r="H53" s="675" t="str">
        <f>名簿!CM50</f>
        <v/>
      </c>
      <c r="I53" s="187" t="str">
        <f>名簿!Y50</f>
        <v/>
      </c>
      <c r="J53" s="190" t="str">
        <f>名簿!CN50</f>
        <v/>
      </c>
      <c r="K53" s="1040">
        <f>名簿!CP50</f>
        <v>0</v>
      </c>
      <c r="L53" s="750" t="str">
        <f>名簿!CU50</f>
        <v>00</v>
      </c>
      <c r="M53" s="162" t="str">
        <f>名簿!Q50</f>
        <v/>
      </c>
      <c r="N53" s="697">
        <f>名簿!D50</f>
        <v>0</v>
      </c>
      <c r="O53" s="368"/>
      <c r="P53" s="292" t="str">
        <f t="shared" si="4"/>
        <v/>
      </c>
      <c r="Q53" s="1282" t="str">
        <f>IF(O53="","",HLOOKUP(O53,名簿!$AH$3:$CH$118,48,FALSE))</f>
        <v/>
      </c>
      <c r="R53" s="1282" t="str">
        <f t="shared" si="5"/>
        <v/>
      </c>
      <c r="S53" s="1282" t="str">
        <f t="shared" si="6"/>
        <v/>
      </c>
      <c r="T53" s="368"/>
      <c r="U53" s="292" t="str">
        <f t="shared" si="7"/>
        <v/>
      </c>
      <c r="V53" s="669" t="str">
        <f>IF(T53="","",HLOOKUP(T53,名簿!$AH$3:$CH$118,48,FALSE))</f>
        <v/>
      </c>
      <c r="W53" s="769" t="str">
        <f t="shared" si="8"/>
        <v/>
      </c>
      <c r="X53" s="774" t="str">
        <f t="shared" si="9"/>
        <v/>
      </c>
      <c r="Y53" s="954"/>
      <c r="Z53" s="950" t="str">
        <f>IF(Y53="","",IF(I53=1,VLOOKUP(Y53,男子種目コード!$A$1:$B$33,2,FALSE),IF(I53=2,VLOOKUP(Y53,女子種目コード!$A$1:$B$27,2,FALSE))))</f>
        <v/>
      </c>
      <c r="AA53" s="339"/>
      <c r="AB53" s="338"/>
      <c r="AC53" s="646"/>
      <c r="AD53" s="647"/>
      <c r="AE53" s="773" t="str">
        <f t="shared" si="10"/>
        <v/>
      </c>
      <c r="AF53" s="774" t="str">
        <f t="shared" si="11"/>
        <v/>
      </c>
      <c r="AG53" s="648"/>
      <c r="AH53" s="649"/>
      <c r="AI53" s="650"/>
      <c r="AJ53" s="20"/>
      <c r="AK53" s="20"/>
      <c r="AM53" s="143"/>
      <c r="AN53" s="135" t="str">
        <f t="shared" si="14"/>
        <v/>
      </c>
      <c r="AO53" s="135" t="str">
        <f t="shared" si="15"/>
        <v/>
      </c>
      <c r="AQ53" s="135"/>
      <c r="AR53" s="135"/>
      <c r="AS53" s="183">
        <f t="shared" si="16"/>
        <v>0</v>
      </c>
      <c r="AT53" s="1323" t="s">
        <v>1159</v>
      </c>
      <c r="AU53" s="196">
        <f>COUNTIF($P$7:$P$116,61)+COUNTIF($U$7:$U$116,61)</f>
        <v>0</v>
      </c>
      <c r="AV53" s="1331">
        <v>61</v>
      </c>
      <c r="AW53" s="324"/>
      <c r="AX53" s="300"/>
      <c r="AY53" s="325"/>
      <c r="AZ53" s="325"/>
      <c r="BA53" s="300"/>
      <c r="BB53" s="300"/>
      <c r="BC53" s="300"/>
      <c r="BD53" s="300"/>
      <c r="BE53" s="300"/>
      <c r="BF53" s="300"/>
      <c r="BG53" s="300"/>
      <c r="BH53" s="300"/>
      <c r="BI53" s="300"/>
      <c r="BJ53" s="300"/>
    </row>
    <row r="54" spans="1:62" ht="14.25" customHeight="1">
      <c r="A54" s="135" t="str">
        <f t="shared" si="3"/>
        <v/>
      </c>
      <c r="B54" s="162" t="str">
        <f>名簿!P51</f>
        <v/>
      </c>
      <c r="C54" s="162"/>
      <c r="D54" s="931"/>
      <c r="E54" s="182">
        <f>名簿!E51</f>
        <v>0</v>
      </c>
      <c r="F54" s="697" t="str">
        <f>名簿!CM51</f>
        <v/>
      </c>
      <c r="G54" s="162" t="str">
        <f>名簿!Z51</f>
        <v/>
      </c>
      <c r="H54" s="675" t="str">
        <f>名簿!CM51</f>
        <v/>
      </c>
      <c r="I54" s="187" t="str">
        <f>名簿!Y51</f>
        <v/>
      </c>
      <c r="J54" s="190" t="str">
        <f>名簿!CN51</f>
        <v/>
      </c>
      <c r="K54" s="1040">
        <f>名簿!CP51</f>
        <v>0</v>
      </c>
      <c r="L54" s="750" t="str">
        <f>名簿!CU51</f>
        <v>00</v>
      </c>
      <c r="M54" s="162" t="str">
        <f>名簿!Q51</f>
        <v/>
      </c>
      <c r="N54" s="697">
        <f>名簿!D51</f>
        <v>0</v>
      </c>
      <c r="O54" s="368"/>
      <c r="P54" s="292" t="str">
        <f t="shared" si="4"/>
        <v/>
      </c>
      <c r="Q54" s="1282" t="str">
        <f>IF(O54="","",HLOOKUP(O54,名簿!$AH$3:$CH$118,49,FALSE))</f>
        <v/>
      </c>
      <c r="R54" s="1282" t="str">
        <f t="shared" si="5"/>
        <v/>
      </c>
      <c r="S54" s="1282" t="str">
        <f t="shared" si="6"/>
        <v/>
      </c>
      <c r="T54" s="368"/>
      <c r="U54" s="292" t="str">
        <f t="shared" si="7"/>
        <v/>
      </c>
      <c r="V54" s="669" t="str">
        <f>IF(T54="","",HLOOKUP(T54,名簿!$AH$3:$CH$118,49,FALSE))</f>
        <v/>
      </c>
      <c r="W54" s="769" t="str">
        <f t="shared" si="8"/>
        <v/>
      </c>
      <c r="X54" s="774" t="str">
        <f t="shared" si="9"/>
        <v/>
      </c>
      <c r="Y54" s="954"/>
      <c r="Z54" s="950" t="str">
        <f>IF(Y54="","",IF(I54=1,VLOOKUP(Y54,男子種目コード!$A$1:$B$33,2,FALSE),IF(I54=2,VLOOKUP(Y54,女子種目コード!$A$1:$B$27,2,FALSE))))</f>
        <v/>
      </c>
      <c r="AA54" s="339"/>
      <c r="AB54" s="338"/>
      <c r="AC54" s="646"/>
      <c r="AD54" s="647"/>
      <c r="AE54" s="773" t="str">
        <f t="shared" si="10"/>
        <v/>
      </c>
      <c r="AF54" s="774" t="str">
        <f t="shared" si="11"/>
        <v/>
      </c>
      <c r="AG54" s="648"/>
      <c r="AH54" s="649"/>
      <c r="AI54" s="650"/>
      <c r="AJ54" s="20"/>
      <c r="AK54" s="20"/>
      <c r="AM54" s="143"/>
      <c r="AN54" s="135" t="str">
        <f t="shared" si="14"/>
        <v/>
      </c>
      <c r="AO54" s="135" t="str">
        <f t="shared" si="15"/>
        <v/>
      </c>
      <c r="AQ54" s="135"/>
      <c r="AR54" s="135"/>
      <c r="AS54" s="183">
        <f t="shared" si="16"/>
        <v>0</v>
      </c>
      <c r="AT54" s="1323" t="s">
        <v>1160</v>
      </c>
      <c r="AU54" s="196">
        <f>COUNTIF($P$7:$P$116,62)+COUNTIF($U$7:$U$116,62)</f>
        <v>0</v>
      </c>
      <c r="AV54" s="1331">
        <v>62</v>
      </c>
      <c r="AW54" s="324"/>
      <c r="AX54" s="300"/>
      <c r="AY54" s="325"/>
      <c r="AZ54" s="325"/>
      <c r="BA54" s="300"/>
      <c r="BB54" s="300"/>
      <c r="BC54" s="300"/>
      <c r="BD54" s="300"/>
      <c r="BE54" s="300"/>
      <c r="BF54" s="300"/>
      <c r="BG54" s="300"/>
      <c r="BH54" s="300"/>
      <c r="BI54" s="300"/>
      <c r="BJ54" s="300"/>
    </row>
    <row r="55" spans="1:62" ht="14.25" customHeight="1">
      <c r="A55" s="135" t="str">
        <f t="shared" si="3"/>
        <v/>
      </c>
      <c r="B55" s="162" t="str">
        <f>名簿!P52</f>
        <v/>
      </c>
      <c r="C55" s="162"/>
      <c r="D55" s="931"/>
      <c r="E55" s="182">
        <f>名簿!E52</f>
        <v>0</v>
      </c>
      <c r="F55" s="697" t="str">
        <f>名簿!CM52</f>
        <v/>
      </c>
      <c r="G55" s="162" t="str">
        <f>名簿!Z52</f>
        <v/>
      </c>
      <c r="H55" s="675" t="str">
        <f>名簿!CM52</f>
        <v/>
      </c>
      <c r="I55" s="187" t="str">
        <f>名簿!Y52</f>
        <v/>
      </c>
      <c r="J55" s="190" t="str">
        <f>名簿!CN52</f>
        <v/>
      </c>
      <c r="K55" s="1040">
        <f>名簿!CP52</f>
        <v>0</v>
      </c>
      <c r="L55" s="750" t="str">
        <f>名簿!CU52</f>
        <v>00</v>
      </c>
      <c r="M55" s="162" t="str">
        <f>名簿!Q52</f>
        <v/>
      </c>
      <c r="N55" s="697">
        <f>名簿!D52</f>
        <v>0</v>
      </c>
      <c r="O55" s="368"/>
      <c r="P55" s="292" t="str">
        <f t="shared" si="4"/>
        <v/>
      </c>
      <c r="Q55" s="1282" t="str">
        <f>IF(O55="","",HLOOKUP(O55,名簿!$AH$3:$CH$118,50,FALSE))</f>
        <v/>
      </c>
      <c r="R55" s="1282" t="str">
        <f t="shared" si="5"/>
        <v/>
      </c>
      <c r="S55" s="1282" t="str">
        <f t="shared" si="6"/>
        <v/>
      </c>
      <c r="T55" s="368"/>
      <c r="U55" s="292" t="str">
        <f t="shared" si="7"/>
        <v/>
      </c>
      <c r="V55" s="669" t="str">
        <f>IF(T55="","",HLOOKUP(T55,名簿!$AH$3:$CH$118,50,FALSE))</f>
        <v/>
      </c>
      <c r="W55" s="769" t="str">
        <f t="shared" si="8"/>
        <v/>
      </c>
      <c r="X55" s="774" t="str">
        <f t="shared" si="9"/>
        <v/>
      </c>
      <c r="Y55" s="954"/>
      <c r="Z55" s="950" t="str">
        <f>IF(Y55="","",IF(I55=1,VLOOKUP(Y55,男子種目コード!$A$1:$B$33,2,FALSE),IF(I55=2,VLOOKUP(Y55,女子種目コード!$A$1:$B$27,2,FALSE))))</f>
        <v/>
      </c>
      <c r="AA55" s="339"/>
      <c r="AB55" s="338"/>
      <c r="AC55" s="646"/>
      <c r="AD55" s="647"/>
      <c r="AE55" s="773" t="str">
        <f t="shared" si="10"/>
        <v/>
      </c>
      <c r="AF55" s="774" t="str">
        <f t="shared" si="11"/>
        <v/>
      </c>
      <c r="AG55" s="648"/>
      <c r="AH55" s="649"/>
      <c r="AI55" s="650"/>
      <c r="AJ55" s="20"/>
      <c r="AK55" s="20"/>
      <c r="AM55" s="143"/>
      <c r="AN55" s="135" t="str">
        <f t="shared" si="14"/>
        <v/>
      </c>
      <c r="AO55" s="135" t="str">
        <f t="shared" si="15"/>
        <v/>
      </c>
      <c r="AQ55" s="135"/>
      <c r="AR55" s="135"/>
      <c r="AS55" s="183">
        <f t="shared" si="16"/>
        <v>0</v>
      </c>
      <c r="AT55" s="1324" t="s">
        <v>1090</v>
      </c>
      <c r="AU55" s="196">
        <f>COUNTIF($P$7:$P$116,64)+COUNTIF($U$7:$U$116,64)</f>
        <v>0</v>
      </c>
      <c r="AV55" s="1331">
        <v>64</v>
      </c>
      <c r="AW55" s="324"/>
      <c r="AX55" s="300"/>
      <c r="AY55" s="325"/>
      <c r="AZ55" s="325"/>
      <c r="BA55" s="300"/>
      <c r="BB55" s="300"/>
      <c r="BC55" s="300"/>
      <c r="BD55" s="300"/>
      <c r="BE55" s="300"/>
      <c r="BF55" s="300"/>
      <c r="BG55" s="300"/>
      <c r="BH55" s="300"/>
      <c r="BI55" s="300"/>
      <c r="BJ55" s="300"/>
    </row>
    <row r="56" spans="1:62" ht="14.25" customHeight="1" thickBot="1">
      <c r="A56" s="135" t="str">
        <f t="shared" si="3"/>
        <v/>
      </c>
      <c r="B56" s="162" t="str">
        <f>名簿!P53</f>
        <v/>
      </c>
      <c r="C56" s="162"/>
      <c r="D56" s="931"/>
      <c r="E56" s="182">
        <f>名簿!E53</f>
        <v>0</v>
      </c>
      <c r="F56" s="697" t="str">
        <f>名簿!CM53</f>
        <v/>
      </c>
      <c r="G56" s="162" t="str">
        <f>名簿!Z53</f>
        <v/>
      </c>
      <c r="H56" s="675" t="str">
        <f>名簿!CM53</f>
        <v/>
      </c>
      <c r="I56" s="187" t="str">
        <f>名簿!Y53</f>
        <v/>
      </c>
      <c r="J56" s="190" t="str">
        <f>名簿!CN53</f>
        <v/>
      </c>
      <c r="K56" s="1040">
        <f>名簿!CP53</f>
        <v>0</v>
      </c>
      <c r="L56" s="750" t="str">
        <f>名簿!CU53</f>
        <v>00</v>
      </c>
      <c r="M56" s="162" t="str">
        <f>名簿!Q53</f>
        <v/>
      </c>
      <c r="N56" s="697">
        <f>名簿!D53</f>
        <v>0</v>
      </c>
      <c r="O56" s="368"/>
      <c r="P56" s="292" t="str">
        <f t="shared" si="4"/>
        <v/>
      </c>
      <c r="Q56" s="1282" t="str">
        <f>IF(O56="","",HLOOKUP(O56,名簿!$AH$3:$CH$118,51,FALSE))</f>
        <v/>
      </c>
      <c r="R56" s="1282" t="str">
        <f t="shared" si="5"/>
        <v/>
      </c>
      <c r="S56" s="1282" t="str">
        <f t="shared" si="6"/>
        <v/>
      </c>
      <c r="T56" s="368"/>
      <c r="U56" s="292" t="str">
        <f t="shared" si="7"/>
        <v/>
      </c>
      <c r="V56" s="669" t="str">
        <f>IF(T56="","",HLOOKUP(T56,名簿!$AH$3:$CH$118,51,FALSE))</f>
        <v/>
      </c>
      <c r="W56" s="769" t="str">
        <f t="shared" si="8"/>
        <v/>
      </c>
      <c r="X56" s="774" t="str">
        <f t="shared" si="9"/>
        <v/>
      </c>
      <c r="Y56" s="954"/>
      <c r="Z56" s="950" t="str">
        <f>IF(Y56="","",IF(I56=1,VLOOKUP(Y56,男子種目コード!$A$1:$B$33,2,FALSE),IF(I56=2,VLOOKUP(Y56,女子種目コード!$A$1:$B$27,2,FALSE))))</f>
        <v/>
      </c>
      <c r="AA56" s="339"/>
      <c r="AB56" s="338"/>
      <c r="AC56" s="646"/>
      <c r="AD56" s="647"/>
      <c r="AE56" s="773" t="str">
        <f t="shared" si="10"/>
        <v/>
      </c>
      <c r="AF56" s="774" t="str">
        <f t="shared" si="11"/>
        <v/>
      </c>
      <c r="AG56" s="648"/>
      <c r="AH56" s="649"/>
      <c r="AI56" s="650"/>
      <c r="AJ56" s="20"/>
      <c r="AK56" s="20"/>
      <c r="AM56" s="143"/>
      <c r="AN56" s="135" t="str">
        <f t="shared" si="14"/>
        <v/>
      </c>
      <c r="AO56" s="135" t="str">
        <f t="shared" si="15"/>
        <v/>
      </c>
      <c r="AQ56" s="135"/>
      <c r="AR56" s="135"/>
      <c r="AS56" s="183">
        <f t="shared" si="16"/>
        <v>0</v>
      </c>
      <c r="AT56" s="1323" t="s">
        <v>1166</v>
      </c>
      <c r="AU56" s="200">
        <f>COUNTIF($P$7:$P$116,66)+COUNTIF($U$7:$U$116,66)</f>
        <v>0</v>
      </c>
      <c r="AV56" s="1331">
        <v>66</v>
      </c>
      <c r="AW56" s="324"/>
      <c r="AX56" s="300"/>
      <c r="AY56" s="325"/>
      <c r="AZ56" s="325"/>
      <c r="BA56" s="300"/>
      <c r="BB56" s="300"/>
      <c r="BC56" s="300"/>
      <c r="BD56" s="300"/>
      <c r="BE56" s="300"/>
      <c r="BF56" s="300"/>
      <c r="BG56" s="300"/>
      <c r="BH56" s="300"/>
      <c r="BI56" s="300"/>
      <c r="BJ56" s="300"/>
    </row>
    <row r="57" spans="1:62" ht="14.25" customHeight="1" thickBot="1">
      <c r="A57" s="135" t="str">
        <f t="shared" si="3"/>
        <v/>
      </c>
      <c r="B57" s="162" t="str">
        <f>名簿!P54</f>
        <v/>
      </c>
      <c r="C57" s="162"/>
      <c r="D57" s="931"/>
      <c r="E57" s="182">
        <f>名簿!E54</f>
        <v>0</v>
      </c>
      <c r="F57" s="697" t="str">
        <f>名簿!CM54</f>
        <v/>
      </c>
      <c r="G57" s="162" t="str">
        <f>名簿!Z54</f>
        <v/>
      </c>
      <c r="H57" s="675" t="str">
        <f>名簿!CM54</f>
        <v/>
      </c>
      <c r="I57" s="187" t="str">
        <f>名簿!Y54</f>
        <v/>
      </c>
      <c r="J57" s="190" t="str">
        <f>名簿!CN54</f>
        <v/>
      </c>
      <c r="K57" s="1040">
        <f>名簿!CP54</f>
        <v>0</v>
      </c>
      <c r="L57" s="750" t="str">
        <f>名簿!CU54</f>
        <v>00</v>
      </c>
      <c r="M57" s="162" t="str">
        <f>名簿!Q54</f>
        <v/>
      </c>
      <c r="N57" s="697">
        <f>名簿!D54</f>
        <v>0</v>
      </c>
      <c r="O57" s="368"/>
      <c r="P57" s="292" t="str">
        <f t="shared" si="4"/>
        <v/>
      </c>
      <c r="Q57" s="1282" t="str">
        <f>IF(O57="","",HLOOKUP(O57,名簿!$AH$3:$CH$118,52,FALSE))</f>
        <v/>
      </c>
      <c r="R57" s="1282" t="str">
        <f t="shared" si="5"/>
        <v/>
      </c>
      <c r="S57" s="1282" t="str">
        <f t="shared" si="6"/>
        <v/>
      </c>
      <c r="T57" s="368"/>
      <c r="U57" s="292" t="str">
        <f t="shared" si="7"/>
        <v/>
      </c>
      <c r="V57" s="669" t="str">
        <f>IF(T57="","",HLOOKUP(T57,名簿!$AH$3:$CH$118,52,FALSE))</f>
        <v/>
      </c>
      <c r="W57" s="769" t="str">
        <f t="shared" si="8"/>
        <v/>
      </c>
      <c r="X57" s="774" t="str">
        <f t="shared" si="9"/>
        <v/>
      </c>
      <c r="Y57" s="954"/>
      <c r="Z57" s="950" t="str">
        <f>IF(Y57="","",IF(I57=1,VLOOKUP(Y57,男子種目コード!$A$1:$B$33,2,FALSE),IF(I57=2,VLOOKUP(Y57,女子種目コード!$A$1:$B$27,2,FALSE))))</f>
        <v/>
      </c>
      <c r="AA57" s="339"/>
      <c r="AB57" s="338"/>
      <c r="AC57" s="646"/>
      <c r="AD57" s="647"/>
      <c r="AE57" s="773" t="str">
        <f t="shared" si="10"/>
        <v/>
      </c>
      <c r="AF57" s="774" t="str">
        <f t="shared" si="11"/>
        <v/>
      </c>
      <c r="AG57" s="648"/>
      <c r="AH57" s="649"/>
      <c r="AI57" s="650"/>
      <c r="AJ57" s="20"/>
      <c r="AK57" s="20"/>
      <c r="AM57" s="143"/>
      <c r="AN57" s="135" t="str">
        <f t="shared" si="14"/>
        <v/>
      </c>
      <c r="AO57" s="135" t="str">
        <f t="shared" si="15"/>
        <v/>
      </c>
      <c r="AQ57" s="135"/>
      <c r="AR57" s="135"/>
      <c r="AS57" s="183">
        <f t="shared" si="16"/>
        <v>0</v>
      </c>
      <c r="AT57" s="201" t="s">
        <v>450</v>
      </c>
      <c r="AU57" s="202">
        <f>SUM(AU36:AU56)</f>
        <v>0</v>
      </c>
      <c r="AV57" s="324"/>
      <c r="AW57" s="324"/>
      <c r="AX57" s="300"/>
      <c r="AY57" s="325"/>
      <c r="AZ57" s="325"/>
      <c r="BA57" s="300"/>
      <c r="BB57" s="300"/>
      <c r="BC57" s="300"/>
      <c r="BD57" s="300"/>
      <c r="BE57" s="300"/>
      <c r="BF57" s="300"/>
      <c r="BG57" s="300"/>
      <c r="BH57" s="300"/>
      <c r="BI57" s="300"/>
      <c r="BJ57" s="300"/>
    </row>
    <row r="58" spans="1:62" ht="14.25" customHeight="1">
      <c r="A58" s="135" t="str">
        <f t="shared" si="3"/>
        <v/>
      </c>
      <c r="B58" s="162" t="str">
        <f>名簿!P55</f>
        <v/>
      </c>
      <c r="C58" s="162"/>
      <c r="D58" s="931"/>
      <c r="E58" s="182">
        <f>名簿!E55</f>
        <v>0</v>
      </c>
      <c r="F58" s="697" t="str">
        <f>名簿!CM55</f>
        <v/>
      </c>
      <c r="G58" s="162" t="str">
        <f>名簿!Z55</f>
        <v/>
      </c>
      <c r="H58" s="675" t="str">
        <f>名簿!CM55</f>
        <v/>
      </c>
      <c r="I58" s="187" t="str">
        <f>名簿!Y55</f>
        <v/>
      </c>
      <c r="J58" s="190" t="str">
        <f>名簿!CN55</f>
        <v/>
      </c>
      <c r="K58" s="1040">
        <f>名簿!CP55</f>
        <v>0</v>
      </c>
      <c r="L58" s="750" t="str">
        <f>名簿!CU55</f>
        <v>00</v>
      </c>
      <c r="M58" s="162" t="str">
        <f>名簿!Q55</f>
        <v/>
      </c>
      <c r="N58" s="697">
        <f>名簿!D55</f>
        <v>0</v>
      </c>
      <c r="O58" s="368"/>
      <c r="P58" s="292" t="str">
        <f t="shared" si="4"/>
        <v/>
      </c>
      <c r="Q58" s="1282" t="str">
        <f>IF(O58="","",HLOOKUP(O58,名簿!$AH$3:$CH$118,53,FALSE))</f>
        <v/>
      </c>
      <c r="R58" s="1282" t="str">
        <f t="shared" si="5"/>
        <v/>
      </c>
      <c r="S58" s="1282" t="str">
        <f t="shared" si="6"/>
        <v/>
      </c>
      <c r="T58" s="368"/>
      <c r="U58" s="292" t="str">
        <f t="shared" si="7"/>
        <v/>
      </c>
      <c r="V58" s="669" t="str">
        <f>IF(T58="","",HLOOKUP(T58,名簿!$AH$3:$CH$118,53,FALSE))</f>
        <v/>
      </c>
      <c r="W58" s="769" t="str">
        <f t="shared" si="8"/>
        <v/>
      </c>
      <c r="X58" s="774" t="str">
        <f t="shared" si="9"/>
        <v/>
      </c>
      <c r="Y58" s="954"/>
      <c r="Z58" s="950" t="str">
        <f>IF(Y58="","",IF(I58=1,VLOOKUP(Y58,男子種目コード!$A$1:$B$33,2,FALSE),IF(I58=2,VLOOKUP(Y58,女子種目コード!$A$1:$B$27,2,FALSE))))</f>
        <v/>
      </c>
      <c r="AA58" s="339"/>
      <c r="AB58" s="338"/>
      <c r="AC58" s="646"/>
      <c r="AD58" s="647"/>
      <c r="AE58" s="773" t="str">
        <f t="shared" si="10"/>
        <v/>
      </c>
      <c r="AF58" s="774" t="str">
        <f t="shared" si="11"/>
        <v/>
      </c>
      <c r="AG58" s="648"/>
      <c r="AH58" s="649"/>
      <c r="AI58" s="650"/>
      <c r="AJ58" s="20"/>
      <c r="AK58" s="20"/>
      <c r="AM58" s="143"/>
      <c r="AN58" s="135" t="str">
        <f t="shared" si="14"/>
        <v/>
      </c>
      <c r="AO58" s="135" t="str">
        <f t="shared" si="15"/>
        <v/>
      </c>
      <c r="AQ58" s="135"/>
      <c r="AR58" s="135"/>
      <c r="AS58" s="183">
        <f t="shared" si="16"/>
        <v>0</v>
      </c>
      <c r="AT58" s="1332"/>
      <c r="AU58" s="1333"/>
      <c r="AV58" s="324"/>
      <c r="AW58" s="324"/>
      <c r="AX58" s="300"/>
      <c r="AY58" s="325"/>
      <c r="AZ58" s="325"/>
      <c r="BA58" s="300"/>
      <c r="BB58" s="300"/>
      <c r="BC58" s="300"/>
      <c r="BD58" s="300"/>
      <c r="BE58" s="300"/>
      <c r="BF58" s="300"/>
      <c r="BG58" s="300"/>
      <c r="BH58" s="300"/>
      <c r="BI58" s="300"/>
      <c r="BJ58" s="300"/>
    </row>
    <row r="59" spans="1:62" ht="14.25" customHeight="1">
      <c r="A59" s="135" t="str">
        <f t="shared" si="3"/>
        <v/>
      </c>
      <c r="B59" s="162" t="str">
        <f>名簿!P56</f>
        <v/>
      </c>
      <c r="C59" s="162"/>
      <c r="D59" s="931"/>
      <c r="E59" s="182">
        <f>名簿!E56</f>
        <v>0</v>
      </c>
      <c r="F59" s="697" t="str">
        <f>名簿!CM56</f>
        <v/>
      </c>
      <c r="G59" s="162" t="str">
        <f>名簿!Z56</f>
        <v/>
      </c>
      <c r="H59" s="675" t="str">
        <f>名簿!CM56</f>
        <v/>
      </c>
      <c r="I59" s="187" t="str">
        <f>名簿!Y56</f>
        <v/>
      </c>
      <c r="J59" s="190" t="str">
        <f>名簿!CN56</f>
        <v/>
      </c>
      <c r="K59" s="1040">
        <f>名簿!CP56</f>
        <v>0</v>
      </c>
      <c r="L59" s="750" t="str">
        <f>名簿!CU56</f>
        <v>00</v>
      </c>
      <c r="M59" s="162" t="str">
        <f>名簿!Q56</f>
        <v/>
      </c>
      <c r="N59" s="697">
        <f>名簿!D56</f>
        <v>0</v>
      </c>
      <c r="O59" s="368"/>
      <c r="P59" s="292" t="str">
        <f t="shared" si="4"/>
        <v/>
      </c>
      <c r="Q59" s="1282" t="str">
        <f>IF(O59="","",HLOOKUP(O59,名簿!$AH$3:$CH$118,54,FALSE))</f>
        <v/>
      </c>
      <c r="R59" s="1282" t="str">
        <f t="shared" si="5"/>
        <v/>
      </c>
      <c r="S59" s="1282" t="str">
        <f t="shared" si="6"/>
        <v/>
      </c>
      <c r="T59" s="368"/>
      <c r="U59" s="292" t="str">
        <f t="shared" si="7"/>
        <v/>
      </c>
      <c r="V59" s="669" t="str">
        <f>IF(T59="","",HLOOKUP(T59,名簿!$AH$3:$CH$118,54,FALSE))</f>
        <v/>
      </c>
      <c r="W59" s="769" t="str">
        <f t="shared" si="8"/>
        <v/>
      </c>
      <c r="X59" s="774" t="str">
        <f t="shared" si="9"/>
        <v/>
      </c>
      <c r="Y59" s="954"/>
      <c r="Z59" s="950" t="str">
        <f>IF(Y59="","",IF(I59=1,VLOOKUP(Y59,男子種目コード!$A$1:$B$33,2,FALSE),IF(I59=2,VLOOKUP(Y59,女子種目コード!$A$1:$B$27,2,FALSE))))</f>
        <v/>
      </c>
      <c r="AA59" s="339"/>
      <c r="AB59" s="338"/>
      <c r="AC59" s="646"/>
      <c r="AD59" s="647"/>
      <c r="AE59" s="773" t="str">
        <f t="shared" si="10"/>
        <v/>
      </c>
      <c r="AF59" s="774" t="str">
        <f t="shared" si="11"/>
        <v/>
      </c>
      <c r="AG59" s="648"/>
      <c r="AH59" s="649"/>
      <c r="AI59" s="650"/>
      <c r="AJ59" s="20"/>
      <c r="AK59" s="20"/>
      <c r="AM59" s="143"/>
      <c r="AN59" s="135" t="str">
        <f t="shared" si="14"/>
        <v/>
      </c>
      <c r="AO59" s="135" t="str">
        <f t="shared" si="15"/>
        <v/>
      </c>
      <c r="AQ59" s="135"/>
      <c r="AR59" s="135"/>
      <c r="AS59" s="183">
        <f t="shared" si="16"/>
        <v>0</v>
      </c>
      <c r="AT59" s="1334">
        <v>13</v>
      </c>
      <c r="AU59" s="1333">
        <f>COUNTIF($Z$7:$Z$116,13)</f>
        <v>0</v>
      </c>
      <c r="AV59" s="324"/>
      <c r="AW59" s="324"/>
      <c r="AX59" s="300"/>
      <c r="AY59" s="325"/>
      <c r="AZ59" s="325"/>
      <c r="BA59" s="300"/>
      <c r="BB59" s="300"/>
      <c r="BC59" s="300"/>
      <c r="BD59" s="300"/>
      <c r="BE59" s="300"/>
      <c r="BF59" s="300"/>
      <c r="BG59" s="300"/>
      <c r="BH59" s="300"/>
      <c r="BI59" s="300"/>
      <c r="BJ59" s="300"/>
    </row>
    <row r="60" spans="1:62" ht="14.25" customHeight="1">
      <c r="A60" s="135" t="str">
        <f t="shared" si="3"/>
        <v/>
      </c>
      <c r="B60" s="162" t="str">
        <f>名簿!P57</f>
        <v/>
      </c>
      <c r="C60" s="162"/>
      <c r="D60" s="931"/>
      <c r="E60" s="182">
        <f>名簿!E57</f>
        <v>0</v>
      </c>
      <c r="F60" s="697" t="str">
        <f>名簿!CM57</f>
        <v/>
      </c>
      <c r="G60" s="162" t="str">
        <f>名簿!Z57</f>
        <v/>
      </c>
      <c r="H60" s="675" t="str">
        <f>名簿!CM57</f>
        <v/>
      </c>
      <c r="I60" s="187" t="str">
        <f>名簿!Y57</f>
        <v/>
      </c>
      <c r="J60" s="190" t="str">
        <f>名簿!CN57</f>
        <v/>
      </c>
      <c r="K60" s="1040">
        <f>名簿!CP57</f>
        <v>0</v>
      </c>
      <c r="L60" s="750" t="str">
        <f>名簿!CU57</f>
        <v>00</v>
      </c>
      <c r="M60" s="162" t="str">
        <f>名簿!Q57</f>
        <v/>
      </c>
      <c r="N60" s="697">
        <f>名簿!D57</f>
        <v>0</v>
      </c>
      <c r="O60" s="368"/>
      <c r="P60" s="292" t="str">
        <f t="shared" si="4"/>
        <v/>
      </c>
      <c r="Q60" s="1282" t="str">
        <f>IF(O60="","",HLOOKUP(O60,名簿!$AH$3:$CH$118,55,FALSE))</f>
        <v/>
      </c>
      <c r="R60" s="1282" t="str">
        <f t="shared" si="5"/>
        <v/>
      </c>
      <c r="S60" s="1282" t="str">
        <f t="shared" si="6"/>
        <v/>
      </c>
      <c r="T60" s="368"/>
      <c r="U60" s="292" t="str">
        <f t="shared" si="7"/>
        <v/>
      </c>
      <c r="V60" s="669" t="str">
        <f>IF(T60="","",HLOOKUP(T60,名簿!$AH$3:$CH$118,55,FALSE))</f>
        <v/>
      </c>
      <c r="W60" s="769" t="str">
        <f t="shared" si="8"/>
        <v/>
      </c>
      <c r="X60" s="774" t="str">
        <f t="shared" si="9"/>
        <v/>
      </c>
      <c r="Y60" s="954"/>
      <c r="Z60" s="950" t="str">
        <f>IF(Y60="","",IF(I60=1,VLOOKUP(Y60,男子種目コード!$A$1:$B$33,2,FALSE),IF(I60=2,VLOOKUP(Y60,女子種目コード!$A$1:$B$27,2,FALSE))))</f>
        <v/>
      </c>
      <c r="AA60" s="339"/>
      <c r="AB60" s="338"/>
      <c r="AC60" s="646"/>
      <c r="AD60" s="647"/>
      <c r="AE60" s="773" t="str">
        <f t="shared" si="10"/>
        <v/>
      </c>
      <c r="AF60" s="774" t="str">
        <f t="shared" si="11"/>
        <v/>
      </c>
      <c r="AG60" s="648"/>
      <c r="AH60" s="649"/>
      <c r="AI60" s="650"/>
      <c r="AJ60" s="20"/>
      <c r="AK60" s="20"/>
      <c r="AM60" s="143"/>
      <c r="AN60" s="135" t="str">
        <f t="shared" si="14"/>
        <v/>
      </c>
      <c r="AO60" s="135" t="str">
        <f t="shared" si="15"/>
        <v/>
      </c>
      <c r="AQ60" s="135"/>
      <c r="AR60" s="135"/>
      <c r="AS60" s="183">
        <f t="shared" si="16"/>
        <v>0</v>
      </c>
      <c r="AT60" s="1334">
        <v>53</v>
      </c>
      <c r="AU60" s="1333">
        <f>COUNTIF($Z$7:$Z$116,53)</f>
        <v>0</v>
      </c>
      <c r="AV60" s="324"/>
      <c r="AW60" s="324"/>
      <c r="AX60" s="300"/>
      <c r="AY60" s="325"/>
      <c r="AZ60" s="325"/>
      <c r="BA60" s="300"/>
      <c r="BB60" s="300"/>
      <c r="BC60" s="300"/>
      <c r="BD60" s="300"/>
      <c r="BE60" s="300"/>
      <c r="BF60" s="300"/>
      <c r="BG60" s="300"/>
      <c r="BH60" s="300"/>
      <c r="BI60" s="300"/>
      <c r="BJ60" s="300"/>
    </row>
    <row r="61" spans="1:62" ht="14.25" customHeight="1">
      <c r="A61" s="135" t="str">
        <f t="shared" si="3"/>
        <v/>
      </c>
      <c r="B61" s="162" t="str">
        <f>名簿!P58</f>
        <v/>
      </c>
      <c r="C61" s="162"/>
      <c r="D61" s="931"/>
      <c r="E61" s="182">
        <f>名簿!E58</f>
        <v>0</v>
      </c>
      <c r="F61" s="697" t="str">
        <f>名簿!CM58</f>
        <v/>
      </c>
      <c r="G61" s="162" t="str">
        <f>名簿!Z58</f>
        <v/>
      </c>
      <c r="H61" s="675" t="str">
        <f>名簿!CM58</f>
        <v/>
      </c>
      <c r="I61" s="187" t="str">
        <f>名簿!Y58</f>
        <v/>
      </c>
      <c r="J61" s="190" t="str">
        <f>名簿!CN58</f>
        <v/>
      </c>
      <c r="K61" s="1040">
        <f>名簿!CP58</f>
        <v>0</v>
      </c>
      <c r="L61" s="750" t="str">
        <f>名簿!CU58</f>
        <v>00</v>
      </c>
      <c r="M61" s="162" t="str">
        <f>名簿!Q58</f>
        <v/>
      </c>
      <c r="N61" s="697">
        <f>名簿!D58</f>
        <v>0</v>
      </c>
      <c r="O61" s="368"/>
      <c r="P61" s="292" t="str">
        <f t="shared" si="4"/>
        <v/>
      </c>
      <c r="Q61" s="1282" t="str">
        <f>IF(O61="","",HLOOKUP(O61,名簿!$AH$3:$CH$118,56,FALSE))</f>
        <v/>
      </c>
      <c r="R61" s="1282" t="str">
        <f t="shared" si="5"/>
        <v/>
      </c>
      <c r="S61" s="1282" t="str">
        <f t="shared" si="6"/>
        <v/>
      </c>
      <c r="T61" s="368"/>
      <c r="U61" s="292" t="str">
        <f t="shared" si="7"/>
        <v/>
      </c>
      <c r="V61" s="669" t="str">
        <f>IF(T61="","",HLOOKUP(T61,名簿!$AH$3:$CH$118,56,FALSE))</f>
        <v/>
      </c>
      <c r="W61" s="769" t="str">
        <f t="shared" si="8"/>
        <v/>
      </c>
      <c r="X61" s="774" t="str">
        <f t="shared" si="9"/>
        <v/>
      </c>
      <c r="Y61" s="954"/>
      <c r="Z61" s="950" t="str">
        <f>IF(Y61="","",IF(I61=1,VLOOKUP(Y61,男子種目コード!$A$1:$B$33,2,FALSE),IF(I61=2,VLOOKUP(Y61,女子種目コード!$A$1:$B$27,2,FALSE))))</f>
        <v/>
      </c>
      <c r="AA61" s="339"/>
      <c r="AB61" s="338"/>
      <c r="AC61" s="646"/>
      <c r="AD61" s="647"/>
      <c r="AE61" s="773" t="str">
        <f t="shared" si="10"/>
        <v/>
      </c>
      <c r="AF61" s="774" t="str">
        <f t="shared" si="11"/>
        <v/>
      </c>
      <c r="AG61" s="648"/>
      <c r="AH61" s="649"/>
      <c r="AI61" s="650"/>
      <c r="AJ61" s="20"/>
      <c r="AK61" s="20"/>
      <c r="AM61" s="143"/>
      <c r="AN61" s="135" t="str">
        <f t="shared" si="14"/>
        <v/>
      </c>
      <c r="AO61" s="135" t="str">
        <f t="shared" si="15"/>
        <v/>
      </c>
      <c r="AQ61" s="135"/>
      <c r="AR61" s="135"/>
      <c r="AS61" s="183">
        <f t="shared" si="16"/>
        <v>0</v>
      </c>
      <c r="AT61" s="1332"/>
      <c r="AU61" s="1333">
        <f>COUNTIF(AU59:AU60,0)</f>
        <v>2</v>
      </c>
      <c r="AV61" s="324"/>
      <c r="AW61" s="324"/>
      <c r="AX61" s="300"/>
      <c r="AY61" s="325"/>
      <c r="AZ61" s="325"/>
      <c r="BA61" s="300"/>
      <c r="BB61" s="300"/>
      <c r="BC61" s="300"/>
      <c r="BD61" s="300"/>
      <c r="BE61" s="300"/>
      <c r="BF61" s="300"/>
      <c r="BG61" s="300"/>
      <c r="BH61" s="300"/>
      <c r="BI61" s="300"/>
      <c r="BJ61" s="300"/>
    </row>
    <row r="62" spans="1:62" ht="14.25" customHeight="1">
      <c r="A62" s="135" t="str">
        <f t="shared" si="3"/>
        <v/>
      </c>
      <c r="B62" s="162" t="str">
        <f>名簿!P59</f>
        <v/>
      </c>
      <c r="C62" s="162"/>
      <c r="D62" s="931"/>
      <c r="E62" s="182">
        <f>名簿!E59</f>
        <v>0</v>
      </c>
      <c r="F62" s="697" t="str">
        <f>名簿!CM59</f>
        <v/>
      </c>
      <c r="G62" s="162" t="str">
        <f>名簿!Z59</f>
        <v/>
      </c>
      <c r="H62" s="675" t="str">
        <f>名簿!CM59</f>
        <v/>
      </c>
      <c r="I62" s="187" t="str">
        <f>名簿!Y59</f>
        <v/>
      </c>
      <c r="J62" s="190" t="str">
        <f>名簿!CN59</f>
        <v/>
      </c>
      <c r="K62" s="1040">
        <f>名簿!CP59</f>
        <v>0</v>
      </c>
      <c r="L62" s="750" t="str">
        <f>名簿!CU59</f>
        <v>00</v>
      </c>
      <c r="M62" s="162" t="str">
        <f>名簿!Q59</f>
        <v/>
      </c>
      <c r="N62" s="697">
        <f>名簿!D59</f>
        <v>0</v>
      </c>
      <c r="O62" s="368"/>
      <c r="P62" s="292" t="str">
        <f t="shared" si="4"/>
        <v/>
      </c>
      <c r="Q62" s="1282" t="str">
        <f>IF(O62="","",HLOOKUP(O62,名簿!$AH$3:$CH$118,57,FALSE))</f>
        <v/>
      </c>
      <c r="R62" s="1282" t="str">
        <f t="shared" si="5"/>
        <v/>
      </c>
      <c r="S62" s="1282" t="str">
        <f t="shared" si="6"/>
        <v/>
      </c>
      <c r="T62" s="368"/>
      <c r="U62" s="292" t="str">
        <f t="shared" si="7"/>
        <v/>
      </c>
      <c r="V62" s="669" t="str">
        <f>IF(T62="","",HLOOKUP(T62,名簿!$AH$3:$CH$118,57,FALSE))</f>
        <v/>
      </c>
      <c r="W62" s="769" t="str">
        <f t="shared" si="8"/>
        <v/>
      </c>
      <c r="X62" s="774" t="str">
        <f t="shared" si="9"/>
        <v/>
      </c>
      <c r="Y62" s="954"/>
      <c r="Z62" s="950" t="str">
        <f>IF(Y62="","",IF(I62=1,VLOOKUP(Y62,男子種目コード!$A$1:$B$33,2,FALSE),IF(I62=2,VLOOKUP(Y62,女子種目コード!$A$1:$B$27,2,FALSE))))</f>
        <v/>
      </c>
      <c r="AA62" s="339"/>
      <c r="AB62" s="338"/>
      <c r="AC62" s="646"/>
      <c r="AD62" s="647"/>
      <c r="AE62" s="773" t="str">
        <f t="shared" si="10"/>
        <v/>
      </c>
      <c r="AF62" s="774" t="str">
        <f t="shared" si="11"/>
        <v/>
      </c>
      <c r="AG62" s="648"/>
      <c r="AH62" s="649"/>
      <c r="AI62" s="650"/>
      <c r="AJ62" s="20"/>
      <c r="AK62" s="20"/>
      <c r="AM62" s="143"/>
      <c r="AN62" s="135" t="str">
        <f t="shared" si="14"/>
        <v/>
      </c>
      <c r="AO62" s="135" t="str">
        <f t="shared" si="15"/>
        <v/>
      </c>
      <c r="AQ62" s="135"/>
      <c r="AR62" s="135"/>
      <c r="AS62" s="183">
        <f t="shared" si="16"/>
        <v>0</v>
      </c>
      <c r="AT62" s="1332"/>
      <c r="AU62" s="1333">
        <f>2-AU61</f>
        <v>0</v>
      </c>
      <c r="AV62" s="324"/>
      <c r="AW62" s="324"/>
      <c r="AX62" s="300"/>
      <c r="AY62" s="325"/>
      <c r="AZ62" s="325"/>
      <c r="BA62" s="300"/>
      <c r="BB62" s="300"/>
      <c r="BC62" s="300"/>
      <c r="BD62" s="300"/>
      <c r="BE62" s="300"/>
      <c r="BF62" s="300"/>
      <c r="BG62" s="300"/>
      <c r="BH62" s="300"/>
      <c r="BI62" s="300"/>
      <c r="BJ62" s="300"/>
    </row>
    <row r="63" spans="1:62" ht="14.25" customHeight="1">
      <c r="A63" s="135" t="str">
        <f t="shared" si="3"/>
        <v/>
      </c>
      <c r="B63" s="162" t="str">
        <f>名簿!P60</f>
        <v/>
      </c>
      <c r="C63" s="162"/>
      <c r="D63" s="931"/>
      <c r="E63" s="182">
        <f>名簿!E60</f>
        <v>0</v>
      </c>
      <c r="F63" s="697" t="str">
        <f>名簿!CM60</f>
        <v/>
      </c>
      <c r="G63" s="162" t="str">
        <f>名簿!Z60</f>
        <v/>
      </c>
      <c r="H63" s="675" t="str">
        <f>名簿!CM60</f>
        <v/>
      </c>
      <c r="I63" s="187" t="str">
        <f>名簿!Y60</f>
        <v/>
      </c>
      <c r="J63" s="190" t="str">
        <f>名簿!CN60</f>
        <v/>
      </c>
      <c r="K63" s="1040">
        <f>名簿!CP60</f>
        <v>0</v>
      </c>
      <c r="L63" s="750" t="str">
        <f>名簿!CU60</f>
        <v>00</v>
      </c>
      <c r="M63" s="162" t="str">
        <f>名簿!Q60</f>
        <v/>
      </c>
      <c r="N63" s="697">
        <f>名簿!D60</f>
        <v>0</v>
      </c>
      <c r="O63" s="368"/>
      <c r="P63" s="292" t="str">
        <f t="shared" si="4"/>
        <v/>
      </c>
      <c r="Q63" s="1282" t="str">
        <f>IF(O63="","",HLOOKUP(O63,名簿!$AH$3:$CH$118,58,FALSE))</f>
        <v/>
      </c>
      <c r="R63" s="1282" t="str">
        <f t="shared" si="5"/>
        <v/>
      </c>
      <c r="S63" s="1282" t="str">
        <f t="shared" si="6"/>
        <v/>
      </c>
      <c r="T63" s="368"/>
      <c r="U63" s="292" t="str">
        <f t="shared" si="7"/>
        <v/>
      </c>
      <c r="V63" s="669" t="str">
        <f>IF(T63="","",HLOOKUP(T63,名簿!$AH$3:$CH$118,58,FALSE))</f>
        <v/>
      </c>
      <c r="W63" s="769" t="str">
        <f t="shared" si="8"/>
        <v/>
      </c>
      <c r="X63" s="774" t="str">
        <f t="shared" si="9"/>
        <v/>
      </c>
      <c r="Y63" s="954"/>
      <c r="Z63" s="950" t="str">
        <f>IF(Y63="","",IF(I63=1,VLOOKUP(Y63,男子種目コード!$A$1:$B$33,2,FALSE),IF(I63=2,VLOOKUP(Y63,女子種目コード!$A$1:$B$27,2,FALSE))))</f>
        <v/>
      </c>
      <c r="AA63" s="339"/>
      <c r="AB63" s="338"/>
      <c r="AC63" s="646"/>
      <c r="AD63" s="647"/>
      <c r="AE63" s="773" t="str">
        <f t="shared" si="10"/>
        <v/>
      </c>
      <c r="AF63" s="774" t="str">
        <f t="shared" si="11"/>
        <v/>
      </c>
      <c r="AG63" s="648"/>
      <c r="AH63" s="649"/>
      <c r="AI63" s="650"/>
      <c r="AJ63" s="20"/>
      <c r="AK63" s="20"/>
      <c r="AM63" s="143"/>
      <c r="AN63" s="135" t="str">
        <f t="shared" si="14"/>
        <v/>
      </c>
      <c r="AO63" s="135" t="str">
        <f t="shared" si="15"/>
        <v/>
      </c>
      <c r="AQ63" s="135"/>
      <c r="AR63" s="135"/>
      <c r="AS63" s="183">
        <f t="shared" si="16"/>
        <v>0</v>
      </c>
      <c r="AT63" s="1332"/>
      <c r="AU63" s="1333"/>
      <c r="AV63" s="324"/>
      <c r="AW63" s="324"/>
      <c r="AX63" s="300"/>
      <c r="AY63" s="325"/>
      <c r="AZ63" s="325"/>
      <c r="BA63" s="300"/>
      <c r="BB63" s="300"/>
      <c r="BC63" s="300"/>
      <c r="BD63" s="300"/>
      <c r="BE63" s="300"/>
      <c r="BF63" s="300"/>
      <c r="BG63" s="300"/>
      <c r="BH63" s="300"/>
      <c r="BI63" s="300"/>
      <c r="BJ63" s="300"/>
    </row>
    <row r="64" spans="1:62" ht="14.25" customHeight="1">
      <c r="A64" s="135" t="str">
        <f t="shared" si="3"/>
        <v/>
      </c>
      <c r="B64" s="162" t="str">
        <f>名簿!P61</f>
        <v/>
      </c>
      <c r="C64" s="162"/>
      <c r="D64" s="931"/>
      <c r="E64" s="182">
        <f>名簿!E61</f>
        <v>0</v>
      </c>
      <c r="F64" s="697" t="str">
        <f>名簿!CM61</f>
        <v/>
      </c>
      <c r="G64" s="162" t="str">
        <f>名簿!Z61</f>
        <v/>
      </c>
      <c r="H64" s="675" t="str">
        <f>名簿!CM61</f>
        <v/>
      </c>
      <c r="I64" s="187" t="str">
        <f>名簿!Y61</f>
        <v/>
      </c>
      <c r="J64" s="190" t="str">
        <f>名簿!CN61</f>
        <v/>
      </c>
      <c r="K64" s="1040">
        <f>名簿!CP61</f>
        <v>0</v>
      </c>
      <c r="L64" s="750" t="str">
        <f>名簿!CU61</f>
        <v>00</v>
      </c>
      <c r="M64" s="162" t="str">
        <f>名簿!Q61</f>
        <v/>
      </c>
      <c r="N64" s="697">
        <f>名簿!D61</f>
        <v>0</v>
      </c>
      <c r="O64" s="368"/>
      <c r="P64" s="292" t="str">
        <f t="shared" si="4"/>
        <v/>
      </c>
      <c r="Q64" s="1282" t="str">
        <f>IF(O64="","",HLOOKUP(O64,名簿!$AH$3:$CH$118,59,FALSE))</f>
        <v/>
      </c>
      <c r="R64" s="1282" t="str">
        <f t="shared" si="5"/>
        <v/>
      </c>
      <c r="S64" s="1282" t="str">
        <f t="shared" si="6"/>
        <v/>
      </c>
      <c r="T64" s="368"/>
      <c r="U64" s="292" t="str">
        <f t="shared" si="7"/>
        <v/>
      </c>
      <c r="V64" s="669" t="str">
        <f>IF(T64="","",HLOOKUP(T64,名簿!$AH$3:$CH$118,59,FALSE))</f>
        <v/>
      </c>
      <c r="W64" s="769" t="str">
        <f t="shared" si="8"/>
        <v/>
      </c>
      <c r="X64" s="774" t="str">
        <f t="shared" si="9"/>
        <v/>
      </c>
      <c r="Y64" s="954"/>
      <c r="Z64" s="950" t="str">
        <f>IF(Y64="","",IF(I64=1,VLOOKUP(Y64,男子種目コード!$A$1:$B$33,2,FALSE),IF(I64=2,VLOOKUP(Y64,女子種目コード!$A$1:$B$27,2,FALSE))))</f>
        <v/>
      </c>
      <c r="AA64" s="339"/>
      <c r="AB64" s="338"/>
      <c r="AC64" s="646"/>
      <c r="AD64" s="647"/>
      <c r="AE64" s="773" t="str">
        <f t="shared" si="10"/>
        <v/>
      </c>
      <c r="AF64" s="774" t="str">
        <f t="shared" si="11"/>
        <v/>
      </c>
      <c r="AG64" s="648"/>
      <c r="AH64" s="649"/>
      <c r="AI64" s="650"/>
      <c r="AJ64" s="20"/>
      <c r="AK64" s="20"/>
      <c r="AM64" s="143"/>
      <c r="AN64" s="135" t="str">
        <f t="shared" si="14"/>
        <v/>
      </c>
      <c r="AO64" s="135" t="str">
        <f t="shared" si="15"/>
        <v/>
      </c>
      <c r="AQ64" s="135"/>
      <c r="AR64" s="135"/>
      <c r="AS64" s="183">
        <f t="shared" si="16"/>
        <v>0</v>
      </c>
      <c r="AT64" s="1332"/>
      <c r="AU64" s="1333"/>
      <c r="AV64" s="324"/>
      <c r="AW64" s="324"/>
      <c r="AX64" s="300"/>
      <c r="AY64" s="325"/>
      <c r="AZ64" s="325"/>
      <c r="BA64" s="300"/>
      <c r="BB64" s="300"/>
      <c r="BC64" s="300"/>
      <c r="BD64" s="300"/>
      <c r="BE64" s="300"/>
      <c r="BF64" s="300"/>
      <c r="BG64" s="300"/>
      <c r="BH64" s="300"/>
      <c r="BI64" s="300"/>
      <c r="BJ64" s="300"/>
    </row>
    <row r="65" spans="1:62" ht="14.25" customHeight="1">
      <c r="A65" s="135" t="str">
        <f t="shared" si="3"/>
        <v/>
      </c>
      <c r="B65" s="162" t="str">
        <f>名簿!P62</f>
        <v/>
      </c>
      <c r="C65" s="162"/>
      <c r="D65" s="931"/>
      <c r="E65" s="182">
        <f>名簿!E62</f>
        <v>0</v>
      </c>
      <c r="F65" s="697" t="str">
        <f>名簿!CM62</f>
        <v/>
      </c>
      <c r="G65" s="162" t="str">
        <f>名簿!Z62</f>
        <v/>
      </c>
      <c r="H65" s="675" t="str">
        <f>名簿!CM62</f>
        <v/>
      </c>
      <c r="I65" s="187" t="str">
        <f>名簿!Y62</f>
        <v/>
      </c>
      <c r="J65" s="190" t="str">
        <f>名簿!CN62</f>
        <v/>
      </c>
      <c r="K65" s="1040">
        <f>名簿!CP62</f>
        <v>0</v>
      </c>
      <c r="L65" s="750" t="str">
        <f>名簿!CU62</f>
        <v>00</v>
      </c>
      <c r="M65" s="162" t="str">
        <f>名簿!Q62</f>
        <v/>
      </c>
      <c r="N65" s="697">
        <f>名簿!D62</f>
        <v>0</v>
      </c>
      <c r="O65" s="368"/>
      <c r="P65" s="292" t="str">
        <f t="shared" si="4"/>
        <v/>
      </c>
      <c r="Q65" s="1282" t="str">
        <f>IF(O65="","",HLOOKUP(O65,名簿!$AH$3:$CH$118,60,FALSE))</f>
        <v/>
      </c>
      <c r="R65" s="1282" t="str">
        <f t="shared" si="5"/>
        <v/>
      </c>
      <c r="S65" s="1282" t="str">
        <f t="shared" si="6"/>
        <v/>
      </c>
      <c r="T65" s="368"/>
      <c r="U65" s="292" t="str">
        <f t="shared" si="7"/>
        <v/>
      </c>
      <c r="V65" s="669" t="str">
        <f>IF(T65="","",HLOOKUP(T65,名簿!$AH$3:$CH$118,60,FALSE))</f>
        <v/>
      </c>
      <c r="W65" s="769" t="str">
        <f t="shared" si="8"/>
        <v/>
      </c>
      <c r="X65" s="774" t="str">
        <f t="shared" si="9"/>
        <v/>
      </c>
      <c r="Y65" s="954"/>
      <c r="Z65" s="950" t="str">
        <f>IF(Y65="","",IF(I65=1,VLOOKUP(Y65,男子種目コード!$A$1:$B$33,2,FALSE),IF(I65=2,VLOOKUP(Y65,女子種目コード!$A$1:$B$27,2,FALSE))))</f>
        <v/>
      </c>
      <c r="AA65" s="339"/>
      <c r="AB65" s="338"/>
      <c r="AC65" s="646"/>
      <c r="AD65" s="647"/>
      <c r="AE65" s="773" t="str">
        <f t="shared" si="10"/>
        <v/>
      </c>
      <c r="AF65" s="774" t="str">
        <f t="shared" si="11"/>
        <v/>
      </c>
      <c r="AG65" s="648"/>
      <c r="AH65" s="649"/>
      <c r="AI65" s="650"/>
      <c r="AJ65" s="20"/>
      <c r="AK65" s="20"/>
      <c r="AM65" s="143"/>
      <c r="AN65" s="135" t="str">
        <f t="shared" si="14"/>
        <v/>
      </c>
      <c r="AO65" s="135" t="str">
        <f t="shared" si="15"/>
        <v/>
      </c>
      <c r="AQ65" s="135"/>
      <c r="AR65" s="135"/>
      <c r="AS65" s="183">
        <f t="shared" si="16"/>
        <v>0</v>
      </c>
      <c r="AT65" s="356"/>
      <c r="AU65" s="324"/>
      <c r="AV65" s="324"/>
      <c r="AW65" s="324"/>
      <c r="AX65" s="300"/>
      <c r="AY65" s="325"/>
      <c r="AZ65" s="325"/>
      <c r="BA65" s="300"/>
      <c r="BB65" s="300"/>
      <c r="BC65" s="300"/>
      <c r="BD65" s="300"/>
      <c r="BE65" s="300"/>
      <c r="BF65" s="300"/>
      <c r="BG65" s="300"/>
      <c r="BH65" s="300"/>
      <c r="BI65" s="300"/>
      <c r="BJ65" s="300"/>
    </row>
    <row r="66" spans="1:62" ht="14.25" customHeight="1">
      <c r="A66" s="135" t="str">
        <f t="shared" si="3"/>
        <v/>
      </c>
      <c r="B66" s="162" t="str">
        <f>名簿!P63</f>
        <v/>
      </c>
      <c r="C66" s="162"/>
      <c r="D66" s="931"/>
      <c r="E66" s="182">
        <f>名簿!E63</f>
        <v>0</v>
      </c>
      <c r="F66" s="697" t="str">
        <f>名簿!CM63</f>
        <v/>
      </c>
      <c r="G66" s="162" t="str">
        <f>名簿!Z63</f>
        <v/>
      </c>
      <c r="H66" s="675" t="str">
        <f>名簿!CM63</f>
        <v/>
      </c>
      <c r="I66" s="187" t="str">
        <f>名簿!Y63</f>
        <v/>
      </c>
      <c r="J66" s="190" t="str">
        <f>名簿!CN63</f>
        <v/>
      </c>
      <c r="K66" s="1040">
        <f>名簿!CP63</f>
        <v>0</v>
      </c>
      <c r="L66" s="750" t="str">
        <f>名簿!CU63</f>
        <v>00</v>
      </c>
      <c r="M66" s="162" t="str">
        <f>名簿!Q63</f>
        <v/>
      </c>
      <c r="N66" s="697">
        <f>名簿!D63</f>
        <v>0</v>
      </c>
      <c r="O66" s="368"/>
      <c r="P66" s="292" t="str">
        <f t="shared" si="4"/>
        <v/>
      </c>
      <c r="Q66" s="1282" t="str">
        <f>IF(O66="","",HLOOKUP(O66,名簿!$AH$3:$CH$118,61,FALSE))</f>
        <v/>
      </c>
      <c r="R66" s="1282" t="str">
        <f t="shared" si="5"/>
        <v/>
      </c>
      <c r="S66" s="1282" t="str">
        <f t="shared" si="6"/>
        <v/>
      </c>
      <c r="T66" s="368"/>
      <c r="U66" s="292" t="str">
        <f t="shared" si="7"/>
        <v/>
      </c>
      <c r="V66" s="669" t="str">
        <f>IF(T66="","",HLOOKUP(T66,名簿!$AH$3:$CH$118,61,FALSE))</f>
        <v/>
      </c>
      <c r="W66" s="769" t="str">
        <f t="shared" si="8"/>
        <v/>
      </c>
      <c r="X66" s="774" t="str">
        <f t="shared" si="9"/>
        <v/>
      </c>
      <c r="Y66" s="954"/>
      <c r="Z66" s="950" t="str">
        <f>IF(Y66="","",IF(I66=1,VLOOKUP(Y66,男子種目コード!$A$1:$B$33,2,FALSE),IF(I66=2,VLOOKUP(Y66,女子種目コード!$A$1:$B$27,2,FALSE))))</f>
        <v/>
      </c>
      <c r="AA66" s="339"/>
      <c r="AB66" s="338"/>
      <c r="AC66" s="646"/>
      <c r="AD66" s="647"/>
      <c r="AE66" s="773" t="str">
        <f t="shared" si="10"/>
        <v/>
      </c>
      <c r="AF66" s="774" t="str">
        <f t="shared" si="11"/>
        <v/>
      </c>
      <c r="AG66" s="648"/>
      <c r="AH66" s="649"/>
      <c r="AI66" s="650"/>
      <c r="AJ66" s="20"/>
      <c r="AK66" s="20"/>
      <c r="AM66" s="143"/>
      <c r="AN66" s="135" t="str">
        <f t="shared" si="14"/>
        <v/>
      </c>
      <c r="AO66" s="135" t="str">
        <f t="shared" si="15"/>
        <v/>
      </c>
      <c r="AQ66" s="135"/>
      <c r="AR66" s="135"/>
      <c r="AS66" s="183">
        <f t="shared" si="16"/>
        <v>0</v>
      </c>
      <c r="AT66" s="356"/>
      <c r="AU66" s="324"/>
      <c r="AV66" s="324"/>
      <c r="AW66" s="324"/>
      <c r="AX66" s="300"/>
      <c r="AY66" s="325"/>
      <c r="AZ66" s="325"/>
      <c r="BA66" s="300"/>
      <c r="BB66" s="300"/>
      <c r="BC66" s="300"/>
      <c r="BD66" s="300"/>
      <c r="BE66" s="300"/>
      <c r="BF66" s="300"/>
      <c r="BG66" s="300"/>
      <c r="BH66" s="300"/>
      <c r="BI66" s="300"/>
      <c r="BJ66" s="300"/>
    </row>
    <row r="67" spans="1:62" ht="14.25" customHeight="1">
      <c r="A67" s="135" t="str">
        <f t="shared" si="3"/>
        <v/>
      </c>
      <c r="B67" s="162" t="str">
        <f>名簿!P64</f>
        <v/>
      </c>
      <c r="C67" s="162"/>
      <c r="D67" s="931"/>
      <c r="E67" s="182">
        <f>名簿!E64</f>
        <v>0</v>
      </c>
      <c r="F67" s="697" t="str">
        <f>名簿!CM64</f>
        <v/>
      </c>
      <c r="G67" s="162" t="str">
        <f>名簿!Z64</f>
        <v/>
      </c>
      <c r="H67" s="675" t="str">
        <f>名簿!CM64</f>
        <v/>
      </c>
      <c r="I67" s="187" t="str">
        <f>名簿!Y64</f>
        <v/>
      </c>
      <c r="J67" s="190" t="str">
        <f>名簿!CN64</f>
        <v/>
      </c>
      <c r="K67" s="1040">
        <f>名簿!CP64</f>
        <v>0</v>
      </c>
      <c r="L67" s="750" t="str">
        <f>名簿!CU64</f>
        <v>00</v>
      </c>
      <c r="M67" s="162" t="str">
        <f>名簿!Q64</f>
        <v/>
      </c>
      <c r="N67" s="697">
        <f>名簿!D64</f>
        <v>0</v>
      </c>
      <c r="O67" s="368"/>
      <c r="P67" s="292" t="str">
        <f t="shared" si="4"/>
        <v/>
      </c>
      <c r="Q67" s="1282" t="str">
        <f>IF(O67="","",HLOOKUP(O67,名簿!$AH$3:$CH$118,62,FALSE))</f>
        <v/>
      </c>
      <c r="R67" s="1282" t="str">
        <f t="shared" si="5"/>
        <v/>
      </c>
      <c r="S67" s="1282" t="str">
        <f t="shared" si="6"/>
        <v/>
      </c>
      <c r="T67" s="368"/>
      <c r="U67" s="292" t="str">
        <f t="shared" si="7"/>
        <v/>
      </c>
      <c r="V67" s="669" t="str">
        <f>IF(T67="","",HLOOKUP(T67,名簿!$AH$3:$CH$118,62,FALSE))</f>
        <v/>
      </c>
      <c r="W67" s="769" t="str">
        <f t="shared" si="8"/>
        <v/>
      </c>
      <c r="X67" s="774" t="str">
        <f t="shared" si="9"/>
        <v/>
      </c>
      <c r="Y67" s="954"/>
      <c r="Z67" s="950" t="str">
        <f>IF(Y67="","",IF(I67=1,VLOOKUP(Y67,男子種目コード!$A$1:$B$33,2,FALSE),IF(I67=2,VLOOKUP(Y67,女子種目コード!$A$1:$B$27,2,FALSE))))</f>
        <v/>
      </c>
      <c r="AA67" s="339"/>
      <c r="AB67" s="338"/>
      <c r="AC67" s="646"/>
      <c r="AD67" s="647"/>
      <c r="AE67" s="773" t="str">
        <f t="shared" si="10"/>
        <v/>
      </c>
      <c r="AF67" s="774" t="str">
        <f t="shared" si="11"/>
        <v/>
      </c>
      <c r="AG67" s="648"/>
      <c r="AH67" s="649"/>
      <c r="AI67" s="650"/>
      <c r="AJ67" s="20"/>
      <c r="AK67" s="20"/>
      <c r="AM67" s="143"/>
      <c r="AN67" s="135" t="str">
        <f t="shared" si="14"/>
        <v/>
      </c>
      <c r="AO67" s="135" t="str">
        <f t="shared" si="15"/>
        <v/>
      </c>
      <c r="AQ67" s="135"/>
      <c r="AR67" s="135"/>
      <c r="AS67" s="183">
        <f t="shared" si="16"/>
        <v>0</v>
      </c>
      <c r="AT67" s="356"/>
      <c r="AU67" s="324"/>
      <c r="AV67" s="324"/>
      <c r="AW67" s="324"/>
      <c r="AX67" s="300"/>
      <c r="AY67" s="325"/>
      <c r="AZ67" s="325"/>
      <c r="BA67" s="300"/>
      <c r="BB67" s="300"/>
      <c r="BC67" s="300"/>
      <c r="BD67" s="300"/>
      <c r="BE67" s="300"/>
      <c r="BF67" s="300"/>
      <c r="BG67" s="300"/>
      <c r="BH67" s="300"/>
      <c r="BI67" s="300"/>
      <c r="BJ67" s="300"/>
    </row>
    <row r="68" spans="1:62" ht="14.25" customHeight="1">
      <c r="A68" s="135" t="str">
        <f t="shared" si="3"/>
        <v/>
      </c>
      <c r="B68" s="162" t="str">
        <f>名簿!P65</f>
        <v/>
      </c>
      <c r="C68" s="162"/>
      <c r="D68" s="931"/>
      <c r="E68" s="182">
        <f>名簿!E65</f>
        <v>0</v>
      </c>
      <c r="F68" s="697" t="str">
        <f>名簿!CM65</f>
        <v/>
      </c>
      <c r="G68" s="162" t="str">
        <f>名簿!Z65</f>
        <v/>
      </c>
      <c r="H68" s="675" t="str">
        <f>名簿!CM65</f>
        <v/>
      </c>
      <c r="I68" s="187" t="str">
        <f>名簿!Y65</f>
        <v/>
      </c>
      <c r="J68" s="190" t="str">
        <f>名簿!CN65</f>
        <v/>
      </c>
      <c r="K68" s="1040">
        <f>名簿!CP65</f>
        <v>0</v>
      </c>
      <c r="L68" s="750" t="str">
        <f>名簿!CU65</f>
        <v>00</v>
      </c>
      <c r="M68" s="162" t="str">
        <f>名簿!Q65</f>
        <v/>
      </c>
      <c r="N68" s="697">
        <f>名簿!D65</f>
        <v>0</v>
      </c>
      <c r="O68" s="368"/>
      <c r="P68" s="292" t="str">
        <f t="shared" si="4"/>
        <v/>
      </c>
      <c r="Q68" s="1282" t="str">
        <f>IF(O68="","",HLOOKUP(O68,名簿!$AH$3:$CH$118,63,FALSE))</f>
        <v/>
      </c>
      <c r="R68" s="1282" t="str">
        <f t="shared" si="5"/>
        <v/>
      </c>
      <c r="S68" s="1282" t="str">
        <f t="shared" si="6"/>
        <v/>
      </c>
      <c r="T68" s="368"/>
      <c r="U68" s="292" t="str">
        <f t="shared" si="7"/>
        <v/>
      </c>
      <c r="V68" s="669" t="str">
        <f>IF(T68="","",HLOOKUP(T68,名簿!$AH$3:$CH$118,63,FALSE))</f>
        <v/>
      </c>
      <c r="W68" s="769" t="str">
        <f t="shared" si="8"/>
        <v/>
      </c>
      <c r="X68" s="774" t="str">
        <f t="shared" si="9"/>
        <v/>
      </c>
      <c r="Y68" s="954"/>
      <c r="Z68" s="950" t="str">
        <f>IF(Y68="","",IF(I68=1,VLOOKUP(Y68,男子種目コード!$A$1:$B$33,2,FALSE),IF(I68=2,VLOOKUP(Y68,女子種目コード!$A$1:$B$27,2,FALSE))))</f>
        <v/>
      </c>
      <c r="AA68" s="339"/>
      <c r="AB68" s="338"/>
      <c r="AC68" s="646"/>
      <c r="AD68" s="647"/>
      <c r="AE68" s="773" t="str">
        <f t="shared" si="10"/>
        <v/>
      </c>
      <c r="AF68" s="774" t="str">
        <f t="shared" si="11"/>
        <v/>
      </c>
      <c r="AG68" s="648"/>
      <c r="AH68" s="649"/>
      <c r="AI68" s="650"/>
      <c r="AJ68" s="20"/>
      <c r="AK68" s="20"/>
      <c r="AM68" s="143"/>
      <c r="AN68" s="135" t="str">
        <f t="shared" si="14"/>
        <v/>
      </c>
      <c r="AO68" s="135" t="str">
        <f t="shared" si="15"/>
        <v/>
      </c>
      <c r="AQ68" s="135"/>
      <c r="AR68" s="135"/>
      <c r="AS68" s="183">
        <f t="shared" si="16"/>
        <v>0</v>
      </c>
      <c r="AT68" s="356"/>
      <c r="AU68" s="324"/>
      <c r="AV68" s="324"/>
      <c r="AW68" s="324"/>
      <c r="AX68" s="300"/>
      <c r="AY68" s="325"/>
      <c r="AZ68" s="325"/>
      <c r="BA68" s="300"/>
      <c r="BB68" s="300"/>
      <c r="BC68" s="300"/>
      <c r="BD68" s="300"/>
      <c r="BE68" s="300"/>
      <c r="BF68" s="300"/>
      <c r="BG68" s="300"/>
      <c r="BH68" s="300"/>
      <c r="BI68" s="300"/>
      <c r="BJ68" s="300"/>
    </row>
    <row r="69" spans="1:62" ht="14.25" customHeight="1">
      <c r="A69" s="135" t="str">
        <f t="shared" si="3"/>
        <v/>
      </c>
      <c r="B69" s="162" t="str">
        <f>名簿!P66</f>
        <v/>
      </c>
      <c r="C69" s="162"/>
      <c r="D69" s="931"/>
      <c r="E69" s="182">
        <f>名簿!E66</f>
        <v>0</v>
      </c>
      <c r="F69" s="697" t="str">
        <f>名簿!CM66</f>
        <v/>
      </c>
      <c r="G69" s="162" t="str">
        <f>名簿!Z66</f>
        <v/>
      </c>
      <c r="H69" s="675" t="str">
        <f>名簿!CM66</f>
        <v/>
      </c>
      <c r="I69" s="187" t="str">
        <f>名簿!Y66</f>
        <v/>
      </c>
      <c r="J69" s="190" t="str">
        <f>名簿!CN66</f>
        <v/>
      </c>
      <c r="K69" s="1040">
        <f>名簿!CP66</f>
        <v>0</v>
      </c>
      <c r="L69" s="750" t="str">
        <f>名簿!CU66</f>
        <v>00</v>
      </c>
      <c r="M69" s="162" t="str">
        <f>名簿!Q66</f>
        <v/>
      </c>
      <c r="N69" s="697">
        <f>名簿!D66</f>
        <v>0</v>
      </c>
      <c r="O69" s="368"/>
      <c r="P69" s="292" t="str">
        <f t="shared" si="4"/>
        <v/>
      </c>
      <c r="Q69" s="1282" t="str">
        <f>IF(O69="","",HLOOKUP(O69,名簿!$AH$3:$CH$118,64,FALSE))</f>
        <v/>
      </c>
      <c r="R69" s="1282" t="str">
        <f t="shared" si="5"/>
        <v/>
      </c>
      <c r="S69" s="1282" t="str">
        <f t="shared" si="6"/>
        <v/>
      </c>
      <c r="T69" s="368"/>
      <c r="U69" s="292" t="str">
        <f t="shared" si="7"/>
        <v/>
      </c>
      <c r="V69" s="669" t="str">
        <f>IF(T69="","",HLOOKUP(T69,名簿!$AH$3:$CH$118,64,FALSE))</f>
        <v/>
      </c>
      <c r="W69" s="769" t="str">
        <f t="shared" si="8"/>
        <v/>
      </c>
      <c r="X69" s="774" t="str">
        <f t="shared" si="9"/>
        <v/>
      </c>
      <c r="Y69" s="954"/>
      <c r="Z69" s="950" t="str">
        <f>IF(Y69="","",IF(I69=1,VLOOKUP(Y69,男子種目コード!$A$1:$B$33,2,FALSE),IF(I69=2,VLOOKUP(Y69,女子種目コード!$A$1:$B$27,2,FALSE))))</f>
        <v/>
      </c>
      <c r="AA69" s="339"/>
      <c r="AB69" s="338"/>
      <c r="AC69" s="646"/>
      <c r="AD69" s="647"/>
      <c r="AE69" s="773" t="str">
        <f t="shared" si="10"/>
        <v/>
      </c>
      <c r="AF69" s="774" t="str">
        <f t="shared" si="11"/>
        <v/>
      </c>
      <c r="AG69" s="648"/>
      <c r="AH69" s="649"/>
      <c r="AI69" s="650"/>
      <c r="AJ69" s="20"/>
      <c r="AK69" s="20"/>
      <c r="AM69" s="143"/>
      <c r="AN69" s="135" t="str">
        <f t="shared" si="14"/>
        <v/>
      </c>
      <c r="AO69" s="135" t="str">
        <f t="shared" si="15"/>
        <v/>
      </c>
      <c r="AQ69" s="135"/>
      <c r="AR69" s="135"/>
      <c r="AS69" s="183">
        <f t="shared" si="16"/>
        <v>0</v>
      </c>
      <c r="AT69" s="356"/>
      <c r="AU69" s="324"/>
      <c r="AV69" s="324"/>
      <c r="AW69" s="324"/>
      <c r="AX69" s="300"/>
      <c r="AY69" s="325"/>
      <c r="AZ69" s="325"/>
      <c r="BA69" s="300"/>
      <c r="BB69" s="300"/>
      <c r="BC69" s="300"/>
      <c r="BD69" s="300"/>
      <c r="BE69" s="300"/>
      <c r="BF69" s="300"/>
      <c r="BG69" s="300"/>
      <c r="BH69" s="300"/>
      <c r="BI69" s="300"/>
      <c r="BJ69" s="300"/>
    </row>
    <row r="70" spans="1:62" ht="14.25" customHeight="1">
      <c r="A70" s="135" t="str">
        <f t="shared" si="3"/>
        <v/>
      </c>
      <c r="B70" s="162" t="str">
        <f>名簿!P67</f>
        <v/>
      </c>
      <c r="C70" s="162"/>
      <c r="D70" s="931"/>
      <c r="E70" s="182">
        <f>名簿!E67</f>
        <v>0</v>
      </c>
      <c r="F70" s="697" t="str">
        <f>名簿!CM67</f>
        <v/>
      </c>
      <c r="G70" s="162" t="str">
        <f>名簿!Z67</f>
        <v/>
      </c>
      <c r="H70" s="675" t="str">
        <f>名簿!CM67</f>
        <v/>
      </c>
      <c r="I70" s="187" t="str">
        <f>名簿!Y67</f>
        <v/>
      </c>
      <c r="J70" s="190" t="str">
        <f>名簿!CN67</f>
        <v/>
      </c>
      <c r="K70" s="1040">
        <f>名簿!CP67</f>
        <v>0</v>
      </c>
      <c r="L70" s="750" t="str">
        <f>名簿!CU67</f>
        <v>00</v>
      </c>
      <c r="M70" s="162" t="str">
        <f>名簿!Q67</f>
        <v/>
      </c>
      <c r="N70" s="697">
        <f>名簿!D67</f>
        <v>0</v>
      </c>
      <c r="O70" s="368"/>
      <c r="P70" s="292" t="str">
        <f t="shared" si="4"/>
        <v/>
      </c>
      <c r="Q70" s="1282" t="str">
        <f>IF(O70="","",HLOOKUP(O70,名簿!$AH$3:$CH$118,65,FALSE))</f>
        <v/>
      </c>
      <c r="R70" s="1282" t="str">
        <f t="shared" si="5"/>
        <v/>
      </c>
      <c r="S70" s="1282" t="str">
        <f t="shared" si="6"/>
        <v/>
      </c>
      <c r="T70" s="368"/>
      <c r="U70" s="292" t="str">
        <f t="shared" si="7"/>
        <v/>
      </c>
      <c r="V70" s="669" t="str">
        <f>IF(T70="","",HLOOKUP(T70,名簿!$AH$3:$CH$118,65,FALSE))</f>
        <v/>
      </c>
      <c r="W70" s="769" t="str">
        <f t="shared" si="8"/>
        <v/>
      </c>
      <c r="X70" s="774" t="str">
        <f t="shared" si="9"/>
        <v/>
      </c>
      <c r="Y70" s="954"/>
      <c r="Z70" s="950" t="str">
        <f>IF(Y70="","",IF(I70=1,VLOOKUP(Y70,男子種目コード!$A$1:$B$33,2,FALSE),IF(I70=2,VLOOKUP(Y70,女子種目コード!$A$1:$B$27,2,FALSE))))</f>
        <v/>
      </c>
      <c r="AA70" s="339"/>
      <c r="AB70" s="338"/>
      <c r="AC70" s="646"/>
      <c r="AD70" s="647"/>
      <c r="AE70" s="773" t="str">
        <f t="shared" si="10"/>
        <v/>
      </c>
      <c r="AF70" s="774" t="str">
        <f t="shared" si="11"/>
        <v/>
      </c>
      <c r="AG70" s="648"/>
      <c r="AH70" s="649"/>
      <c r="AI70" s="650"/>
      <c r="AJ70" s="20"/>
      <c r="AK70" s="20"/>
      <c r="AM70" s="143"/>
      <c r="AN70" s="135" t="str">
        <f t="shared" si="14"/>
        <v/>
      </c>
      <c r="AO70" s="135" t="str">
        <f t="shared" si="15"/>
        <v/>
      </c>
      <c r="AQ70" s="135"/>
      <c r="AR70" s="135"/>
      <c r="AS70" s="183">
        <f t="shared" si="16"/>
        <v>0</v>
      </c>
      <c r="AT70" s="356"/>
      <c r="AU70" s="324"/>
      <c r="AV70" s="324"/>
      <c r="AW70" s="324"/>
      <c r="AX70" s="300"/>
      <c r="AY70" s="325"/>
      <c r="AZ70" s="325"/>
      <c r="BA70" s="300"/>
      <c r="BB70" s="300"/>
      <c r="BC70" s="300"/>
      <c r="BD70" s="300"/>
      <c r="BE70" s="300"/>
      <c r="BF70" s="300"/>
      <c r="BG70" s="300"/>
      <c r="BH70" s="300"/>
      <c r="BI70" s="300"/>
      <c r="BJ70" s="300"/>
    </row>
    <row r="71" spans="1:62" ht="14.25" customHeight="1">
      <c r="A71" s="135" t="str">
        <f t="shared" si="3"/>
        <v/>
      </c>
      <c r="B71" s="162" t="str">
        <f>名簿!P68</f>
        <v/>
      </c>
      <c r="C71" s="162"/>
      <c r="D71" s="931"/>
      <c r="E71" s="182">
        <f>名簿!E68</f>
        <v>0</v>
      </c>
      <c r="F71" s="697" t="str">
        <f>名簿!CM68</f>
        <v/>
      </c>
      <c r="G71" s="162" t="str">
        <f>名簿!Z68</f>
        <v/>
      </c>
      <c r="H71" s="675" t="str">
        <f>名簿!CM68</f>
        <v/>
      </c>
      <c r="I71" s="187" t="str">
        <f>名簿!Y68</f>
        <v/>
      </c>
      <c r="J71" s="190" t="str">
        <f>名簿!CN68</f>
        <v/>
      </c>
      <c r="K71" s="1040">
        <f>名簿!CP68</f>
        <v>0</v>
      </c>
      <c r="L71" s="750" t="str">
        <f>名簿!CU68</f>
        <v>00</v>
      </c>
      <c r="M71" s="162" t="str">
        <f>名簿!Q68</f>
        <v/>
      </c>
      <c r="N71" s="697">
        <f>名簿!D68</f>
        <v>0</v>
      </c>
      <c r="O71" s="368"/>
      <c r="P71" s="292" t="str">
        <f t="shared" si="4"/>
        <v/>
      </c>
      <c r="Q71" s="1282" t="str">
        <f>IF(O71="","",HLOOKUP(O71,名簿!$AH$3:$CH$118,66,FALSE))</f>
        <v/>
      </c>
      <c r="R71" s="1282" t="str">
        <f t="shared" si="5"/>
        <v/>
      </c>
      <c r="S71" s="1282" t="str">
        <f t="shared" si="6"/>
        <v/>
      </c>
      <c r="T71" s="368"/>
      <c r="U71" s="292" t="str">
        <f t="shared" si="7"/>
        <v/>
      </c>
      <c r="V71" s="669" t="str">
        <f>IF(T71="","",HLOOKUP(T71,名簿!$AH$3:$CH$118,66,FALSE))</f>
        <v/>
      </c>
      <c r="W71" s="769" t="str">
        <f t="shared" si="8"/>
        <v/>
      </c>
      <c r="X71" s="774" t="str">
        <f t="shared" si="9"/>
        <v/>
      </c>
      <c r="Y71" s="954"/>
      <c r="Z71" s="950" t="str">
        <f>IF(Y71="","",IF(I71=1,VLOOKUP(Y71,男子種目コード!$A$1:$B$33,2,FALSE),IF(I71=2,VLOOKUP(Y71,女子種目コード!$A$1:$B$27,2,FALSE))))</f>
        <v/>
      </c>
      <c r="AA71" s="339"/>
      <c r="AB71" s="338"/>
      <c r="AC71" s="646"/>
      <c r="AD71" s="647"/>
      <c r="AE71" s="773" t="str">
        <f t="shared" si="10"/>
        <v/>
      </c>
      <c r="AF71" s="774" t="str">
        <f t="shared" si="11"/>
        <v/>
      </c>
      <c r="AG71" s="648"/>
      <c r="AH71" s="649"/>
      <c r="AI71" s="650"/>
      <c r="AJ71" s="20"/>
      <c r="AK71" s="20"/>
      <c r="AM71" s="143"/>
      <c r="AN71" s="135" t="str">
        <f t="shared" ref="AN71:AN102" si="17">IF(O71="","",1)</f>
        <v/>
      </c>
      <c r="AO71" s="135" t="str">
        <f t="shared" ref="AO71:AO102" si="18">IF(T71="","",1)</f>
        <v/>
      </c>
      <c r="AQ71" s="135"/>
      <c r="AR71" s="135"/>
      <c r="AS71" s="183">
        <f t="shared" ref="AS71:AS102" si="19">E71</f>
        <v>0</v>
      </c>
      <c r="AT71" s="356"/>
      <c r="AU71" s="324"/>
      <c r="AV71" s="324"/>
      <c r="AW71" s="324"/>
      <c r="AX71" s="300"/>
      <c r="AY71" s="325"/>
      <c r="AZ71" s="325"/>
      <c r="BA71" s="300"/>
      <c r="BB71" s="300"/>
      <c r="BC71" s="300"/>
      <c r="BD71" s="300"/>
      <c r="BE71" s="300"/>
      <c r="BF71" s="300"/>
      <c r="BG71" s="300"/>
      <c r="BH71" s="300"/>
      <c r="BI71" s="300"/>
      <c r="BJ71" s="300"/>
    </row>
    <row r="72" spans="1:62" ht="14.25" customHeight="1">
      <c r="A72" s="135" t="str">
        <f t="shared" ref="A72:A116" si="20">Z72</f>
        <v/>
      </c>
      <c r="B72" s="162" t="str">
        <f>名簿!P69</f>
        <v/>
      </c>
      <c r="C72" s="162"/>
      <c r="D72" s="931"/>
      <c r="E72" s="182">
        <f>名簿!E69</f>
        <v>0</v>
      </c>
      <c r="F72" s="697" t="str">
        <f>名簿!CM69</f>
        <v/>
      </c>
      <c r="G72" s="162" t="str">
        <f>名簿!Z69</f>
        <v/>
      </c>
      <c r="H72" s="675" t="str">
        <f>名簿!CM69</f>
        <v/>
      </c>
      <c r="I72" s="187" t="str">
        <f>名簿!Y69</f>
        <v/>
      </c>
      <c r="J72" s="190" t="str">
        <f>名簿!CN69</f>
        <v/>
      </c>
      <c r="K72" s="1040">
        <f>名簿!CP69</f>
        <v>0</v>
      </c>
      <c r="L72" s="750" t="str">
        <f>名簿!CU69</f>
        <v>00</v>
      </c>
      <c r="M72" s="162" t="str">
        <f>名簿!Q69</f>
        <v/>
      </c>
      <c r="N72" s="697">
        <f>名簿!D69</f>
        <v>0</v>
      </c>
      <c r="O72" s="368"/>
      <c r="P72" s="292" t="str">
        <f t="shared" ref="P72:P116" si="21">IF(O72="","",IF(I72=1,VLOOKUP(O72,$AT$8:$AV$33,3,FALSE),IF(I72=2,VLOOKUP(O72,$AT$36:$AV$56,3,FALSE))))</f>
        <v/>
      </c>
      <c r="Q72" s="1282" t="str">
        <f>IF(O72="","",HLOOKUP(O72,名簿!$AH$3:$CH$118,67,FALSE))</f>
        <v/>
      </c>
      <c r="R72" s="1282" t="str">
        <f t="shared" ref="R72:R116" si="22">IF(O72="","",0)</f>
        <v/>
      </c>
      <c r="S72" s="1282" t="str">
        <f t="shared" ref="S72:S116" si="23">IF(O72="","",2)</f>
        <v/>
      </c>
      <c r="T72" s="368"/>
      <c r="U72" s="292" t="str">
        <f t="shared" ref="U72:U116" si="24">IF(T72="","",IF(I72=1,VLOOKUP(T72,$AT$8:$AV$33,3,FALSE),IF(I72=2,VLOOKUP(T72,$AT$36:$AV$56,3,FALSE))))</f>
        <v/>
      </c>
      <c r="V72" s="669" t="str">
        <f>IF(T72="","",HLOOKUP(T72,名簿!$AH$3:$CH$118,67,FALSE))</f>
        <v/>
      </c>
      <c r="W72" s="769" t="str">
        <f t="shared" ref="W72:W116" si="25">IF(T72="","",0)</f>
        <v/>
      </c>
      <c r="X72" s="774" t="str">
        <f t="shared" ref="X72:X116" si="26">IF(T72="","",2)</f>
        <v/>
      </c>
      <c r="Y72" s="954"/>
      <c r="Z72" s="950" t="str">
        <f>IF(Y72="","",IF(I72=1,VLOOKUP(Y72,男子種目コード!$A$1:$B$33,2,FALSE),IF(I72=2,VLOOKUP(Y72,女子種目コード!$A$1:$B$27,2,FALSE))))</f>
        <v/>
      </c>
      <c r="AA72" s="339"/>
      <c r="AB72" s="338"/>
      <c r="AC72" s="646"/>
      <c r="AD72" s="647"/>
      <c r="AE72" s="773" t="str">
        <f t="shared" ref="AE72:AE116" si="27">IF(AB72="","",0)</f>
        <v/>
      </c>
      <c r="AF72" s="774" t="str">
        <f t="shared" ref="AF72:AF116" si="28">IF(AB72="","",2)</f>
        <v/>
      </c>
      <c r="AG72" s="648"/>
      <c r="AH72" s="649"/>
      <c r="AI72" s="650"/>
      <c r="AJ72" s="20"/>
      <c r="AK72" s="20"/>
      <c r="AM72" s="143"/>
      <c r="AN72" s="135" t="str">
        <f t="shared" si="17"/>
        <v/>
      </c>
      <c r="AO72" s="135" t="str">
        <f t="shared" si="18"/>
        <v/>
      </c>
      <c r="AQ72" s="135"/>
      <c r="AR72" s="135"/>
      <c r="AS72" s="183">
        <f t="shared" si="19"/>
        <v>0</v>
      </c>
      <c r="AT72" s="356"/>
      <c r="AU72" s="324"/>
      <c r="AV72" s="324"/>
      <c r="AW72" s="324"/>
      <c r="AX72" s="300"/>
      <c r="AY72" s="325"/>
      <c r="AZ72" s="325"/>
      <c r="BA72" s="300"/>
      <c r="BB72" s="300"/>
      <c r="BC72" s="300"/>
      <c r="BD72" s="300"/>
      <c r="BE72" s="300"/>
      <c r="BF72" s="300"/>
      <c r="BG72" s="300"/>
      <c r="BH72" s="300"/>
      <c r="BI72" s="300"/>
      <c r="BJ72" s="300"/>
    </row>
    <row r="73" spans="1:62" ht="14.25" customHeight="1">
      <c r="A73" s="135" t="str">
        <f t="shared" si="20"/>
        <v/>
      </c>
      <c r="B73" s="162" t="str">
        <f>名簿!P70</f>
        <v/>
      </c>
      <c r="C73" s="162"/>
      <c r="D73" s="931"/>
      <c r="E73" s="182">
        <f>名簿!E70</f>
        <v>0</v>
      </c>
      <c r="F73" s="697" t="str">
        <f>名簿!CM70</f>
        <v/>
      </c>
      <c r="G73" s="162" t="str">
        <f>名簿!Z70</f>
        <v/>
      </c>
      <c r="H73" s="675" t="str">
        <f>名簿!CM70</f>
        <v/>
      </c>
      <c r="I73" s="187" t="str">
        <f>名簿!Y70</f>
        <v/>
      </c>
      <c r="J73" s="190" t="str">
        <f>名簿!CN70</f>
        <v/>
      </c>
      <c r="K73" s="1040">
        <f>名簿!CP70</f>
        <v>0</v>
      </c>
      <c r="L73" s="750" t="str">
        <f>名簿!CU70</f>
        <v>00</v>
      </c>
      <c r="M73" s="162" t="str">
        <f>名簿!Q70</f>
        <v/>
      </c>
      <c r="N73" s="697">
        <f>名簿!D70</f>
        <v>0</v>
      </c>
      <c r="O73" s="368"/>
      <c r="P73" s="292" t="str">
        <f t="shared" si="21"/>
        <v/>
      </c>
      <c r="Q73" s="1282" t="str">
        <f>IF(O73="","",HLOOKUP(O73,名簿!$AH$3:$CH$118,68,FALSE))</f>
        <v/>
      </c>
      <c r="R73" s="1282" t="str">
        <f t="shared" si="22"/>
        <v/>
      </c>
      <c r="S73" s="1282" t="str">
        <f t="shared" si="23"/>
        <v/>
      </c>
      <c r="T73" s="368"/>
      <c r="U73" s="292" t="str">
        <f t="shared" si="24"/>
        <v/>
      </c>
      <c r="V73" s="669" t="str">
        <f>IF(T73="","",HLOOKUP(T73,名簿!$AH$3:$CH$118,68,FALSE))</f>
        <v/>
      </c>
      <c r="W73" s="769" t="str">
        <f t="shared" si="25"/>
        <v/>
      </c>
      <c r="X73" s="774" t="str">
        <f t="shared" si="26"/>
        <v/>
      </c>
      <c r="Y73" s="954"/>
      <c r="Z73" s="950" t="str">
        <f>IF(Y73="","",IF(I73=1,VLOOKUP(Y73,男子種目コード!$A$1:$B$33,2,FALSE),IF(I73=2,VLOOKUP(Y73,女子種目コード!$A$1:$B$27,2,FALSE))))</f>
        <v/>
      </c>
      <c r="AA73" s="339"/>
      <c r="AB73" s="338"/>
      <c r="AC73" s="646"/>
      <c r="AD73" s="647"/>
      <c r="AE73" s="773" t="str">
        <f t="shared" si="27"/>
        <v/>
      </c>
      <c r="AF73" s="774" t="str">
        <f t="shared" si="28"/>
        <v/>
      </c>
      <c r="AG73" s="648"/>
      <c r="AH73" s="649"/>
      <c r="AI73" s="650"/>
      <c r="AJ73" s="20"/>
      <c r="AK73" s="20"/>
      <c r="AM73" s="143"/>
      <c r="AN73" s="135" t="str">
        <f t="shared" si="17"/>
        <v/>
      </c>
      <c r="AO73" s="135" t="str">
        <f t="shared" si="18"/>
        <v/>
      </c>
      <c r="AQ73" s="135"/>
      <c r="AR73" s="135"/>
      <c r="AS73" s="183">
        <f t="shared" si="19"/>
        <v>0</v>
      </c>
      <c r="AT73" s="356"/>
      <c r="AU73" s="324"/>
      <c r="AV73" s="324"/>
      <c r="AW73" s="324"/>
      <c r="AX73" s="300"/>
      <c r="AY73" s="325"/>
      <c r="AZ73" s="325"/>
      <c r="BA73" s="300"/>
      <c r="BB73" s="300"/>
      <c r="BC73" s="300"/>
      <c r="BD73" s="300"/>
      <c r="BE73" s="300"/>
      <c r="BF73" s="300"/>
      <c r="BG73" s="300"/>
      <c r="BH73" s="300"/>
      <c r="BI73" s="300"/>
      <c r="BJ73" s="300"/>
    </row>
    <row r="74" spans="1:62" ht="14.25" customHeight="1">
      <c r="A74" s="135" t="str">
        <f t="shared" si="20"/>
        <v/>
      </c>
      <c r="B74" s="162" t="str">
        <f>名簿!P71</f>
        <v/>
      </c>
      <c r="C74" s="162"/>
      <c r="D74" s="931"/>
      <c r="E74" s="182">
        <f>名簿!E71</f>
        <v>0</v>
      </c>
      <c r="F74" s="697" t="str">
        <f>名簿!CM71</f>
        <v/>
      </c>
      <c r="G74" s="162" t="str">
        <f>名簿!Z71</f>
        <v/>
      </c>
      <c r="H74" s="675" t="str">
        <f>名簿!CM71</f>
        <v/>
      </c>
      <c r="I74" s="187" t="str">
        <f>名簿!Y71</f>
        <v/>
      </c>
      <c r="J74" s="190" t="str">
        <f>名簿!CN71</f>
        <v/>
      </c>
      <c r="K74" s="1040">
        <f>名簿!CP71</f>
        <v>0</v>
      </c>
      <c r="L74" s="750" t="str">
        <f>名簿!CU71</f>
        <v>00</v>
      </c>
      <c r="M74" s="162" t="str">
        <f>名簿!Q71</f>
        <v/>
      </c>
      <c r="N74" s="697">
        <f>名簿!D71</f>
        <v>0</v>
      </c>
      <c r="O74" s="368"/>
      <c r="P74" s="292" t="str">
        <f t="shared" si="21"/>
        <v/>
      </c>
      <c r="Q74" s="1282" t="str">
        <f>IF(O74="","",HLOOKUP(O74,名簿!$AH$3:$CH$118,69,FALSE))</f>
        <v/>
      </c>
      <c r="R74" s="1282" t="str">
        <f t="shared" si="22"/>
        <v/>
      </c>
      <c r="S74" s="1282" t="str">
        <f t="shared" si="23"/>
        <v/>
      </c>
      <c r="T74" s="368"/>
      <c r="U74" s="292" t="str">
        <f t="shared" si="24"/>
        <v/>
      </c>
      <c r="V74" s="669" t="str">
        <f>IF(T74="","",HLOOKUP(T74,名簿!$AH$3:$CH$118,69,FALSE))</f>
        <v/>
      </c>
      <c r="W74" s="769" t="str">
        <f t="shared" si="25"/>
        <v/>
      </c>
      <c r="X74" s="774" t="str">
        <f t="shared" si="26"/>
        <v/>
      </c>
      <c r="Y74" s="954"/>
      <c r="Z74" s="950" t="str">
        <f>IF(Y74="","",IF(I74=1,VLOOKUP(Y74,男子種目コード!$A$1:$B$33,2,FALSE),IF(I74=2,VLOOKUP(Y74,女子種目コード!$A$1:$B$27,2,FALSE))))</f>
        <v/>
      </c>
      <c r="AA74" s="339"/>
      <c r="AB74" s="338"/>
      <c r="AC74" s="646"/>
      <c r="AD74" s="647"/>
      <c r="AE74" s="773" t="str">
        <f t="shared" si="27"/>
        <v/>
      </c>
      <c r="AF74" s="774" t="str">
        <f t="shared" si="28"/>
        <v/>
      </c>
      <c r="AG74" s="648"/>
      <c r="AH74" s="649"/>
      <c r="AI74" s="650"/>
      <c r="AJ74" s="20"/>
      <c r="AK74" s="20"/>
      <c r="AM74" s="143"/>
      <c r="AN74" s="135" t="str">
        <f t="shared" si="17"/>
        <v/>
      </c>
      <c r="AO74" s="135" t="str">
        <f t="shared" si="18"/>
        <v/>
      </c>
      <c r="AQ74" s="135"/>
      <c r="AR74" s="135"/>
      <c r="AS74" s="183">
        <f t="shared" si="19"/>
        <v>0</v>
      </c>
      <c r="AT74" s="356"/>
      <c r="AU74" s="324"/>
      <c r="AV74" s="324"/>
      <c r="AW74" s="324"/>
      <c r="AX74" s="300"/>
      <c r="AY74" s="325"/>
      <c r="AZ74" s="325"/>
      <c r="BA74" s="300"/>
      <c r="BB74" s="300"/>
      <c r="BC74" s="300"/>
      <c r="BD74" s="300"/>
      <c r="BE74" s="300"/>
      <c r="BF74" s="300"/>
      <c r="BG74" s="300"/>
      <c r="BH74" s="300"/>
      <c r="BI74" s="300"/>
      <c r="BJ74" s="300"/>
    </row>
    <row r="75" spans="1:62" ht="14.25" customHeight="1">
      <c r="A75" s="135" t="str">
        <f t="shared" si="20"/>
        <v/>
      </c>
      <c r="B75" s="162" t="str">
        <f>名簿!P72</f>
        <v/>
      </c>
      <c r="C75" s="162"/>
      <c r="D75" s="931"/>
      <c r="E75" s="182">
        <f>名簿!E72</f>
        <v>0</v>
      </c>
      <c r="F75" s="697" t="str">
        <f>名簿!CM72</f>
        <v/>
      </c>
      <c r="G75" s="162" t="str">
        <f>名簿!Z72</f>
        <v/>
      </c>
      <c r="H75" s="675" t="str">
        <f>名簿!CM72</f>
        <v/>
      </c>
      <c r="I75" s="187" t="str">
        <f>名簿!Y72</f>
        <v/>
      </c>
      <c r="J75" s="190" t="str">
        <f>名簿!CN72</f>
        <v/>
      </c>
      <c r="K75" s="1040">
        <f>名簿!CP72</f>
        <v>0</v>
      </c>
      <c r="L75" s="750" t="str">
        <f>名簿!CU72</f>
        <v>00</v>
      </c>
      <c r="M75" s="162" t="str">
        <f>名簿!Q72</f>
        <v/>
      </c>
      <c r="N75" s="697">
        <f>名簿!D72</f>
        <v>0</v>
      </c>
      <c r="O75" s="368"/>
      <c r="P75" s="292" t="str">
        <f t="shared" si="21"/>
        <v/>
      </c>
      <c r="Q75" s="1282" t="str">
        <f>IF(O75="","",HLOOKUP(O75,名簿!$AH$3:$CH$118,70,FALSE))</f>
        <v/>
      </c>
      <c r="R75" s="1282" t="str">
        <f t="shared" si="22"/>
        <v/>
      </c>
      <c r="S75" s="1282" t="str">
        <f t="shared" si="23"/>
        <v/>
      </c>
      <c r="T75" s="368"/>
      <c r="U75" s="292" t="str">
        <f t="shared" si="24"/>
        <v/>
      </c>
      <c r="V75" s="669" t="str">
        <f>IF(T75="","",HLOOKUP(T75,名簿!$AH$3:$CH$118,70,FALSE))</f>
        <v/>
      </c>
      <c r="W75" s="769" t="str">
        <f t="shared" si="25"/>
        <v/>
      </c>
      <c r="X75" s="774" t="str">
        <f t="shared" si="26"/>
        <v/>
      </c>
      <c r="Y75" s="954"/>
      <c r="Z75" s="950" t="str">
        <f>IF(Y75="","",IF(I75=1,VLOOKUP(Y75,男子種目コード!$A$1:$B$33,2,FALSE),IF(I75=2,VLOOKUP(Y75,女子種目コード!$A$1:$B$27,2,FALSE))))</f>
        <v/>
      </c>
      <c r="AA75" s="339"/>
      <c r="AB75" s="338"/>
      <c r="AC75" s="646"/>
      <c r="AD75" s="647"/>
      <c r="AE75" s="773" t="str">
        <f t="shared" si="27"/>
        <v/>
      </c>
      <c r="AF75" s="774" t="str">
        <f t="shared" si="28"/>
        <v/>
      </c>
      <c r="AG75" s="648"/>
      <c r="AH75" s="649"/>
      <c r="AI75" s="650"/>
      <c r="AJ75" s="20"/>
      <c r="AK75" s="20"/>
      <c r="AM75" s="143"/>
      <c r="AN75" s="135" t="str">
        <f t="shared" si="17"/>
        <v/>
      </c>
      <c r="AO75" s="135" t="str">
        <f t="shared" si="18"/>
        <v/>
      </c>
      <c r="AQ75" s="135"/>
      <c r="AR75" s="135"/>
      <c r="AS75" s="183">
        <f t="shared" si="19"/>
        <v>0</v>
      </c>
      <c r="AT75" s="356"/>
      <c r="AU75" s="324"/>
      <c r="AV75" s="324"/>
      <c r="AW75" s="324"/>
      <c r="AX75" s="300"/>
      <c r="AY75" s="325"/>
      <c r="AZ75" s="325"/>
      <c r="BA75" s="300"/>
      <c r="BB75" s="300"/>
      <c r="BC75" s="300"/>
      <c r="BD75" s="300"/>
      <c r="BE75" s="300"/>
      <c r="BF75" s="300"/>
      <c r="BG75" s="300"/>
      <c r="BH75" s="300"/>
      <c r="BI75" s="300"/>
      <c r="BJ75" s="300"/>
    </row>
    <row r="76" spans="1:62" ht="14.25" customHeight="1">
      <c r="A76" s="135" t="str">
        <f t="shared" si="20"/>
        <v/>
      </c>
      <c r="B76" s="162" t="str">
        <f>名簿!P73</f>
        <v/>
      </c>
      <c r="C76" s="162"/>
      <c r="D76" s="931"/>
      <c r="E76" s="182">
        <f>名簿!E73</f>
        <v>0</v>
      </c>
      <c r="F76" s="697" t="str">
        <f>名簿!CM73</f>
        <v/>
      </c>
      <c r="G76" s="162" t="str">
        <f>名簿!Z73</f>
        <v/>
      </c>
      <c r="H76" s="675" t="str">
        <f>名簿!CM73</f>
        <v/>
      </c>
      <c r="I76" s="187" t="str">
        <f>名簿!Y73</f>
        <v/>
      </c>
      <c r="J76" s="190" t="str">
        <f>名簿!CN73</f>
        <v/>
      </c>
      <c r="K76" s="1040">
        <f>名簿!CP73</f>
        <v>0</v>
      </c>
      <c r="L76" s="750" t="str">
        <f>名簿!CU73</f>
        <v>00</v>
      </c>
      <c r="M76" s="162" t="str">
        <f>名簿!Q73</f>
        <v/>
      </c>
      <c r="N76" s="697">
        <f>名簿!D73</f>
        <v>0</v>
      </c>
      <c r="O76" s="368"/>
      <c r="P76" s="292" t="str">
        <f t="shared" si="21"/>
        <v/>
      </c>
      <c r="Q76" s="1282" t="str">
        <f>IF(O76="","",HLOOKUP(O76,名簿!$AH$3:$CH$118,71,FALSE))</f>
        <v/>
      </c>
      <c r="R76" s="1282" t="str">
        <f t="shared" si="22"/>
        <v/>
      </c>
      <c r="S76" s="1282" t="str">
        <f t="shared" si="23"/>
        <v/>
      </c>
      <c r="T76" s="368"/>
      <c r="U76" s="292" t="str">
        <f t="shared" si="24"/>
        <v/>
      </c>
      <c r="V76" s="669" t="str">
        <f>IF(T76="","",HLOOKUP(T76,名簿!$AH$3:$CH$118,71,FALSE))</f>
        <v/>
      </c>
      <c r="W76" s="769" t="str">
        <f t="shared" si="25"/>
        <v/>
      </c>
      <c r="X76" s="774" t="str">
        <f t="shared" si="26"/>
        <v/>
      </c>
      <c r="Y76" s="954"/>
      <c r="Z76" s="950" t="str">
        <f>IF(Y76="","",IF(I76=1,VLOOKUP(Y76,男子種目コード!$A$1:$B$33,2,FALSE),IF(I76=2,VLOOKUP(Y76,女子種目コード!$A$1:$B$27,2,FALSE))))</f>
        <v/>
      </c>
      <c r="AA76" s="339"/>
      <c r="AB76" s="338"/>
      <c r="AC76" s="646"/>
      <c r="AD76" s="647"/>
      <c r="AE76" s="773" t="str">
        <f t="shared" si="27"/>
        <v/>
      </c>
      <c r="AF76" s="774" t="str">
        <f t="shared" si="28"/>
        <v/>
      </c>
      <c r="AG76" s="648"/>
      <c r="AH76" s="649"/>
      <c r="AI76" s="650"/>
      <c r="AJ76" s="20"/>
      <c r="AK76" s="20"/>
      <c r="AM76" s="143"/>
      <c r="AN76" s="135" t="str">
        <f t="shared" si="17"/>
        <v/>
      </c>
      <c r="AO76" s="135" t="str">
        <f t="shared" si="18"/>
        <v/>
      </c>
      <c r="AQ76" s="135"/>
      <c r="AR76" s="135"/>
      <c r="AS76" s="183">
        <f t="shared" si="19"/>
        <v>0</v>
      </c>
      <c r="AT76" s="356"/>
      <c r="AU76" s="324"/>
      <c r="AV76" s="324"/>
      <c r="AW76" s="324"/>
      <c r="AX76" s="300"/>
      <c r="AY76" s="325"/>
      <c r="AZ76" s="325"/>
      <c r="BA76" s="300"/>
      <c r="BB76" s="300"/>
      <c r="BC76" s="300"/>
      <c r="BD76" s="300"/>
      <c r="BE76" s="300"/>
      <c r="BF76" s="300"/>
      <c r="BG76" s="300"/>
      <c r="BH76" s="300"/>
      <c r="BI76" s="300"/>
      <c r="BJ76" s="300"/>
    </row>
    <row r="77" spans="1:62" ht="14.25" customHeight="1">
      <c r="A77" s="135" t="str">
        <f t="shared" si="20"/>
        <v/>
      </c>
      <c r="B77" s="162" t="str">
        <f>名簿!P74</f>
        <v/>
      </c>
      <c r="C77" s="162"/>
      <c r="D77" s="931"/>
      <c r="E77" s="182">
        <f>名簿!E74</f>
        <v>0</v>
      </c>
      <c r="F77" s="697" t="str">
        <f>名簿!CM74</f>
        <v/>
      </c>
      <c r="G77" s="162" t="str">
        <f>名簿!Z74</f>
        <v/>
      </c>
      <c r="H77" s="675" t="str">
        <f>名簿!CM74</f>
        <v/>
      </c>
      <c r="I77" s="187" t="str">
        <f>名簿!Y74</f>
        <v/>
      </c>
      <c r="J77" s="190" t="str">
        <f>名簿!CN74</f>
        <v/>
      </c>
      <c r="K77" s="1040">
        <f>名簿!CP74</f>
        <v>0</v>
      </c>
      <c r="L77" s="750" t="str">
        <f>名簿!CU74</f>
        <v>00</v>
      </c>
      <c r="M77" s="162" t="str">
        <f>名簿!Q74</f>
        <v/>
      </c>
      <c r="N77" s="697">
        <f>名簿!D74</f>
        <v>0</v>
      </c>
      <c r="O77" s="368"/>
      <c r="P77" s="292" t="str">
        <f t="shared" si="21"/>
        <v/>
      </c>
      <c r="Q77" s="1282" t="str">
        <f>IF(O77="","",HLOOKUP(O77,名簿!$AH$3:$CH$118,72,FALSE))</f>
        <v/>
      </c>
      <c r="R77" s="1282" t="str">
        <f t="shared" si="22"/>
        <v/>
      </c>
      <c r="S77" s="1282" t="str">
        <f t="shared" si="23"/>
        <v/>
      </c>
      <c r="T77" s="368"/>
      <c r="U77" s="292" t="str">
        <f t="shared" si="24"/>
        <v/>
      </c>
      <c r="V77" s="669" t="str">
        <f>IF(T77="","",HLOOKUP(T77,名簿!$AH$3:$CH$118,72,FALSE))</f>
        <v/>
      </c>
      <c r="W77" s="769" t="str">
        <f t="shared" si="25"/>
        <v/>
      </c>
      <c r="X77" s="774" t="str">
        <f t="shared" si="26"/>
        <v/>
      </c>
      <c r="Y77" s="954"/>
      <c r="Z77" s="950" t="str">
        <f>IF(Y77="","",IF(I77=1,VLOOKUP(Y77,男子種目コード!$A$1:$B$33,2,FALSE),IF(I77=2,VLOOKUP(Y77,女子種目コード!$A$1:$B$27,2,FALSE))))</f>
        <v/>
      </c>
      <c r="AA77" s="339"/>
      <c r="AB77" s="338"/>
      <c r="AC77" s="646"/>
      <c r="AD77" s="647"/>
      <c r="AE77" s="773" t="str">
        <f t="shared" si="27"/>
        <v/>
      </c>
      <c r="AF77" s="774" t="str">
        <f t="shared" si="28"/>
        <v/>
      </c>
      <c r="AG77" s="648"/>
      <c r="AH77" s="649"/>
      <c r="AI77" s="650"/>
      <c r="AJ77" s="20"/>
      <c r="AK77" s="20"/>
      <c r="AM77" s="143"/>
      <c r="AN77" s="135" t="str">
        <f t="shared" si="17"/>
        <v/>
      </c>
      <c r="AO77" s="135" t="str">
        <f t="shared" si="18"/>
        <v/>
      </c>
      <c r="AQ77" s="135"/>
      <c r="AR77" s="135"/>
      <c r="AS77" s="183">
        <f t="shared" si="19"/>
        <v>0</v>
      </c>
      <c r="AT77" s="356"/>
      <c r="AU77" s="324"/>
      <c r="AV77" s="324"/>
      <c r="AW77" s="324"/>
      <c r="AX77" s="300"/>
      <c r="AY77" s="325"/>
      <c r="AZ77" s="325"/>
      <c r="BA77" s="300"/>
      <c r="BB77" s="300"/>
      <c r="BC77" s="300"/>
      <c r="BD77" s="300"/>
      <c r="BE77" s="300"/>
      <c r="BF77" s="300"/>
      <c r="BG77" s="300"/>
      <c r="BH77" s="300"/>
      <c r="BI77" s="300"/>
      <c r="BJ77" s="300"/>
    </row>
    <row r="78" spans="1:62" ht="14.25" customHeight="1">
      <c r="A78" s="135" t="str">
        <f t="shared" si="20"/>
        <v/>
      </c>
      <c r="B78" s="162" t="str">
        <f>名簿!P75</f>
        <v/>
      </c>
      <c r="C78" s="162"/>
      <c r="D78" s="931"/>
      <c r="E78" s="182">
        <f>名簿!E75</f>
        <v>0</v>
      </c>
      <c r="F78" s="697" t="str">
        <f>名簿!CM75</f>
        <v/>
      </c>
      <c r="G78" s="162" t="str">
        <f>名簿!Z75</f>
        <v/>
      </c>
      <c r="H78" s="675" t="str">
        <f>名簿!CM75</f>
        <v/>
      </c>
      <c r="I78" s="187" t="str">
        <f>名簿!Y75</f>
        <v/>
      </c>
      <c r="J78" s="190" t="str">
        <f>名簿!CN75</f>
        <v/>
      </c>
      <c r="K78" s="1040">
        <f>名簿!CP75</f>
        <v>0</v>
      </c>
      <c r="L78" s="750" t="str">
        <f>名簿!CU75</f>
        <v>00</v>
      </c>
      <c r="M78" s="162" t="str">
        <f>名簿!Q75</f>
        <v/>
      </c>
      <c r="N78" s="697">
        <f>名簿!D75</f>
        <v>0</v>
      </c>
      <c r="O78" s="368"/>
      <c r="P78" s="292" t="str">
        <f t="shared" si="21"/>
        <v/>
      </c>
      <c r="Q78" s="1282" t="str">
        <f>IF(O78="","",HLOOKUP(O78,名簿!$AH$3:$CH$118,73,FALSE))</f>
        <v/>
      </c>
      <c r="R78" s="1282" t="str">
        <f t="shared" si="22"/>
        <v/>
      </c>
      <c r="S78" s="1282" t="str">
        <f t="shared" si="23"/>
        <v/>
      </c>
      <c r="T78" s="368"/>
      <c r="U78" s="292" t="str">
        <f t="shared" si="24"/>
        <v/>
      </c>
      <c r="V78" s="669" t="str">
        <f>IF(T78="","",HLOOKUP(T78,名簿!$AH$3:$CH$118,73,FALSE))</f>
        <v/>
      </c>
      <c r="W78" s="769" t="str">
        <f t="shared" si="25"/>
        <v/>
      </c>
      <c r="X78" s="774" t="str">
        <f t="shared" si="26"/>
        <v/>
      </c>
      <c r="Y78" s="954"/>
      <c r="Z78" s="950" t="str">
        <f>IF(Y78="","",IF(I78=1,VLOOKUP(Y78,男子種目コード!$A$1:$B$33,2,FALSE),IF(I78=2,VLOOKUP(Y78,女子種目コード!$A$1:$B$27,2,FALSE))))</f>
        <v/>
      </c>
      <c r="AA78" s="339"/>
      <c r="AB78" s="338"/>
      <c r="AC78" s="646"/>
      <c r="AD78" s="647"/>
      <c r="AE78" s="773" t="str">
        <f t="shared" si="27"/>
        <v/>
      </c>
      <c r="AF78" s="774" t="str">
        <f t="shared" si="28"/>
        <v/>
      </c>
      <c r="AG78" s="648"/>
      <c r="AH78" s="649"/>
      <c r="AI78" s="650"/>
      <c r="AJ78" s="20"/>
      <c r="AK78" s="20"/>
      <c r="AM78" s="143"/>
      <c r="AN78" s="135" t="str">
        <f t="shared" si="17"/>
        <v/>
      </c>
      <c r="AO78" s="135" t="str">
        <f t="shared" si="18"/>
        <v/>
      </c>
      <c r="AQ78" s="135"/>
      <c r="AR78" s="135"/>
      <c r="AS78" s="183">
        <f t="shared" si="19"/>
        <v>0</v>
      </c>
      <c r="AT78" s="356"/>
      <c r="AU78" s="324"/>
      <c r="AV78" s="324"/>
      <c r="AW78" s="324"/>
      <c r="AX78" s="300"/>
      <c r="AY78" s="325"/>
      <c r="AZ78" s="325"/>
      <c r="BA78" s="300"/>
      <c r="BB78" s="300"/>
      <c r="BC78" s="300"/>
      <c r="BD78" s="300"/>
      <c r="BE78" s="300"/>
      <c r="BF78" s="300"/>
      <c r="BG78" s="300"/>
      <c r="BH78" s="300"/>
      <c r="BI78" s="300"/>
      <c r="BJ78" s="300"/>
    </row>
    <row r="79" spans="1:62" ht="14.25" customHeight="1">
      <c r="A79" s="135" t="str">
        <f t="shared" si="20"/>
        <v/>
      </c>
      <c r="B79" s="162" t="str">
        <f>名簿!P76</f>
        <v/>
      </c>
      <c r="C79" s="162"/>
      <c r="D79" s="931"/>
      <c r="E79" s="182">
        <f>名簿!E76</f>
        <v>0</v>
      </c>
      <c r="F79" s="697" t="str">
        <f>名簿!CM76</f>
        <v/>
      </c>
      <c r="G79" s="162" t="str">
        <f>名簿!Z76</f>
        <v/>
      </c>
      <c r="H79" s="675" t="str">
        <f>名簿!CM76</f>
        <v/>
      </c>
      <c r="I79" s="187" t="str">
        <f>名簿!Y76</f>
        <v/>
      </c>
      <c r="J79" s="190" t="str">
        <f>名簿!CN76</f>
        <v/>
      </c>
      <c r="K79" s="1040">
        <f>名簿!CP76</f>
        <v>0</v>
      </c>
      <c r="L79" s="750" t="str">
        <f>名簿!CU76</f>
        <v>00</v>
      </c>
      <c r="M79" s="162" t="str">
        <f>名簿!Q76</f>
        <v/>
      </c>
      <c r="N79" s="697">
        <f>名簿!D76</f>
        <v>0</v>
      </c>
      <c r="O79" s="368"/>
      <c r="P79" s="292" t="str">
        <f t="shared" si="21"/>
        <v/>
      </c>
      <c r="Q79" s="1282" t="str">
        <f>IF(O79="","",HLOOKUP(O79,名簿!$AH$3:$CH$118,74,FALSE))</f>
        <v/>
      </c>
      <c r="R79" s="1282" t="str">
        <f t="shared" si="22"/>
        <v/>
      </c>
      <c r="S79" s="1282" t="str">
        <f t="shared" si="23"/>
        <v/>
      </c>
      <c r="T79" s="368"/>
      <c r="U79" s="292" t="str">
        <f t="shared" si="24"/>
        <v/>
      </c>
      <c r="V79" s="669" t="str">
        <f>IF(T79="","",HLOOKUP(T79,名簿!$AH$3:$CH$118,74,FALSE))</f>
        <v/>
      </c>
      <c r="W79" s="769" t="str">
        <f t="shared" si="25"/>
        <v/>
      </c>
      <c r="X79" s="774" t="str">
        <f t="shared" si="26"/>
        <v/>
      </c>
      <c r="Y79" s="954"/>
      <c r="Z79" s="950" t="str">
        <f>IF(Y79="","",IF(I79=1,VLOOKUP(Y79,男子種目コード!$A$1:$B$33,2,FALSE),IF(I79=2,VLOOKUP(Y79,女子種目コード!$A$1:$B$27,2,FALSE))))</f>
        <v/>
      </c>
      <c r="AA79" s="339"/>
      <c r="AB79" s="338"/>
      <c r="AC79" s="646"/>
      <c r="AD79" s="647"/>
      <c r="AE79" s="773" t="str">
        <f t="shared" si="27"/>
        <v/>
      </c>
      <c r="AF79" s="774" t="str">
        <f t="shared" si="28"/>
        <v/>
      </c>
      <c r="AG79" s="648"/>
      <c r="AH79" s="649"/>
      <c r="AI79" s="650"/>
      <c r="AJ79" s="20"/>
      <c r="AK79" s="20"/>
      <c r="AM79" s="143"/>
      <c r="AN79" s="135" t="str">
        <f t="shared" si="17"/>
        <v/>
      </c>
      <c r="AO79" s="135" t="str">
        <f t="shared" si="18"/>
        <v/>
      </c>
      <c r="AQ79" s="135"/>
      <c r="AR79" s="135"/>
      <c r="AS79" s="183">
        <f t="shared" si="19"/>
        <v>0</v>
      </c>
      <c r="AT79" s="356"/>
      <c r="AU79" s="324"/>
      <c r="AV79" s="324"/>
      <c r="AW79" s="324"/>
      <c r="AX79" s="300"/>
      <c r="AY79" s="325"/>
      <c r="AZ79" s="325"/>
      <c r="BA79" s="300"/>
      <c r="BB79" s="300"/>
      <c r="BC79" s="300"/>
      <c r="BD79" s="300"/>
      <c r="BE79" s="300"/>
      <c r="BF79" s="300"/>
      <c r="BG79" s="300"/>
      <c r="BH79" s="300"/>
      <c r="BI79" s="300"/>
      <c r="BJ79" s="300"/>
    </row>
    <row r="80" spans="1:62" ht="14.25" customHeight="1">
      <c r="A80" s="135" t="str">
        <f t="shared" si="20"/>
        <v/>
      </c>
      <c r="B80" s="162" t="str">
        <f>名簿!P77</f>
        <v/>
      </c>
      <c r="C80" s="162"/>
      <c r="D80" s="931"/>
      <c r="E80" s="182">
        <f>名簿!E77</f>
        <v>0</v>
      </c>
      <c r="F80" s="697" t="str">
        <f>名簿!CM77</f>
        <v/>
      </c>
      <c r="G80" s="162" t="str">
        <f>名簿!Z77</f>
        <v/>
      </c>
      <c r="H80" s="675" t="str">
        <f>名簿!CM77</f>
        <v/>
      </c>
      <c r="I80" s="187" t="str">
        <f>名簿!Y77</f>
        <v/>
      </c>
      <c r="J80" s="190" t="str">
        <f>名簿!CN77</f>
        <v/>
      </c>
      <c r="K80" s="1040">
        <f>名簿!CP77</f>
        <v>0</v>
      </c>
      <c r="L80" s="750" t="str">
        <f>名簿!CU77</f>
        <v>00</v>
      </c>
      <c r="M80" s="162" t="str">
        <f>名簿!Q77</f>
        <v/>
      </c>
      <c r="N80" s="697">
        <f>名簿!D77</f>
        <v>0</v>
      </c>
      <c r="O80" s="368"/>
      <c r="P80" s="292" t="str">
        <f t="shared" si="21"/>
        <v/>
      </c>
      <c r="Q80" s="1282" t="str">
        <f>IF(O80="","",HLOOKUP(O80,名簿!$AH$3:$CH$118,75,FALSE))</f>
        <v/>
      </c>
      <c r="R80" s="1282" t="str">
        <f t="shared" si="22"/>
        <v/>
      </c>
      <c r="S80" s="1282" t="str">
        <f t="shared" si="23"/>
        <v/>
      </c>
      <c r="T80" s="368"/>
      <c r="U80" s="292" t="str">
        <f t="shared" si="24"/>
        <v/>
      </c>
      <c r="V80" s="669" t="str">
        <f>IF(T80="","",HLOOKUP(T80,名簿!$AH$3:$CH$118,75,FALSE))</f>
        <v/>
      </c>
      <c r="W80" s="769" t="str">
        <f t="shared" si="25"/>
        <v/>
      </c>
      <c r="X80" s="774" t="str">
        <f t="shared" si="26"/>
        <v/>
      </c>
      <c r="Y80" s="954"/>
      <c r="Z80" s="950" t="str">
        <f>IF(Y80="","",IF(I80=1,VLOOKUP(Y80,男子種目コード!$A$1:$B$33,2,FALSE),IF(I80=2,VLOOKUP(Y80,女子種目コード!$A$1:$B$27,2,FALSE))))</f>
        <v/>
      </c>
      <c r="AA80" s="339"/>
      <c r="AB80" s="338"/>
      <c r="AC80" s="646"/>
      <c r="AD80" s="647"/>
      <c r="AE80" s="773" t="str">
        <f t="shared" si="27"/>
        <v/>
      </c>
      <c r="AF80" s="774" t="str">
        <f t="shared" si="28"/>
        <v/>
      </c>
      <c r="AG80" s="648"/>
      <c r="AH80" s="649"/>
      <c r="AI80" s="650"/>
      <c r="AJ80" s="20"/>
      <c r="AK80" s="20"/>
      <c r="AM80" s="143"/>
      <c r="AN80" s="135" t="str">
        <f t="shared" si="17"/>
        <v/>
      </c>
      <c r="AO80" s="135" t="str">
        <f t="shared" si="18"/>
        <v/>
      </c>
      <c r="AQ80" s="135"/>
      <c r="AR80" s="135"/>
      <c r="AS80" s="183">
        <f t="shared" si="19"/>
        <v>0</v>
      </c>
      <c r="AT80" s="356"/>
      <c r="AU80" s="324"/>
      <c r="AV80" s="324"/>
      <c r="AW80" s="324"/>
      <c r="AX80" s="300"/>
      <c r="AY80" s="325"/>
      <c r="AZ80" s="325"/>
      <c r="BA80" s="300"/>
      <c r="BB80" s="300"/>
      <c r="BC80" s="300"/>
      <c r="BD80" s="300"/>
      <c r="BE80" s="300"/>
      <c r="BF80" s="300"/>
      <c r="BG80" s="300"/>
      <c r="BH80" s="300"/>
      <c r="BI80" s="300"/>
      <c r="BJ80" s="300"/>
    </row>
    <row r="81" spans="1:62" ht="14.25" customHeight="1">
      <c r="A81" s="135" t="str">
        <f t="shared" si="20"/>
        <v/>
      </c>
      <c r="B81" s="162" t="str">
        <f>名簿!P78</f>
        <v/>
      </c>
      <c r="C81" s="162"/>
      <c r="D81" s="931"/>
      <c r="E81" s="182">
        <f>名簿!E78</f>
        <v>0</v>
      </c>
      <c r="F81" s="697" t="str">
        <f>名簿!CM78</f>
        <v/>
      </c>
      <c r="G81" s="162" t="str">
        <f>名簿!Z78</f>
        <v/>
      </c>
      <c r="H81" s="675" t="str">
        <f>名簿!CM78</f>
        <v/>
      </c>
      <c r="I81" s="187" t="str">
        <f>名簿!Y78</f>
        <v/>
      </c>
      <c r="J81" s="190" t="str">
        <f>名簿!CN78</f>
        <v/>
      </c>
      <c r="K81" s="1040">
        <f>名簿!CP78</f>
        <v>0</v>
      </c>
      <c r="L81" s="750" t="str">
        <f>名簿!CU78</f>
        <v>00</v>
      </c>
      <c r="M81" s="162" t="str">
        <f>名簿!Q78</f>
        <v/>
      </c>
      <c r="N81" s="697">
        <f>名簿!D78</f>
        <v>0</v>
      </c>
      <c r="O81" s="368"/>
      <c r="P81" s="292" t="str">
        <f t="shared" si="21"/>
        <v/>
      </c>
      <c r="Q81" s="1282" t="str">
        <f>IF(O81="","",HLOOKUP(O81,名簿!$AH$3:$CH$118,76,FALSE))</f>
        <v/>
      </c>
      <c r="R81" s="1282" t="str">
        <f t="shared" si="22"/>
        <v/>
      </c>
      <c r="S81" s="1282" t="str">
        <f t="shared" si="23"/>
        <v/>
      </c>
      <c r="T81" s="368"/>
      <c r="U81" s="292" t="str">
        <f t="shared" si="24"/>
        <v/>
      </c>
      <c r="V81" s="669" t="str">
        <f>IF(T81="","",HLOOKUP(T81,名簿!$AH$3:$CH$118,76,FALSE))</f>
        <v/>
      </c>
      <c r="W81" s="769" t="str">
        <f t="shared" si="25"/>
        <v/>
      </c>
      <c r="X81" s="774" t="str">
        <f t="shared" si="26"/>
        <v/>
      </c>
      <c r="Y81" s="954"/>
      <c r="Z81" s="950" t="str">
        <f>IF(Y81="","",IF(I81=1,VLOOKUP(Y81,男子種目コード!$A$1:$B$33,2,FALSE),IF(I81=2,VLOOKUP(Y81,女子種目コード!$A$1:$B$27,2,FALSE))))</f>
        <v/>
      </c>
      <c r="AA81" s="339"/>
      <c r="AB81" s="338"/>
      <c r="AC81" s="646"/>
      <c r="AD81" s="647"/>
      <c r="AE81" s="773" t="str">
        <f t="shared" si="27"/>
        <v/>
      </c>
      <c r="AF81" s="774" t="str">
        <f t="shared" si="28"/>
        <v/>
      </c>
      <c r="AG81" s="648"/>
      <c r="AH81" s="649"/>
      <c r="AI81" s="650"/>
      <c r="AJ81" s="20"/>
      <c r="AK81" s="20"/>
      <c r="AM81" s="143"/>
      <c r="AN81" s="135" t="str">
        <f t="shared" si="17"/>
        <v/>
      </c>
      <c r="AO81" s="135" t="str">
        <f t="shared" si="18"/>
        <v/>
      </c>
      <c r="AQ81" s="135"/>
      <c r="AR81" s="135"/>
      <c r="AS81" s="183">
        <f t="shared" si="19"/>
        <v>0</v>
      </c>
      <c r="AT81" s="356"/>
      <c r="AU81" s="324"/>
      <c r="AV81" s="324"/>
      <c r="AW81" s="324"/>
      <c r="AX81" s="300"/>
      <c r="AY81" s="325"/>
      <c r="AZ81" s="325"/>
      <c r="BA81" s="300"/>
      <c r="BB81" s="300"/>
      <c r="BC81" s="300"/>
      <c r="BD81" s="300"/>
      <c r="BE81" s="300"/>
      <c r="BF81" s="300"/>
      <c r="BG81" s="300"/>
      <c r="BH81" s="300"/>
      <c r="BI81" s="300"/>
      <c r="BJ81" s="300"/>
    </row>
    <row r="82" spans="1:62" ht="14.25" customHeight="1">
      <c r="A82" s="135" t="str">
        <f t="shared" si="20"/>
        <v/>
      </c>
      <c r="B82" s="162" t="str">
        <f>名簿!P79</f>
        <v/>
      </c>
      <c r="C82" s="162"/>
      <c r="D82" s="931"/>
      <c r="E82" s="182">
        <f>名簿!E79</f>
        <v>0</v>
      </c>
      <c r="F82" s="697" t="str">
        <f>名簿!CM79</f>
        <v/>
      </c>
      <c r="G82" s="162" t="str">
        <f>名簿!Z79</f>
        <v/>
      </c>
      <c r="H82" s="675" t="str">
        <f>名簿!CM79</f>
        <v/>
      </c>
      <c r="I82" s="187" t="str">
        <f>名簿!Y79</f>
        <v/>
      </c>
      <c r="J82" s="190" t="str">
        <f>名簿!CN79</f>
        <v/>
      </c>
      <c r="K82" s="1040">
        <f>名簿!CP79</f>
        <v>0</v>
      </c>
      <c r="L82" s="750" t="str">
        <f>名簿!CU79</f>
        <v>00</v>
      </c>
      <c r="M82" s="162" t="str">
        <f>名簿!Q79</f>
        <v/>
      </c>
      <c r="N82" s="697">
        <f>名簿!D79</f>
        <v>0</v>
      </c>
      <c r="O82" s="368"/>
      <c r="P82" s="292" t="str">
        <f t="shared" si="21"/>
        <v/>
      </c>
      <c r="Q82" s="1282" t="str">
        <f>IF(O82="","",HLOOKUP(O82,名簿!$AH$3:$CH$118,77,FALSE))</f>
        <v/>
      </c>
      <c r="R82" s="1282" t="str">
        <f t="shared" si="22"/>
        <v/>
      </c>
      <c r="S82" s="1282" t="str">
        <f t="shared" si="23"/>
        <v/>
      </c>
      <c r="T82" s="368"/>
      <c r="U82" s="292" t="str">
        <f t="shared" si="24"/>
        <v/>
      </c>
      <c r="V82" s="669" t="str">
        <f>IF(T82="","",HLOOKUP(T82,名簿!$AH$3:$CH$118,77,FALSE))</f>
        <v/>
      </c>
      <c r="W82" s="769" t="str">
        <f t="shared" si="25"/>
        <v/>
      </c>
      <c r="X82" s="774" t="str">
        <f t="shared" si="26"/>
        <v/>
      </c>
      <c r="Y82" s="954"/>
      <c r="Z82" s="950" t="str">
        <f>IF(Y82="","",IF(I82=1,VLOOKUP(Y82,男子種目コード!$A$1:$B$33,2,FALSE),IF(I82=2,VLOOKUP(Y82,女子種目コード!$A$1:$B$27,2,FALSE))))</f>
        <v/>
      </c>
      <c r="AA82" s="339"/>
      <c r="AB82" s="338"/>
      <c r="AC82" s="646"/>
      <c r="AD82" s="647"/>
      <c r="AE82" s="773" t="str">
        <f t="shared" si="27"/>
        <v/>
      </c>
      <c r="AF82" s="774" t="str">
        <f t="shared" si="28"/>
        <v/>
      </c>
      <c r="AG82" s="648"/>
      <c r="AH82" s="649"/>
      <c r="AI82" s="650"/>
      <c r="AJ82" s="20"/>
      <c r="AK82" s="20"/>
      <c r="AM82" s="143"/>
      <c r="AN82" s="135" t="str">
        <f t="shared" si="17"/>
        <v/>
      </c>
      <c r="AO82" s="135" t="str">
        <f t="shared" si="18"/>
        <v/>
      </c>
      <c r="AQ82" s="135"/>
      <c r="AR82" s="135"/>
      <c r="AS82" s="183">
        <f t="shared" si="19"/>
        <v>0</v>
      </c>
      <c r="AT82" s="356"/>
      <c r="AU82" s="324"/>
      <c r="AV82" s="324"/>
      <c r="AW82" s="324"/>
      <c r="AX82" s="300"/>
      <c r="AY82" s="325"/>
      <c r="AZ82" s="325"/>
      <c r="BA82" s="300"/>
      <c r="BB82" s="300"/>
      <c r="BC82" s="300"/>
      <c r="BD82" s="300"/>
      <c r="BE82" s="300"/>
      <c r="BF82" s="300"/>
      <c r="BG82" s="300"/>
      <c r="BH82" s="300"/>
      <c r="BI82" s="300"/>
      <c r="BJ82" s="300"/>
    </row>
    <row r="83" spans="1:62" ht="14.25" customHeight="1">
      <c r="A83" s="135" t="str">
        <f t="shared" si="20"/>
        <v/>
      </c>
      <c r="B83" s="162" t="str">
        <f>名簿!P80</f>
        <v/>
      </c>
      <c r="C83" s="162"/>
      <c r="D83" s="931"/>
      <c r="E83" s="182">
        <f>名簿!E80</f>
        <v>0</v>
      </c>
      <c r="F83" s="697" t="str">
        <f>名簿!CM80</f>
        <v/>
      </c>
      <c r="G83" s="162" t="str">
        <f>名簿!Z80</f>
        <v/>
      </c>
      <c r="H83" s="675" t="str">
        <f>名簿!CM80</f>
        <v/>
      </c>
      <c r="I83" s="187" t="str">
        <f>名簿!Y80</f>
        <v/>
      </c>
      <c r="J83" s="190" t="str">
        <f>名簿!CN80</f>
        <v/>
      </c>
      <c r="K83" s="1040">
        <f>名簿!CP80</f>
        <v>0</v>
      </c>
      <c r="L83" s="750" t="str">
        <f>名簿!CU80</f>
        <v>00</v>
      </c>
      <c r="M83" s="162" t="str">
        <f>名簿!Q80</f>
        <v/>
      </c>
      <c r="N83" s="697">
        <f>名簿!D80</f>
        <v>0</v>
      </c>
      <c r="O83" s="368"/>
      <c r="P83" s="292" t="str">
        <f t="shared" si="21"/>
        <v/>
      </c>
      <c r="Q83" s="1282" t="str">
        <f>IF(O83="","",HLOOKUP(O83,名簿!$AH$3:$CH$118,78,FALSE))</f>
        <v/>
      </c>
      <c r="R83" s="1282" t="str">
        <f t="shared" si="22"/>
        <v/>
      </c>
      <c r="S83" s="1282" t="str">
        <f t="shared" si="23"/>
        <v/>
      </c>
      <c r="T83" s="368"/>
      <c r="U83" s="292" t="str">
        <f t="shared" si="24"/>
        <v/>
      </c>
      <c r="V83" s="669" t="str">
        <f>IF(T83="","",HLOOKUP(T83,名簿!$AH$3:$CH$118,78,FALSE))</f>
        <v/>
      </c>
      <c r="W83" s="769" t="str">
        <f t="shared" si="25"/>
        <v/>
      </c>
      <c r="X83" s="774" t="str">
        <f t="shared" si="26"/>
        <v/>
      </c>
      <c r="Y83" s="954"/>
      <c r="Z83" s="950" t="str">
        <f>IF(Y83="","",IF(I83=1,VLOOKUP(Y83,男子種目コード!$A$1:$B$33,2,FALSE),IF(I83=2,VLOOKUP(Y83,女子種目コード!$A$1:$B$27,2,FALSE))))</f>
        <v/>
      </c>
      <c r="AA83" s="339"/>
      <c r="AB83" s="338"/>
      <c r="AC83" s="646"/>
      <c r="AD83" s="647"/>
      <c r="AE83" s="773" t="str">
        <f t="shared" si="27"/>
        <v/>
      </c>
      <c r="AF83" s="774" t="str">
        <f t="shared" si="28"/>
        <v/>
      </c>
      <c r="AG83" s="648"/>
      <c r="AH83" s="649"/>
      <c r="AI83" s="650"/>
      <c r="AJ83" s="20"/>
      <c r="AK83" s="20"/>
      <c r="AM83" s="143"/>
      <c r="AN83" s="135" t="str">
        <f t="shared" si="17"/>
        <v/>
      </c>
      <c r="AO83" s="135" t="str">
        <f t="shared" si="18"/>
        <v/>
      </c>
      <c r="AQ83" s="135"/>
      <c r="AR83" s="135"/>
      <c r="AS83" s="183">
        <f t="shared" si="19"/>
        <v>0</v>
      </c>
      <c r="AT83" s="356"/>
      <c r="AU83" s="324"/>
      <c r="AV83" s="324"/>
      <c r="AW83" s="324"/>
      <c r="AX83" s="300"/>
      <c r="AY83" s="325"/>
      <c r="AZ83" s="325"/>
      <c r="BA83" s="300"/>
      <c r="BB83" s="300"/>
      <c r="BC83" s="300"/>
      <c r="BD83" s="300"/>
      <c r="BE83" s="300"/>
      <c r="BF83" s="300"/>
      <c r="BG83" s="300"/>
      <c r="BH83" s="300"/>
      <c r="BI83" s="300"/>
      <c r="BJ83" s="300"/>
    </row>
    <row r="84" spans="1:62" ht="14.25" customHeight="1">
      <c r="A84" s="135" t="str">
        <f t="shared" si="20"/>
        <v/>
      </c>
      <c r="B84" s="162" t="str">
        <f>名簿!P81</f>
        <v/>
      </c>
      <c r="C84" s="162"/>
      <c r="D84" s="931"/>
      <c r="E84" s="182">
        <f>名簿!E81</f>
        <v>0</v>
      </c>
      <c r="F84" s="697" t="str">
        <f>名簿!CM81</f>
        <v/>
      </c>
      <c r="G84" s="162" t="str">
        <f>名簿!Z81</f>
        <v/>
      </c>
      <c r="H84" s="675" t="str">
        <f>名簿!CM81</f>
        <v/>
      </c>
      <c r="I84" s="187" t="str">
        <f>名簿!Y81</f>
        <v/>
      </c>
      <c r="J84" s="190" t="str">
        <f>名簿!CN81</f>
        <v/>
      </c>
      <c r="K84" s="1040">
        <f>名簿!CP81</f>
        <v>0</v>
      </c>
      <c r="L84" s="750" t="str">
        <f>名簿!CU81</f>
        <v>00</v>
      </c>
      <c r="M84" s="162" t="str">
        <f>名簿!Q81</f>
        <v/>
      </c>
      <c r="N84" s="697">
        <f>名簿!D81</f>
        <v>0</v>
      </c>
      <c r="O84" s="368"/>
      <c r="P84" s="292" t="str">
        <f t="shared" si="21"/>
        <v/>
      </c>
      <c r="Q84" s="1282" t="str">
        <f>IF(O84="","",HLOOKUP(O84,名簿!$AH$3:$CH$118,79,FALSE))</f>
        <v/>
      </c>
      <c r="R84" s="1282" t="str">
        <f t="shared" si="22"/>
        <v/>
      </c>
      <c r="S84" s="1282" t="str">
        <f t="shared" si="23"/>
        <v/>
      </c>
      <c r="T84" s="368"/>
      <c r="U84" s="292" t="str">
        <f t="shared" si="24"/>
        <v/>
      </c>
      <c r="V84" s="669" t="str">
        <f>IF(T84="","",HLOOKUP(T84,名簿!$AH$3:$CH$118,79,FALSE))</f>
        <v/>
      </c>
      <c r="W84" s="769" t="str">
        <f t="shared" si="25"/>
        <v/>
      </c>
      <c r="X84" s="774" t="str">
        <f t="shared" si="26"/>
        <v/>
      </c>
      <c r="Y84" s="954"/>
      <c r="Z84" s="950" t="str">
        <f>IF(Y84="","",IF(I84=1,VLOOKUP(Y84,男子種目コード!$A$1:$B$33,2,FALSE),IF(I84=2,VLOOKUP(Y84,女子種目コード!$A$1:$B$27,2,FALSE))))</f>
        <v/>
      </c>
      <c r="AA84" s="339"/>
      <c r="AB84" s="338"/>
      <c r="AC84" s="646"/>
      <c r="AD84" s="647"/>
      <c r="AE84" s="773" t="str">
        <f t="shared" si="27"/>
        <v/>
      </c>
      <c r="AF84" s="774" t="str">
        <f t="shared" si="28"/>
        <v/>
      </c>
      <c r="AG84" s="648"/>
      <c r="AH84" s="649"/>
      <c r="AI84" s="650"/>
      <c r="AJ84" s="20"/>
      <c r="AK84" s="20"/>
      <c r="AM84" s="143"/>
      <c r="AN84" s="135" t="str">
        <f t="shared" si="17"/>
        <v/>
      </c>
      <c r="AO84" s="135" t="str">
        <f t="shared" si="18"/>
        <v/>
      </c>
      <c r="AQ84" s="135"/>
      <c r="AR84" s="135"/>
      <c r="AS84" s="183">
        <f t="shared" si="19"/>
        <v>0</v>
      </c>
      <c r="AT84" s="356"/>
      <c r="AU84" s="324"/>
      <c r="AV84" s="324"/>
      <c r="AW84" s="324"/>
      <c r="AX84" s="300"/>
      <c r="AY84" s="325"/>
      <c r="AZ84" s="325"/>
      <c r="BA84" s="300"/>
      <c r="BB84" s="300"/>
      <c r="BC84" s="300"/>
      <c r="BD84" s="300"/>
      <c r="BE84" s="300"/>
      <c r="BF84" s="300"/>
      <c r="BG84" s="300"/>
      <c r="BH84" s="300"/>
      <c r="BI84" s="300"/>
      <c r="BJ84" s="300"/>
    </row>
    <row r="85" spans="1:62" ht="14.25" customHeight="1">
      <c r="A85" s="135" t="str">
        <f t="shared" si="20"/>
        <v/>
      </c>
      <c r="B85" s="162" t="str">
        <f>名簿!P82</f>
        <v/>
      </c>
      <c r="C85" s="162"/>
      <c r="D85" s="931"/>
      <c r="E85" s="182">
        <f>名簿!E82</f>
        <v>0</v>
      </c>
      <c r="F85" s="697" t="str">
        <f>名簿!CM82</f>
        <v/>
      </c>
      <c r="G85" s="162" t="str">
        <f>名簿!Z82</f>
        <v/>
      </c>
      <c r="H85" s="675" t="str">
        <f>名簿!CM82</f>
        <v/>
      </c>
      <c r="I85" s="187" t="str">
        <f>名簿!Y82</f>
        <v/>
      </c>
      <c r="J85" s="190" t="str">
        <f>名簿!CN82</f>
        <v/>
      </c>
      <c r="K85" s="1040">
        <f>名簿!CP82</f>
        <v>0</v>
      </c>
      <c r="L85" s="750" t="str">
        <f>名簿!CU82</f>
        <v>00</v>
      </c>
      <c r="M85" s="162" t="str">
        <f>名簿!Q82</f>
        <v/>
      </c>
      <c r="N85" s="697">
        <f>名簿!D82</f>
        <v>0</v>
      </c>
      <c r="O85" s="368"/>
      <c r="P85" s="292" t="str">
        <f t="shared" si="21"/>
        <v/>
      </c>
      <c r="Q85" s="1282" t="str">
        <f>IF(O85="","",HLOOKUP(O85,名簿!$AH$3:$CH$118,80,FALSE))</f>
        <v/>
      </c>
      <c r="R85" s="1282" t="str">
        <f t="shared" si="22"/>
        <v/>
      </c>
      <c r="S85" s="1282" t="str">
        <f t="shared" si="23"/>
        <v/>
      </c>
      <c r="T85" s="368"/>
      <c r="U85" s="292" t="str">
        <f t="shared" si="24"/>
        <v/>
      </c>
      <c r="V85" s="669" t="str">
        <f>IF(T85="","",HLOOKUP(T85,名簿!$AH$3:$CH$118,80,FALSE))</f>
        <v/>
      </c>
      <c r="W85" s="769" t="str">
        <f t="shared" si="25"/>
        <v/>
      </c>
      <c r="X85" s="774" t="str">
        <f t="shared" si="26"/>
        <v/>
      </c>
      <c r="Y85" s="954"/>
      <c r="Z85" s="950" t="str">
        <f>IF(Y85="","",IF(I85=1,VLOOKUP(Y85,男子種目コード!$A$1:$B$33,2,FALSE),IF(I85=2,VLOOKUP(Y85,女子種目コード!$A$1:$B$27,2,FALSE))))</f>
        <v/>
      </c>
      <c r="AA85" s="339"/>
      <c r="AB85" s="338"/>
      <c r="AC85" s="646"/>
      <c r="AD85" s="647"/>
      <c r="AE85" s="773" t="str">
        <f t="shared" si="27"/>
        <v/>
      </c>
      <c r="AF85" s="774" t="str">
        <f t="shared" si="28"/>
        <v/>
      </c>
      <c r="AG85" s="648"/>
      <c r="AH85" s="649"/>
      <c r="AI85" s="650"/>
      <c r="AJ85" s="20"/>
      <c r="AK85" s="20"/>
      <c r="AM85" s="143"/>
      <c r="AN85" s="135" t="str">
        <f t="shared" si="17"/>
        <v/>
      </c>
      <c r="AO85" s="135" t="str">
        <f t="shared" si="18"/>
        <v/>
      </c>
      <c r="AQ85" s="135"/>
      <c r="AR85" s="135"/>
      <c r="AS85" s="183">
        <f t="shared" si="19"/>
        <v>0</v>
      </c>
      <c r="AT85" s="356"/>
      <c r="AU85" s="324"/>
      <c r="AV85" s="324"/>
      <c r="AW85" s="324"/>
      <c r="AX85" s="300"/>
      <c r="AY85" s="325"/>
      <c r="AZ85" s="325"/>
      <c r="BA85" s="300"/>
      <c r="BB85" s="300"/>
      <c r="BC85" s="300"/>
      <c r="BD85" s="300"/>
      <c r="BE85" s="300"/>
      <c r="BF85" s="300"/>
      <c r="BG85" s="300"/>
      <c r="BH85" s="300"/>
      <c r="BI85" s="300"/>
      <c r="BJ85" s="300"/>
    </row>
    <row r="86" spans="1:62" ht="14.25" customHeight="1">
      <c r="A86" s="135" t="str">
        <f t="shared" si="20"/>
        <v/>
      </c>
      <c r="B86" s="162" t="str">
        <f>名簿!P83</f>
        <v/>
      </c>
      <c r="C86" s="162"/>
      <c r="D86" s="931"/>
      <c r="E86" s="182">
        <f>名簿!E83</f>
        <v>0</v>
      </c>
      <c r="F86" s="697" t="str">
        <f>名簿!CM83</f>
        <v/>
      </c>
      <c r="G86" s="162" t="str">
        <f>名簿!Z83</f>
        <v/>
      </c>
      <c r="H86" s="675" t="str">
        <f>名簿!CM83</f>
        <v/>
      </c>
      <c r="I86" s="187" t="str">
        <f>名簿!Y83</f>
        <v/>
      </c>
      <c r="J86" s="190" t="str">
        <f>名簿!CN83</f>
        <v/>
      </c>
      <c r="K86" s="1040">
        <f>名簿!CP83</f>
        <v>0</v>
      </c>
      <c r="L86" s="750" t="str">
        <f>名簿!CU83</f>
        <v>00</v>
      </c>
      <c r="M86" s="162" t="str">
        <f>名簿!Q83</f>
        <v/>
      </c>
      <c r="N86" s="697">
        <f>名簿!D83</f>
        <v>0</v>
      </c>
      <c r="O86" s="368"/>
      <c r="P86" s="292" t="str">
        <f t="shared" si="21"/>
        <v/>
      </c>
      <c r="Q86" s="1282" t="str">
        <f>IF(O86="","",HLOOKUP(O86,名簿!$AH$3:$CH$118,81,FALSE))</f>
        <v/>
      </c>
      <c r="R86" s="1282" t="str">
        <f t="shared" si="22"/>
        <v/>
      </c>
      <c r="S86" s="1282" t="str">
        <f t="shared" si="23"/>
        <v/>
      </c>
      <c r="T86" s="368"/>
      <c r="U86" s="292" t="str">
        <f t="shared" si="24"/>
        <v/>
      </c>
      <c r="V86" s="669" t="str">
        <f>IF(T86="","",HLOOKUP(T86,名簿!$AH$3:$CH$118,81,FALSE))</f>
        <v/>
      </c>
      <c r="W86" s="769" t="str">
        <f t="shared" si="25"/>
        <v/>
      </c>
      <c r="X86" s="774" t="str">
        <f t="shared" si="26"/>
        <v/>
      </c>
      <c r="Y86" s="954"/>
      <c r="Z86" s="950" t="str">
        <f>IF(Y86="","",IF(I86=1,VLOOKUP(Y86,男子種目コード!$A$1:$B$33,2,FALSE),IF(I86=2,VLOOKUP(Y86,女子種目コード!$A$1:$B$27,2,FALSE))))</f>
        <v/>
      </c>
      <c r="AA86" s="339"/>
      <c r="AB86" s="338"/>
      <c r="AC86" s="646"/>
      <c r="AD86" s="647"/>
      <c r="AE86" s="773" t="str">
        <f t="shared" si="27"/>
        <v/>
      </c>
      <c r="AF86" s="774" t="str">
        <f t="shared" si="28"/>
        <v/>
      </c>
      <c r="AG86" s="648"/>
      <c r="AH86" s="649"/>
      <c r="AI86" s="650"/>
      <c r="AJ86" s="20"/>
      <c r="AK86" s="20"/>
      <c r="AM86" s="143"/>
      <c r="AN86" s="135" t="str">
        <f t="shared" si="17"/>
        <v/>
      </c>
      <c r="AO86" s="135" t="str">
        <f t="shared" si="18"/>
        <v/>
      </c>
      <c r="AQ86" s="135"/>
      <c r="AR86" s="135"/>
      <c r="AS86" s="183">
        <f t="shared" si="19"/>
        <v>0</v>
      </c>
      <c r="AT86" s="356"/>
      <c r="AU86" s="324"/>
      <c r="AV86" s="324"/>
      <c r="AW86" s="324"/>
      <c r="AX86" s="300"/>
      <c r="AY86" s="325"/>
      <c r="AZ86" s="325"/>
      <c r="BA86" s="300"/>
      <c r="BB86" s="300"/>
      <c r="BC86" s="300"/>
      <c r="BD86" s="300"/>
      <c r="BE86" s="300"/>
      <c r="BF86" s="300"/>
      <c r="BG86" s="300"/>
      <c r="BH86" s="300"/>
      <c r="BI86" s="300"/>
      <c r="BJ86" s="300"/>
    </row>
    <row r="87" spans="1:62" ht="14.25" customHeight="1">
      <c r="A87" s="135" t="str">
        <f t="shared" si="20"/>
        <v/>
      </c>
      <c r="B87" s="162" t="str">
        <f>名簿!P84</f>
        <v/>
      </c>
      <c r="C87" s="162"/>
      <c r="D87" s="931"/>
      <c r="E87" s="182">
        <f>名簿!E84</f>
        <v>0</v>
      </c>
      <c r="F87" s="697" t="str">
        <f>名簿!CM84</f>
        <v/>
      </c>
      <c r="G87" s="162" t="str">
        <f>名簿!Z84</f>
        <v/>
      </c>
      <c r="H87" s="675" t="str">
        <f>名簿!CM84</f>
        <v/>
      </c>
      <c r="I87" s="187" t="str">
        <f>名簿!Y84</f>
        <v/>
      </c>
      <c r="J87" s="190" t="str">
        <f>名簿!CN84</f>
        <v/>
      </c>
      <c r="K87" s="1040">
        <f>名簿!CP84</f>
        <v>0</v>
      </c>
      <c r="L87" s="750" t="str">
        <f>名簿!CU84</f>
        <v>00</v>
      </c>
      <c r="M87" s="162" t="str">
        <f>名簿!Q84</f>
        <v/>
      </c>
      <c r="N87" s="697">
        <f>名簿!D84</f>
        <v>0</v>
      </c>
      <c r="O87" s="368"/>
      <c r="P87" s="292" t="str">
        <f t="shared" si="21"/>
        <v/>
      </c>
      <c r="Q87" s="1282" t="str">
        <f>IF(O87="","",HLOOKUP(O87,名簿!$AH$3:$CH$118,82,FALSE))</f>
        <v/>
      </c>
      <c r="R87" s="1282" t="str">
        <f t="shared" si="22"/>
        <v/>
      </c>
      <c r="S87" s="1282" t="str">
        <f t="shared" si="23"/>
        <v/>
      </c>
      <c r="T87" s="368"/>
      <c r="U87" s="292" t="str">
        <f t="shared" si="24"/>
        <v/>
      </c>
      <c r="V87" s="669" t="str">
        <f>IF(T87="","",HLOOKUP(T87,名簿!$AH$3:$CH$118,82,FALSE))</f>
        <v/>
      </c>
      <c r="W87" s="769" t="str">
        <f t="shared" si="25"/>
        <v/>
      </c>
      <c r="X87" s="774" t="str">
        <f t="shared" si="26"/>
        <v/>
      </c>
      <c r="Y87" s="954"/>
      <c r="Z87" s="950" t="str">
        <f>IF(Y87="","",IF(I87=1,VLOOKUP(Y87,男子種目コード!$A$1:$B$33,2,FALSE),IF(I87=2,VLOOKUP(Y87,女子種目コード!$A$1:$B$27,2,FALSE))))</f>
        <v/>
      </c>
      <c r="AA87" s="339"/>
      <c r="AB87" s="338"/>
      <c r="AC87" s="646"/>
      <c r="AD87" s="647"/>
      <c r="AE87" s="773" t="str">
        <f t="shared" si="27"/>
        <v/>
      </c>
      <c r="AF87" s="774" t="str">
        <f t="shared" si="28"/>
        <v/>
      </c>
      <c r="AG87" s="648"/>
      <c r="AH87" s="649"/>
      <c r="AI87" s="650"/>
      <c r="AJ87" s="20"/>
      <c r="AK87" s="20"/>
      <c r="AM87" s="143"/>
      <c r="AN87" s="135" t="str">
        <f t="shared" si="17"/>
        <v/>
      </c>
      <c r="AO87" s="135" t="str">
        <f t="shared" si="18"/>
        <v/>
      </c>
      <c r="AQ87" s="135"/>
      <c r="AR87" s="135"/>
      <c r="AS87" s="183">
        <f t="shared" si="19"/>
        <v>0</v>
      </c>
      <c r="AT87" s="356"/>
      <c r="AU87" s="324"/>
      <c r="AV87" s="324"/>
      <c r="AW87" s="324"/>
      <c r="AX87" s="300"/>
      <c r="AY87" s="325"/>
      <c r="AZ87" s="325"/>
      <c r="BA87" s="300"/>
      <c r="BB87" s="300"/>
      <c r="BC87" s="300"/>
      <c r="BD87" s="300"/>
      <c r="BE87" s="300"/>
      <c r="BF87" s="300"/>
      <c r="BG87" s="300"/>
      <c r="BH87" s="300"/>
      <c r="BI87" s="300"/>
      <c r="BJ87" s="300"/>
    </row>
    <row r="88" spans="1:62" ht="14.25" customHeight="1">
      <c r="A88" s="135" t="str">
        <f t="shared" si="20"/>
        <v/>
      </c>
      <c r="B88" s="162" t="str">
        <f>名簿!P85</f>
        <v/>
      </c>
      <c r="C88" s="162"/>
      <c r="D88" s="931"/>
      <c r="E88" s="182">
        <f>名簿!E85</f>
        <v>0</v>
      </c>
      <c r="F88" s="697" t="str">
        <f>名簿!CM85</f>
        <v/>
      </c>
      <c r="G88" s="162" t="str">
        <f>名簿!Z85</f>
        <v/>
      </c>
      <c r="H88" s="675" t="str">
        <f>名簿!CM85</f>
        <v/>
      </c>
      <c r="I88" s="187" t="str">
        <f>名簿!Y85</f>
        <v/>
      </c>
      <c r="J88" s="190" t="str">
        <f>名簿!CN85</f>
        <v/>
      </c>
      <c r="K88" s="1040">
        <f>名簿!CP85</f>
        <v>0</v>
      </c>
      <c r="L88" s="750" t="str">
        <f>名簿!CU85</f>
        <v>00</v>
      </c>
      <c r="M88" s="162" t="str">
        <f>名簿!Q85</f>
        <v/>
      </c>
      <c r="N88" s="697">
        <f>名簿!D85</f>
        <v>0</v>
      </c>
      <c r="O88" s="368"/>
      <c r="P88" s="292" t="str">
        <f t="shared" si="21"/>
        <v/>
      </c>
      <c r="Q88" s="1282" t="str">
        <f>IF(O88="","",HLOOKUP(O88,名簿!$AH$3:$CH$118,83,FALSE))</f>
        <v/>
      </c>
      <c r="R88" s="1282" t="str">
        <f t="shared" si="22"/>
        <v/>
      </c>
      <c r="S88" s="1282" t="str">
        <f t="shared" si="23"/>
        <v/>
      </c>
      <c r="T88" s="368"/>
      <c r="U88" s="292" t="str">
        <f t="shared" si="24"/>
        <v/>
      </c>
      <c r="V88" s="669" t="str">
        <f>IF(T88="","",HLOOKUP(T88,名簿!$AH$3:$CH$118,83,FALSE))</f>
        <v/>
      </c>
      <c r="W88" s="769" t="str">
        <f t="shared" si="25"/>
        <v/>
      </c>
      <c r="X88" s="774" t="str">
        <f t="shared" si="26"/>
        <v/>
      </c>
      <c r="Y88" s="954"/>
      <c r="Z88" s="950" t="str">
        <f>IF(Y88="","",IF(I88=1,VLOOKUP(Y88,男子種目コード!$A$1:$B$33,2,FALSE),IF(I88=2,VLOOKUP(Y88,女子種目コード!$A$1:$B$27,2,FALSE))))</f>
        <v/>
      </c>
      <c r="AA88" s="339"/>
      <c r="AB88" s="338"/>
      <c r="AC88" s="646"/>
      <c r="AD88" s="647"/>
      <c r="AE88" s="773" t="str">
        <f t="shared" si="27"/>
        <v/>
      </c>
      <c r="AF88" s="774" t="str">
        <f t="shared" si="28"/>
        <v/>
      </c>
      <c r="AG88" s="648"/>
      <c r="AH88" s="649"/>
      <c r="AI88" s="650"/>
      <c r="AJ88" s="20"/>
      <c r="AK88" s="20"/>
      <c r="AM88" s="143"/>
      <c r="AN88" s="135" t="str">
        <f t="shared" si="17"/>
        <v/>
      </c>
      <c r="AO88" s="135" t="str">
        <f t="shared" si="18"/>
        <v/>
      </c>
      <c r="AQ88" s="135"/>
      <c r="AR88" s="135"/>
      <c r="AS88" s="183">
        <f t="shared" si="19"/>
        <v>0</v>
      </c>
      <c r="AT88" s="356"/>
      <c r="AU88" s="324"/>
      <c r="AV88" s="324"/>
      <c r="AW88" s="324"/>
      <c r="AX88" s="300"/>
      <c r="AY88" s="325"/>
      <c r="AZ88" s="325"/>
      <c r="BA88" s="300"/>
      <c r="BB88" s="300"/>
      <c r="BC88" s="300"/>
      <c r="BD88" s="300"/>
      <c r="BE88" s="300"/>
      <c r="BF88" s="300"/>
      <c r="BG88" s="300"/>
      <c r="BH88" s="300"/>
      <c r="BI88" s="300"/>
      <c r="BJ88" s="300"/>
    </row>
    <row r="89" spans="1:62" ht="14.25" customHeight="1">
      <c r="A89" s="135" t="str">
        <f t="shared" si="20"/>
        <v/>
      </c>
      <c r="B89" s="162" t="str">
        <f>名簿!P86</f>
        <v/>
      </c>
      <c r="C89" s="162"/>
      <c r="D89" s="931"/>
      <c r="E89" s="182">
        <f>名簿!E86</f>
        <v>0</v>
      </c>
      <c r="F89" s="697" t="str">
        <f>名簿!CM86</f>
        <v/>
      </c>
      <c r="G89" s="162" t="str">
        <f>名簿!Z86</f>
        <v/>
      </c>
      <c r="H89" s="675" t="str">
        <f>名簿!CM86</f>
        <v/>
      </c>
      <c r="I89" s="187" t="str">
        <f>名簿!Y86</f>
        <v/>
      </c>
      <c r="J89" s="190" t="str">
        <f>名簿!CN86</f>
        <v/>
      </c>
      <c r="K89" s="1040">
        <f>名簿!CP86</f>
        <v>0</v>
      </c>
      <c r="L89" s="750" t="str">
        <f>名簿!CU86</f>
        <v>00</v>
      </c>
      <c r="M89" s="162" t="str">
        <f>名簿!Q86</f>
        <v/>
      </c>
      <c r="N89" s="697">
        <f>名簿!D86</f>
        <v>0</v>
      </c>
      <c r="O89" s="368"/>
      <c r="P89" s="292" t="str">
        <f t="shared" si="21"/>
        <v/>
      </c>
      <c r="Q89" s="1282" t="str">
        <f>IF(O89="","",HLOOKUP(O89,名簿!$AH$3:$CH$118,84,FALSE))</f>
        <v/>
      </c>
      <c r="R89" s="1282" t="str">
        <f t="shared" si="22"/>
        <v/>
      </c>
      <c r="S89" s="1282" t="str">
        <f t="shared" si="23"/>
        <v/>
      </c>
      <c r="T89" s="368"/>
      <c r="U89" s="292" t="str">
        <f t="shared" si="24"/>
        <v/>
      </c>
      <c r="V89" s="669" t="str">
        <f>IF(T89="","",HLOOKUP(T89,名簿!$AH$3:$CH$118,84,FALSE))</f>
        <v/>
      </c>
      <c r="W89" s="769" t="str">
        <f t="shared" si="25"/>
        <v/>
      </c>
      <c r="X89" s="774" t="str">
        <f t="shared" si="26"/>
        <v/>
      </c>
      <c r="Y89" s="954"/>
      <c r="Z89" s="950" t="str">
        <f>IF(Y89="","",IF(I89=1,VLOOKUP(Y89,男子種目コード!$A$1:$B$33,2,FALSE),IF(I89=2,VLOOKUP(Y89,女子種目コード!$A$1:$B$27,2,FALSE))))</f>
        <v/>
      </c>
      <c r="AA89" s="339"/>
      <c r="AB89" s="338"/>
      <c r="AC89" s="646"/>
      <c r="AD89" s="647"/>
      <c r="AE89" s="773" t="str">
        <f t="shared" si="27"/>
        <v/>
      </c>
      <c r="AF89" s="774" t="str">
        <f t="shared" si="28"/>
        <v/>
      </c>
      <c r="AG89" s="648"/>
      <c r="AH89" s="649"/>
      <c r="AI89" s="650"/>
      <c r="AJ89" s="20"/>
      <c r="AK89" s="20"/>
      <c r="AM89" s="143"/>
      <c r="AN89" s="135" t="str">
        <f t="shared" si="17"/>
        <v/>
      </c>
      <c r="AO89" s="135" t="str">
        <f t="shared" si="18"/>
        <v/>
      </c>
      <c r="AQ89" s="135"/>
      <c r="AR89" s="135"/>
      <c r="AS89" s="183">
        <f t="shared" si="19"/>
        <v>0</v>
      </c>
      <c r="AT89" s="356"/>
      <c r="AU89" s="324"/>
      <c r="AV89" s="324"/>
      <c r="AW89" s="324"/>
      <c r="AX89" s="300"/>
      <c r="AY89" s="325"/>
      <c r="AZ89" s="325"/>
      <c r="BA89" s="300"/>
      <c r="BB89" s="300"/>
      <c r="BC89" s="300"/>
      <c r="BD89" s="300"/>
      <c r="BE89" s="300"/>
      <c r="BF89" s="300"/>
      <c r="BG89" s="300"/>
      <c r="BH89" s="300"/>
      <c r="BI89" s="300"/>
      <c r="BJ89" s="300"/>
    </row>
    <row r="90" spans="1:62" ht="14.25" customHeight="1">
      <c r="A90" s="135" t="str">
        <f t="shared" si="20"/>
        <v/>
      </c>
      <c r="B90" s="162" t="str">
        <f>名簿!P87</f>
        <v/>
      </c>
      <c r="C90" s="162"/>
      <c r="D90" s="931"/>
      <c r="E90" s="182">
        <f>名簿!E87</f>
        <v>0</v>
      </c>
      <c r="F90" s="697" t="str">
        <f>名簿!CM87</f>
        <v/>
      </c>
      <c r="G90" s="162" t="str">
        <f>名簿!Z87</f>
        <v/>
      </c>
      <c r="H90" s="675" t="str">
        <f>名簿!CM87</f>
        <v/>
      </c>
      <c r="I90" s="187" t="str">
        <f>名簿!Y87</f>
        <v/>
      </c>
      <c r="J90" s="190" t="str">
        <f>名簿!CN87</f>
        <v/>
      </c>
      <c r="K90" s="1040">
        <f>名簿!CP87</f>
        <v>0</v>
      </c>
      <c r="L90" s="750" t="str">
        <f>名簿!CU87</f>
        <v>00</v>
      </c>
      <c r="M90" s="162" t="str">
        <f>名簿!Q87</f>
        <v/>
      </c>
      <c r="N90" s="697">
        <f>名簿!D87</f>
        <v>0</v>
      </c>
      <c r="O90" s="368"/>
      <c r="P90" s="292" t="str">
        <f t="shared" si="21"/>
        <v/>
      </c>
      <c r="Q90" s="1282" t="str">
        <f>IF(O90="","",HLOOKUP(O90,名簿!$AH$3:$CH$118,85,FALSE))</f>
        <v/>
      </c>
      <c r="R90" s="1282" t="str">
        <f t="shared" si="22"/>
        <v/>
      </c>
      <c r="S90" s="1282" t="str">
        <f t="shared" si="23"/>
        <v/>
      </c>
      <c r="T90" s="368"/>
      <c r="U90" s="292" t="str">
        <f t="shared" si="24"/>
        <v/>
      </c>
      <c r="V90" s="669" t="str">
        <f>IF(T90="","",HLOOKUP(T90,名簿!$AH$3:$CH$118,85,FALSE))</f>
        <v/>
      </c>
      <c r="W90" s="769" t="str">
        <f t="shared" si="25"/>
        <v/>
      </c>
      <c r="X90" s="774" t="str">
        <f t="shared" si="26"/>
        <v/>
      </c>
      <c r="Y90" s="954"/>
      <c r="Z90" s="950" t="str">
        <f>IF(Y90="","",IF(I90=1,VLOOKUP(Y90,男子種目コード!$A$1:$B$33,2,FALSE),IF(I90=2,VLOOKUP(Y90,女子種目コード!$A$1:$B$27,2,FALSE))))</f>
        <v/>
      </c>
      <c r="AA90" s="339"/>
      <c r="AB90" s="338"/>
      <c r="AC90" s="646"/>
      <c r="AD90" s="647"/>
      <c r="AE90" s="773" t="str">
        <f t="shared" si="27"/>
        <v/>
      </c>
      <c r="AF90" s="774" t="str">
        <f t="shared" si="28"/>
        <v/>
      </c>
      <c r="AG90" s="648"/>
      <c r="AH90" s="649"/>
      <c r="AI90" s="650"/>
      <c r="AJ90" s="20"/>
      <c r="AK90" s="20"/>
      <c r="AM90" s="143"/>
      <c r="AN90" s="135" t="str">
        <f t="shared" si="17"/>
        <v/>
      </c>
      <c r="AO90" s="135" t="str">
        <f t="shared" si="18"/>
        <v/>
      </c>
      <c r="AQ90" s="135"/>
      <c r="AR90" s="135"/>
      <c r="AS90" s="183">
        <f t="shared" si="19"/>
        <v>0</v>
      </c>
      <c r="AT90" s="356"/>
      <c r="AU90" s="324"/>
      <c r="AV90" s="324"/>
      <c r="AW90" s="324"/>
      <c r="AX90" s="300"/>
      <c r="AY90" s="325"/>
      <c r="AZ90" s="325"/>
      <c r="BA90" s="300"/>
      <c r="BB90" s="300"/>
      <c r="BC90" s="300"/>
      <c r="BD90" s="300"/>
      <c r="BE90" s="300"/>
      <c r="BF90" s="300"/>
      <c r="BG90" s="300"/>
      <c r="BH90" s="300"/>
      <c r="BI90" s="300"/>
      <c r="BJ90" s="300"/>
    </row>
    <row r="91" spans="1:62" ht="14.25" customHeight="1">
      <c r="A91" s="135" t="str">
        <f t="shared" si="20"/>
        <v/>
      </c>
      <c r="B91" s="162" t="str">
        <f>名簿!P88</f>
        <v/>
      </c>
      <c r="C91" s="162"/>
      <c r="D91" s="931"/>
      <c r="E91" s="182">
        <f>名簿!E88</f>
        <v>0</v>
      </c>
      <c r="F91" s="697" t="str">
        <f>名簿!CM88</f>
        <v/>
      </c>
      <c r="G91" s="162" t="str">
        <f>名簿!Z88</f>
        <v/>
      </c>
      <c r="H91" s="675" t="str">
        <f>名簿!CM88</f>
        <v/>
      </c>
      <c r="I91" s="187" t="str">
        <f>名簿!Y88</f>
        <v/>
      </c>
      <c r="J91" s="190" t="str">
        <f>名簿!CN88</f>
        <v/>
      </c>
      <c r="K91" s="1040">
        <f>名簿!CP88</f>
        <v>0</v>
      </c>
      <c r="L91" s="750" t="str">
        <f>名簿!CU88</f>
        <v>00</v>
      </c>
      <c r="M91" s="162" t="str">
        <f>名簿!Q88</f>
        <v/>
      </c>
      <c r="N91" s="697">
        <f>名簿!D88</f>
        <v>0</v>
      </c>
      <c r="O91" s="368"/>
      <c r="P91" s="292" t="str">
        <f t="shared" si="21"/>
        <v/>
      </c>
      <c r="Q91" s="1282" t="str">
        <f>IF(O91="","",HLOOKUP(O91,名簿!$AH$3:$CH$118,86,FALSE))</f>
        <v/>
      </c>
      <c r="R91" s="1282" t="str">
        <f t="shared" si="22"/>
        <v/>
      </c>
      <c r="S91" s="1282" t="str">
        <f t="shared" si="23"/>
        <v/>
      </c>
      <c r="T91" s="368"/>
      <c r="U91" s="292" t="str">
        <f t="shared" si="24"/>
        <v/>
      </c>
      <c r="V91" s="669" t="str">
        <f>IF(T91="","",HLOOKUP(T91,名簿!$AH$3:$CH$118,86,FALSE))</f>
        <v/>
      </c>
      <c r="W91" s="769" t="str">
        <f t="shared" si="25"/>
        <v/>
      </c>
      <c r="X91" s="774" t="str">
        <f t="shared" si="26"/>
        <v/>
      </c>
      <c r="Y91" s="954"/>
      <c r="Z91" s="950" t="str">
        <f>IF(Y91="","",IF(I91=1,VLOOKUP(Y91,男子種目コード!$A$1:$B$33,2,FALSE),IF(I91=2,VLOOKUP(Y91,女子種目コード!$A$1:$B$27,2,FALSE))))</f>
        <v/>
      </c>
      <c r="AA91" s="339"/>
      <c r="AB91" s="338"/>
      <c r="AC91" s="646"/>
      <c r="AD91" s="647"/>
      <c r="AE91" s="773" t="str">
        <f t="shared" si="27"/>
        <v/>
      </c>
      <c r="AF91" s="774" t="str">
        <f t="shared" si="28"/>
        <v/>
      </c>
      <c r="AG91" s="648"/>
      <c r="AH91" s="649"/>
      <c r="AI91" s="650"/>
      <c r="AJ91" s="20"/>
      <c r="AK91" s="20"/>
      <c r="AM91" s="143"/>
      <c r="AN91" s="135" t="str">
        <f t="shared" si="17"/>
        <v/>
      </c>
      <c r="AO91" s="135" t="str">
        <f t="shared" si="18"/>
        <v/>
      </c>
      <c r="AQ91" s="135"/>
      <c r="AR91" s="135"/>
      <c r="AS91" s="183">
        <f t="shared" si="19"/>
        <v>0</v>
      </c>
      <c r="AT91" s="356"/>
      <c r="AU91" s="324"/>
      <c r="AV91" s="324"/>
      <c r="AW91" s="324"/>
      <c r="AX91" s="300"/>
      <c r="AY91" s="325"/>
      <c r="AZ91" s="325"/>
      <c r="BA91" s="300"/>
      <c r="BB91" s="300"/>
      <c r="BC91" s="300"/>
      <c r="BD91" s="300"/>
      <c r="BE91" s="300"/>
      <c r="BF91" s="300"/>
      <c r="BG91" s="300"/>
      <c r="BH91" s="300"/>
      <c r="BI91" s="300"/>
      <c r="BJ91" s="300"/>
    </row>
    <row r="92" spans="1:62" ht="14.25" customHeight="1">
      <c r="A92" s="135" t="str">
        <f t="shared" si="20"/>
        <v/>
      </c>
      <c r="B92" s="162" t="str">
        <f>名簿!P89</f>
        <v/>
      </c>
      <c r="C92" s="162"/>
      <c r="D92" s="931"/>
      <c r="E92" s="182">
        <f>名簿!E89</f>
        <v>0</v>
      </c>
      <c r="F92" s="697" t="str">
        <f>名簿!CM89</f>
        <v/>
      </c>
      <c r="G92" s="162" t="str">
        <f>名簿!Z89</f>
        <v/>
      </c>
      <c r="H92" s="675" t="str">
        <f>名簿!CM89</f>
        <v/>
      </c>
      <c r="I92" s="187" t="str">
        <f>名簿!Y89</f>
        <v/>
      </c>
      <c r="J92" s="190" t="str">
        <f>名簿!CN89</f>
        <v/>
      </c>
      <c r="K92" s="1040">
        <f>名簿!CP89</f>
        <v>0</v>
      </c>
      <c r="L92" s="750" t="str">
        <f>名簿!CU89</f>
        <v>00</v>
      </c>
      <c r="M92" s="162" t="str">
        <f>名簿!Q89</f>
        <v/>
      </c>
      <c r="N92" s="697">
        <f>名簿!D89</f>
        <v>0</v>
      </c>
      <c r="O92" s="368"/>
      <c r="P92" s="292" t="str">
        <f t="shared" si="21"/>
        <v/>
      </c>
      <c r="Q92" s="1282" t="str">
        <f>IF(O92="","",HLOOKUP(O92,名簿!$AH$3:$CH$118,87,FALSE))</f>
        <v/>
      </c>
      <c r="R92" s="1282" t="str">
        <f t="shared" si="22"/>
        <v/>
      </c>
      <c r="S92" s="1282" t="str">
        <f t="shared" si="23"/>
        <v/>
      </c>
      <c r="T92" s="368"/>
      <c r="U92" s="292" t="str">
        <f t="shared" si="24"/>
        <v/>
      </c>
      <c r="V92" s="669" t="str">
        <f>IF(T92="","",HLOOKUP(T92,名簿!$AH$3:$CH$118,87,FALSE))</f>
        <v/>
      </c>
      <c r="W92" s="769" t="str">
        <f t="shared" si="25"/>
        <v/>
      </c>
      <c r="X92" s="774" t="str">
        <f t="shared" si="26"/>
        <v/>
      </c>
      <c r="Y92" s="954"/>
      <c r="Z92" s="950" t="str">
        <f>IF(Y92="","",IF(I92=1,VLOOKUP(Y92,男子種目コード!$A$1:$B$33,2,FALSE),IF(I92=2,VLOOKUP(Y92,女子種目コード!$A$1:$B$27,2,FALSE))))</f>
        <v/>
      </c>
      <c r="AA92" s="339"/>
      <c r="AB92" s="338"/>
      <c r="AC92" s="646"/>
      <c r="AD92" s="647"/>
      <c r="AE92" s="773" t="str">
        <f t="shared" si="27"/>
        <v/>
      </c>
      <c r="AF92" s="774" t="str">
        <f t="shared" si="28"/>
        <v/>
      </c>
      <c r="AG92" s="648"/>
      <c r="AH92" s="649"/>
      <c r="AI92" s="650"/>
      <c r="AJ92" s="20"/>
      <c r="AK92" s="20"/>
      <c r="AM92" s="143"/>
      <c r="AN92" s="135" t="str">
        <f t="shared" si="17"/>
        <v/>
      </c>
      <c r="AO92" s="135" t="str">
        <f t="shared" si="18"/>
        <v/>
      </c>
      <c r="AQ92" s="135"/>
      <c r="AR92" s="135"/>
      <c r="AS92" s="183">
        <f t="shared" si="19"/>
        <v>0</v>
      </c>
      <c r="AT92" s="356"/>
      <c r="AU92" s="324"/>
      <c r="AV92" s="324"/>
      <c r="AW92" s="324"/>
      <c r="AX92" s="300"/>
      <c r="AY92" s="325"/>
      <c r="AZ92" s="325"/>
      <c r="BA92" s="300"/>
      <c r="BB92" s="300"/>
      <c r="BC92" s="300"/>
      <c r="BD92" s="300"/>
      <c r="BE92" s="300"/>
      <c r="BF92" s="300"/>
      <c r="BG92" s="300"/>
      <c r="BH92" s="300"/>
      <c r="BI92" s="300"/>
      <c r="BJ92" s="300"/>
    </row>
    <row r="93" spans="1:62" ht="14.25" customHeight="1">
      <c r="A93" s="135" t="str">
        <f t="shared" si="20"/>
        <v/>
      </c>
      <c r="B93" s="162" t="str">
        <f>名簿!P90</f>
        <v/>
      </c>
      <c r="C93" s="162"/>
      <c r="D93" s="931"/>
      <c r="E93" s="182">
        <f>名簿!E90</f>
        <v>0</v>
      </c>
      <c r="F93" s="697" t="str">
        <f>名簿!CM90</f>
        <v/>
      </c>
      <c r="G93" s="162" t="str">
        <f>名簿!Z90</f>
        <v/>
      </c>
      <c r="H93" s="675" t="str">
        <f>名簿!CM90</f>
        <v/>
      </c>
      <c r="I93" s="187" t="str">
        <f>名簿!Y90</f>
        <v/>
      </c>
      <c r="J93" s="190" t="str">
        <f>名簿!CN90</f>
        <v/>
      </c>
      <c r="K93" s="1040">
        <f>名簿!CP90</f>
        <v>0</v>
      </c>
      <c r="L93" s="750" t="str">
        <f>名簿!CU90</f>
        <v>00</v>
      </c>
      <c r="M93" s="162" t="str">
        <f>名簿!Q90</f>
        <v/>
      </c>
      <c r="N93" s="697">
        <f>名簿!D90</f>
        <v>0</v>
      </c>
      <c r="O93" s="368"/>
      <c r="P93" s="292" t="str">
        <f t="shared" si="21"/>
        <v/>
      </c>
      <c r="Q93" s="1282" t="str">
        <f>IF(O93="","",HLOOKUP(O93,名簿!$AH$3:$CH$118,88,FALSE))</f>
        <v/>
      </c>
      <c r="R93" s="1282" t="str">
        <f t="shared" si="22"/>
        <v/>
      </c>
      <c r="S93" s="1282" t="str">
        <f t="shared" si="23"/>
        <v/>
      </c>
      <c r="T93" s="368"/>
      <c r="U93" s="292" t="str">
        <f t="shared" si="24"/>
        <v/>
      </c>
      <c r="V93" s="669" t="str">
        <f>IF(T93="","",HLOOKUP(T93,名簿!$AH$3:$CH$118,88,FALSE))</f>
        <v/>
      </c>
      <c r="W93" s="769" t="str">
        <f t="shared" si="25"/>
        <v/>
      </c>
      <c r="X93" s="774" t="str">
        <f t="shared" si="26"/>
        <v/>
      </c>
      <c r="Y93" s="954"/>
      <c r="Z93" s="950" t="str">
        <f>IF(Y93="","",IF(I93=1,VLOOKUP(Y93,男子種目コード!$A$1:$B$33,2,FALSE),IF(I93=2,VLOOKUP(Y93,女子種目コード!$A$1:$B$27,2,FALSE))))</f>
        <v/>
      </c>
      <c r="AA93" s="339"/>
      <c r="AB93" s="338"/>
      <c r="AC93" s="646"/>
      <c r="AD93" s="647"/>
      <c r="AE93" s="773" t="str">
        <f t="shared" si="27"/>
        <v/>
      </c>
      <c r="AF93" s="774" t="str">
        <f t="shared" si="28"/>
        <v/>
      </c>
      <c r="AG93" s="648"/>
      <c r="AH93" s="649"/>
      <c r="AI93" s="650"/>
      <c r="AJ93" s="20"/>
      <c r="AK93" s="20"/>
      <c r="AM93" s="143"/>
      <c r="AN93" s="135" t="str">
        <f t="shared" si="17"/>
        <v/>
      </c>
      <c r="AO93" s="135" t="str">
        <f t="shared" si="18"/>
        <v/>
      </c>
      <c r="AQ93" s="135"/>
      <c r="AR93" s="135"/>
      <c r="AS93" s="183">
        <f t="shared" si="19"/>
        <v>0</v>
      </c>
      <c r="AT93" s="356"/>
      <c r="AU93" s="324"/>
      <c r="AV93" s="324"/>
      <c r="AW93" s="324"/>
      <c r="AX93" s="300"/>
      <c r="AY93" s="325"/>
      <c r="AZ93" s="325"/>
      <c r="BA93" s="300"/>
      <c r="BB93" s="300"/>
      <c r="BC93" s="300"/>
      <c r="BD93" s="300"/>
      <c r="BE93" s="300"/>
      <c r="BF93" s="300"/>
      <c r="BG93" s="300"/>
      <c r="BH93" s="300"/>
      <c r="BI93" s="300"/>
      <c r="BJ93" s="300"/>
    </row>
    <row r="94" spans="1:62" ht="14.25" customHeight="1">
      <c r="A94" s="135" t="str">
        <f t="shared" si="20"/>
        <v/>
      </c>
      <c r="B94" s="162" t="str">
        <f>名簿!P91</f>
        <v/>
      </c>
      <c r="C94" s="162"/>
      <c r="D94" s="931"/>
      <c r="E94" s="182">
        <f>名簿!E91</f>
        <v>0</v>
      </c>
      <c r="F94" s="697" t="str">
        <f>名簿!CM91</f>
        <v/>
      </c>
      <c r="G94" s="162" t="str">
        <f>名簿!Z91</f>
        <v/>
      </c>
      <c r="H94" s="675" t="str">
        <f>名簿!CM91</f>
        <v/>
      </c>
      <c r="I94" s="187" t="str">
        <f>名簿!Y91</f>
        <v/>
      </c>
      <c r="J94" s="190" t="str">
        <f>名簿!CN91</f>
        <v/>
      </c>
      <c r="K94" s="1040">
        <f>名簿!CP91</f>
        <v>0</v>
      </c>
      <c r="L94" s="750" t="str">
        <f>名簿!CU91</f>
        <v>00</v>
      </c>
      <c r="M94" s="162" t="str">
        <f>名簿!Q91</f>
        <v/>
      </c>
      <c r="N94" s="697">
        <f>名簿!D91</f>
        <v>0</v>
      </c>
      <c r="O94" s="368"/>
      <c r="P94" s="292" t="str">
        <f t="shared" si="21"/>
        <v/>
      </c>
      <c r="Q94" s="1282" t="str">
        <f>IF(O94="","",HLOOKUP(O94,名簿!$AH$3:$CH$118,89,FALSE))</f>
        <v/>
      </c>
      <c r="R94" s="1282" t="str">
        <f t="shared" si="22"/>
        <v/>
      </c>
      <c r="S94" s="1282" t="str">
        <f t="shared" si="23"/>
        <v/>
      </c>
      <c r="T94" s="368"/>
      <c r="U94" s="292" t="str">
        <f t="shared" si="24"/>
        <v/>
      </c>
      <c r="V94" s="669" t="str">
        <f>IF(T94="","",HLOOKUP(T94,名簿!$AH$3:$CH$118,89,FALSE))</f>
        <v/>
      </c>
      <c r="W94" s="769" t="str">
        <f t="shared" si="25"/>
        <v/>
      </c>
      <c r="X94" s="774" t="str">
        <f t="shared" si="26"/>
        <v/>
      </c>
      <c r="Y94" s="954"/>
      <c r="Z94" s="950" t="str">
        <f>IF(Y94="","",IF(I94=1,VLOOKUP(Y94,男子種目コード!$A$1:$B$33,2,FALSE),IF(I94=2,VLOOKUP(Y94,女子種目コード!$A$1:$B$27,2,FALSE))))</f>
        <v/>
      </c>
      <c r="AA94" s="339"/>
      <c r="AB94" s="338"/>
      <c r="AC94" s="646"/>
      <c r="AD94" s="647"/>
      <c r="AE94" s="773" t="str">
        <f t="shared" si="27"/>
        <v/>
      </c>
      <c r="AF94" s="774" t="str">
        <f t="shared" si="28"/>
        <v/>
      </c>
      <c r="AG94" s="648"/>
      <c r="AH94" s="649"/>
      <c r="AI94" s="650"/>
      <c r="AJ94" s="20"/>
      <c r="AK94" s="20"/>
      <c r="AM94" s="143"/>
      <c r="AN94" s="135" t="str">
        <f t="shared" si="17"/>
        <v/>
      </c>
      <c r="AO94" s="135" t="str">
        <f t="shared" si="18"/>
        <v/>
      </c>
      <c r="AQ94" s="135"/>
      <c r="AR94" s="135"/>
      <c r="AS94" s="183">
        <f t="shared" si="19"/>
        <v>0</v>
      </c>
      <c r="AT94" s="356"/>
      <c r="AU94" s="324"/>
      <c r="AV94" s="324"/>
      <c r="AW94" s="324"/>
      <c r="AX94" s="300"/>
      <c r="AY94" s="325"/>
      <c r="AZ94" s="325"/>
      <c r="BA94" s="300"/>
      <c r="BB94" s="300"/>
      <c r="BC94" s="300"/>
      <c r="BD94" s="300"/>
      <c r="BE94" s="300"/>
      <c r="BF94" s="300"/>
      <c r="BG94" s="300"/>
      <c r="BH94" s="300"/>
      <c r="BI94" s="300"/>
      <c r="BJ94" s="300"/>
    </row>
    <row r="95" spans="1:62" ht="14.25" customHeight="1">
      <c r="A95" s="135" t="str">
        <f t="shared" si="20"/>
        <v/>
      </c>
      <c r="B95" s="162" t="str">
        <f>名簿!P92</f>
        <v/>
      </c>
      <c r="C95" s="162"/>
      <c r="D95" s="931"/>
      <c r="E95" s="182">
        <f>名簿!E92</f>
        <v>0</v>
      </c>
      <c r="F95" s="697" t="str">
        <f>名簿!CM92</f>
        <v/>
      </c>
      <c r="G95" s="162" t="str">
        <f>名簿!Z92</f>
        <v/>
      </c>
      <c r="H95" s="675" t="str">
        <f>名簿!CM92</f>
        <v/>
      </c>
      <c r="I95" s="187" t="str">
        <f>名簿!Y92</f>
        <v/>
      </c>
      <c r="J95" s="190" t="str">
        <f>名簿!CN92</f>
        <v/>
      </c>
      <c r="K95" s="1040">
        <f>名簿!CP92</f>
        <v>0</v>
      </c>
      <c r="L95" s="750" t="str">
        <f>名簿!CU92</f>
        <v>00</v>
      </c>
      <c r="M95" s="162" t="str">
        <f>名簿!Q92</f>
        <v/>
      </c>
      <c r="N95" s="697">
        <f>名簿!D92</f>
        <v>0</v>
      </c>
      <c r="O95" s="368"/>
      <c r="P95" s="292" t="str">
        <f t="shared" si="21"/>
        <v/>
      </c>
      <c r="Q95" s="1282" t="str">
        <f>IF(O95="","",HLOOKUP(O95,名簿!$AH$3:$CH$118,90,FALSE))</f>
        <v/>
      </c>
      <c r="R95" s="1282" t="str">
        <f t="shared" si="22"/>
        <v/>
      </c>
      <c r="S95" s="1282" t="str">
        <f t="shared" si="23"/>
        <v/>
      </c>
      <c r="T95" s="368"/>
      <c r="U95" s="292" t="str">
        <f t="shared" si="24"/>
        <v/>
      </c>
      <c r="V95" s="669" t="str">
        <f>IF(T95="","",HLOOKUP(T95,名簿!$AH$3:$CH$118,90,FALSE))</f>
        <v/>
      </c>
      <c r="W95" s="769" t="str">
        <f t="shared" si="25"/>
        <v/>
      </c>
      <c r="X95" s="774" t="str">
        <f t="shared" si="26"/>
        <v/>
      </c>
      <c r="Y95" s="954"/>
      <c r="Z95" s="950" t="str">
        <f>IF(Y95="","",IF(I95=1,VLOOKUP(Y95,男子種目コード!$A$1:$B$33,2,FALSE),IF(I95=2,VLOOKUP(Y95,女子種目コード!$A$1:$B$27,2,FALSE))))</f>
        <v/>
      </c>
      <c r="AA95" s="339"/>
      <c r="AB95" s="338"/>
      <c r="AC95" s="646"/>
      <c r="AD95" s="647"/>
      <c r="AE95" s="773" t="str">
        <f t="shared" si="27"/>
        <v/>
      </c>
      <c r="AF95" s="774" t="str">
        <f t="shared" si="28"/>
        <v/>
      </c>
      <c r="AG95" s="648"/>
      <c r="AH95" s="649"/>
      <c r="AI95" s="650"/>
      <c r="AJ95" s="20"/>
      <c r="AK95" s="20"/>
      <c r="AM95" s="143"/>
      <c r="AN95" s="135" t="str">
        <f t="shared" si="17"/>
        <v/>
      </c>
      <c r="AO95" s="135" t="str">
        <f t="shared" si="18"/>
        <v/>
      </c>
      <c r="AQ95" s="135"/>
      <c r="AR95" s="135"/>
      <c r="AS95" s="183">
        <f t="shared" si="19"/>
        <v>0</v>
      </c>
      <c r="AT95" s="356"/>
      <c r="AU95" s="324"/>
      <c r="AV95" s="324"/>
      <c r="AW95" s="324"/>
      <c r="AX95" s="300"/>
      <c r="AY95" s="325"/>
      <c r="AZ95" s="325"/>
      <c r="BA95" s="300"/>
      <c r="BB95" s="300"/>
      <c r="BC95" s="300"/>
      <c r="BD95" s="300"/>
      <c r="BE95" s="300"/>
      <c r="BF95" s="300"/>
      <c r="BG95" s="300"/>
      <c r="BH95" s="300"/>
      <c r="BI95" s="300"/>
      <c r="BJ95" s="300"/>
    </row>
    <row r="96" spans="1:62" ht="14.25" customHeight="1">
      <c r="A96" s="135" t="str">
        <f t="shared" si="20"/>
        <v/>
      </c>
      <c r="B96" s="162" t="str">
        <f>名簿!P93</f>
        <v/>
      </c>
      <c r="C96" s="162"/>
      <c r="D96" s="931"/>
      <c r="E96" s="182">
        <f>名簿!E93</f>
        <v>0</v>
      </c>
      <c r="F96" s="697" t="str">
        <f>名簿!CM93</f>
        <v/>
      </c>
      <c r="G96" s="162" t="str">
        <f>名簿!Z93</f>
        <v/>
      </c>
      <c r="H96" s="675" t="str">
        <f>名簿!CM93</f>
        <v/>
      </c>
      <c r="I96" s="187" t="str">
        <f>名簿!Y93</f>
        <v/>
      </c>
      <c r="J96" s="190" t="str">
        <f>名簿!CN93</f>
        <v/>
      </c>
      <c r="K96" s="1040">
        <f>名簿!CP93</f>
        <v>0</v>
      </c>
      <c r="L96" s="750" t="str">
        <f>名簿!CU93</f>
        <v>00</v>
      </c>
      <c r="M96" s="162" t="str">
        <f>名簿!Q93</f>
        <v/>
      </c>
      <c r="N96" s="697">
        <f>名簿!D93</f>
        <v>0</v>
      </c>
      <c r="O96" s="368"/>
      <c r="P96" s="292" t="str">
        <f t="shared" si="21"/>
        <v/>
      </c>
      <c r="Q96" s="1282" t="str">
        <f>IF(O96="","",HLOOKUP(O96,名簿!$AH$3:$CH$118,91,FALSE))</f>
        <v/>
      </c>
      <c r="R96" s="1282" t="str">
        <f t="shared" si="22"/>
        <v/>
      </c>
      <c r="S96" s="1282" t="str">
        <f t="shared" si="23"/>
        <v/>
      </c>
      <c r="T96" s="368"/>
      <c r="U96" s="292" t="str">
        <f t="shared" si="24"/>
        <v/>
      </c>
      <c r="V96" s="669" t="str">
        <f>IF(T96="","",HLOOKUP(T96,名簿!$AH$3:$CH$118,91,FALSE))</f>
        <v/>
      </c>
      <c r="W96" s="769" t="str">
        <f t="shared" si="25"/>
        <v/>
      </c>
      <c r="X96" s="774" t="str">
        <f t="shared" si="26"/>
        <v/>
      </c>
      <c r="Y96" s="954"/>
      <c r="Z96" s="950" t="str">
        <f>IF(Y96="","",IF(I96=1,VLOOKUP(Y96,男子種目コード!$A$1:$B$33,2,FALSE),IF(I96=2,VLOOKUP(Y96,女子種目コード!$A$1:$B$27,2,FALSE))))</f>
        <v/>
      </c>
      <c r="AA96" s="339"/>
      <c r="AB96" s="338"/>
      <c r="AC96" s="646"/>
      <c r="AD96" s="647"/>
      <c r="AE96" s="773" t="str">
        <f t="shared" si="27"/>
        <v/>
      </c>
      <c r="AF96" s="774" t="str">
        <f t="shared" si="28"/>
        <v/>
      </c>
      <c r="AG96" s="648"/>
      <c r="AH96" s="649"/>
      <c r="AI96" s="650"/>
      <c r="AJ96" s="20"/>
      <c r="AK96" s="20"/>
      <c r="AM96" s="143"/>
      <c r="AN96" s="135" t="str">
        <f t="shared" si="17"/>
        <v/>
      </c>
      <c r="AO96" s="135" t="str">
        <f t="shared" si="18"/>
        <v/>
      </c>
      <c r="AQ96" s="135"/>
      <c r="AR96" s="135"/>
      <c r="AS96" s="183">
        <f t="shared" si="19"/>
        <v>0</v>
      </c>
      <c r="AT96" s="356"/>
      <c r="AU96" s="324"/>
      <c r="AV96" s="324"/>
      <c r="AW96" s="324"/>
      <c r="AX96" s="300"/>
      <c r="AY96" s="325"/>
      <c r="AZ96" s="325"/>
      <c r="BA96" s="300"/>
      <c r="BB96" s="300"/>
      <c r="BC96" s="300"/>
      <c r="BD96" s="300"/>
      <c r="BE96" s="300"/>
      <c r="BF96" s="300"/>
      <c r="BG96" s="300"/>
      <c r="BH96" s="300"/>
      <c r="BI96" s="300"/>
      <c r="BJ96" s="300"/>
    </row>
    <row r="97" spans="1:62" ht="14.25" customHeight="1">
      <c r="A97" s="135" t="str">
        <f t="shared" si="20"/>
        <v/>
      </c>
      <c r="B97" s="162" t="str">
        <f>名簿!P94</f>
        <v/>
      </c>
      <c r="C97" s="162"/>
      <c r="D97" s="931"/>
      <c r="E97" s="182">
        <f>名簿!E94</f>
        <v>0</v>
      </c>
      <c r="F97" s="697" t="str">
        <f>名簿!CM94</f>
        <v/>
      </c>
      <c r="G97" s="162" t="str">
        <f>名簿!Z94</f>
        <v/>
      </c>
      <c r="H97" s="675" t="str">
        <f>名簿!CM94</f>
        <v/>
      </c>
      <c r="I97" s="187" t="str">
        <f>名簿!Y94</f>
        <v/>
      </c>
      <c r="J97" s="190" t="str">
        <f>名簿!CN94</f>
        <v/>
      </c>
      <c r="K97" s="1040">
        <f>名簿!CP94</f>
        <v>0</v>
      </c>
      <c r="L97" s="750" t="str">
        <f>名簿!CU94</f>
        <v>00</v>
      </c>
      <c r="M97" s="162" t="str">
        <f>名簿!Q94</f>
        <v/>
      </c>
      <c r="N97" s="697">
        <f>名簿!D94</f>
        <v>0</v>
      </c>
      <c r="O97" s="368"/>
      <c r="P97" s="292" t="str">
        <f t="shared" si="21"/>
        <v/>
      </c>
      <c r="Q97" s="1282" t="str">
        <f>IF(O97="","",HLOOKUP(O97,名簿!$AH$3:$CH$118,92,FALSE))</f>
        <v/>
      </c>
      <c r="R97" s="1282" t="str">
        <f t="shared" si="22"/>
        <v/>
      </c>
      <c r="S97" s="1282" t="str">
        <f t="shared" si="23"/>
        <v/>
      </c>
      <c r="T97" s="368"/>
      <c r="U97" s="292" t="str">
        <f t="shared" si="24"/>
        <v/>
      </c>
      <c r="V97" s="669" t="str">
        <f>IF(T97="","",HLOOKUP(T97,名簿!$AH$3:$CH$118,92,FALSE))</f>
        <v/>
      </c>
      <c r="W97" s="769" t="str">
        <f t="shared" si="25"/>
        <v/>
      </c>
      <c r="X97" s="774" t="str">
        <f t="shared" si="26"/>
        <v/>
      </c>
      <c r="Y97" s="954"/>
      <c r="Z97" s="950" t="str">
        <f>IF(Y97="","",IF(I97=1,VLOOKUP(Y97,男子種目コード!$A$1:$B$33,2,FALSE),IF(I97=2,VLOOKUP(Y97,女子種目コード!$A$1:$B$27,2,FALSE))))</f>
        <v/>
      </c>
      <c r="AA97" s="339"/>
      <c r="AB97" s="338"/>
      <c r="AC97" s="646"/>
      <c r="AD97" s="647"/>
      <c r="AE97" s="773" t="str">
        <f t="shared" si="27"/>
        <v/>
      </c>
      <c r="AF97" s="774" t="str">
        <f t="shared" si="28"/>
        <v/>
      </c>
      <c r="AG97" s="648"/>
      <c r="AH97" s="649"/>
      <c r="AI97" s="650"/>
      <c r="AJ97" s="20"/>
      <c r="AK97" s="20"/>
      <c r="AM97" s="143"/>
      <c r="AN97" s="135" t="str">
        <f t="shared" si="17"/>
        <v/>
      </c>
      <c r="AO97" s="135" t="str">
        <f t="shared" si="18"/>
        <v/>
      </c>
      <c r="AQ97" s="135"/>
      <c r="AR97" s="135"/>
      <c r="AS97" s="183">
        <f t="shared" si="19"/>
        <v>0</v>
      </c>
      <c r="AT97" s="356"/>
      <c r="AU97" s="324"/>
      <c r="AV97" s="324"/>
      <c r="AW97" s="324"/>
      <c r="AX97" s="300"/>
      <c r="AY97" s="325"/>
      <c r="AZ97" s="325"/>
      <c r="BA97" s="300"/>
      <c r="BB97" s="300"/>
      <c r="BC97" s="300"/>
      <c r="BD97" s="300"/>
      <c r="BE97" s="300"/>
      <c r="BF97" s="300"/>
      <c r="BG97" s="300"/>
      <c r="BH97" s="300"/>
      <c r="BI97" s="300"/>
      <c r="BJ97" s="300"/>
    </row>
    <row r="98" spans="1:62" ht="14.25" customHeight="1">
      <c r="A98" s="135" t="str">
        <f t="shared" si="20"/>
        <v/>
      </c>
      <c r="B98" s="162" t="str">
        <f>名簿!P95</f>
        <v/>
      </c>
      <c r="C98" s="162"/>
      <c r="D98" s="931"/>
      <c r="E98" s="182">
        <f>名簿!E95</f>
        <v>0</v>
      </c>
      <c r="F98" s="697" t="str">
        <f>名簿!CM95</f>
        <v/>
      </c>
      <c r="G98" s="162" t="str">
        <f>名簿!Z95</f>
        <v/>
      </c>
      <c r="H98" s="675" t="str">
        <f>名簿!CM95</f>
        <v/>
      </c>
      <c r="I98" s="187" t="str">
        <f>名簿!Y95</f>
        <v/>
      </c>
      <c r="J98" s="190" t="str">
        <f>名簿!CN95</f>
        <v/>
      </c>
      <c r="K98" s="1040">
        <f>名簿!CP95</f>
        <v>0</v>
      </c>
      <c r="L98" s="750" t="str">
        <f>名簿!CU95</f>
        <v>00</v>
      </c>
      <c r="M98" s="162" t="str">
        <f>名簿!Q95</f>
        <v/>
      </c>
      <c r="N98" s="697">
        <f>名簿!D95</f>
        <v>0</v>
      </c>
      <c r="O98" s="368"/>
      <c r="P98" s="292" t="str">
        <f t="shared" si="21"/>
        <v/>
      </c>
      <c r="Q98" s="1282" t="str">
        <f>IF(O98="","",HLOOKUP(O98,名簿!$AH$3:$CH$118,93,FALSE))</f>
        <v/>
      </c>
      <c r="R98" s="1282" t="str">
        <f t="shared" si="22"/>
        <v/>
      </c>
      <c r="S98" s="1282" t="str">
        <f t="shared" si="23"/>
        <v/>
      </c>
      <c r="T98" s="368"/>
      <c r="U98" s="292" t="str">
        <f t="shared" si="24"/>
        <v/>
      </c>
      <c r="V98" s="669" t="str">
        <f>IF(T98="","",HLOOKUP(T98,名簿!$AH$3:$CH$118,93,FALSE))</f>
        <v/>
      </c>
      <c r="W98" s="769" t="str">
        <f t="shared" si="25"/>
        <v/>
      </c>
      <c r="X98" s="774" t="str">
        <f t="shared" si="26"/>
        <v/>
      </c>
      <c r="Y98" s="954"/>
      <c r="Z98" s="950" t="str">
        <f>IF(Y98="","",IF(I98=1,VLOOKUP(Y98,男子種目コード!$A$1:$B$33,2,FALSE),IF(I98=2,VLOOKUP(Y98,女子種目コード!$A$1:$B$27,2,FALSE))))</f>
        <v/>
      </c>
      <c r="AA98" s="339"/>
      <c r="AB98" s="338"/>
      <c r="AC98" s="646"/>
      <c r="AD98" s="647"/>
      <c r="AE98" s="773" t="str">
        <f t="shared" si="27"/>
        <v/>
      </c>
      <c r="AF98" s="774" t="str">
        <f t="shared" si="28"/>
        <v/>
      </c>
      <c r="AG98" s="648"/>
      <c r="AH98" s="649"/>
      <c r="AI98" s="650"/>
      <c r="AJ98" s="20"/>
      <c r="AK98" s="20"/>
      <c r="AM98" s="143"/>
      <c r="AN98" s="135" t="str">
        <f t="shared" si="17"/>
        <v/>
      </c>
      <c r="AO98" s="135" t="str">
        <f t="shared" si="18"/>
        <v/>
      </c>
      <c r="AQ98" s="135"/>
      <c r="AR98" s="135"/>
      <c r="AS98" s="183">
        <f t="shared" si="19"/>
        <v>0</v>
      </c>
      <c r="AT98" s="356"/>
      <c r="AU98" s="324"/>
      <c r="AV98" s="324"/>
      <c r="AW98" s="324"/>
      <c r="AX98" s="300"/>
      <c r="AY98" s="325"/>
      <c r="AZ98" s="325"/>
      <c r="BA98" s="300"/>
      <c r="BB98" s="300"/>
      <c r="BC98" s="300"/>
      <c r="BD98" s="300"/>
      <c r="BE98" s="300"/>
      <c r="BF98" s="300"/>
      <c r="BG98" s="300"/>
      <c r="BH98" s="300"/>
      <c r="BI98" s="300"/>
      <c r="BJ98" s="300"/>
    </row>
    <row r="99" spans="1:62" ht="14.25" customHeight="1">
      <c r="A99" s="135" t="str">
        <f t="shared" si="20"/>
        <v/>
      </c>
      <c r="B99" s="162" t="str">
        <f>名簿!P96</f>
        <v/>
      </c>
      <c r="C99" s="162"/>
      <c r="D99" s="931"/>
      <c r="E99" s="182">
        <f>名簿!E96</f>
        <v>0</v>
      </c>
      <c r="F99" s="697" t="str">
        <f>名簿!CM96</f>
        <v/>
      </c>
      <c r="G99" s="162" t="str">
        <f>名簿!Z96</f>
        <v/>
      </c>
      <c r="H99" s="675" t="str">
        <f>名簿!CM96</f>
        <v/>
      </c>
      <c r="I99" s="187" t="str">
        <f>名簿!Y96</f>
        <v/>
      </c>
      <c r="J99" s="190" t="str">
        <f>名簿!CN96</f>
        <v/>
      </c>
      <c r="K99" s="1040">
        <f>名簿!CP96</f>
        <v>0</v>
      </c>
      <c r="L99" s="750" t="str">
        <f>名簿!CU96</f>
        <v>00</v>
      </c>
      <c r="M99" s="162" t="str">
        <f>名簿!Q96</f>
        <v/>
      </c>
      <c r="N99" s="697">
        <f>名簿!D96</f>
        <v>0</v>
      </c>
      <c r="O99" s="368"/>
      <c r="P99" s="292" t="str">
        <f t="shared" si="21"/>
        <v/>
      </c>
      <c r="Q99" s="1282" t="str">
        <f>IF(O99="","",HLOOKUP(O99,名簿!$AH$3:$CH$118,94,FALSE))</f>
        <v/>
      </c>
      <c r="R99" s="1282" t="str">
        <f t="shared" si="22"/>
        <v/>
      </c>
      <c r="S99" s="1282" t="str">
        <f t="shared" si="23"/>
        <v/>
      </c>
      <c r="T99" s="368"/>
      <c r="U99" s="292" t="str">
        <f t="shared" si="24"/>
        <v/>
      </c>
      <c r="V99" s="669" t="str">
        <f>IF(T99="","",HLOOKUP(T99,名簿!$AH$3:$CH$118,94,FALSE))</f>
        <v/>
      </c>
      <c r="W99" s="769" t="str">
        <f t="shared" si="25"/>
        <v/>
      </c>
      <c r="X99" s="774" t="str">
        <f t="shared" si="26"/>
        <v/>
      </c>
      <c r="Y99" s="954"/>
      <c r="Z99" s="950" t="str">
        <f>IF(Y99="","",IF(I99=1,VLOOKUP(Y99,男子種目コード!$A$1:$B$33,2,FALSE),IF(I99=2,VLOOKUP(Y99,女子種目コード!$A$1:$B$27,2,FALSE))))</f>
        <v/>
      </c>
      <c r="AA99" s="339"/>
      <c r="AB99" s="338"/>
      <c r="AC99" s="646"/>
      <c r="AD99" s="647"/>
      <c r="AE99" s="773" t="str">
        <f t="shared" si="27"/>
        <v/>
      </c>
      <c r="AF99" s="774" t="str">
        <f t="shared" si="28"/>
        <v/>
      </c>
      <c r="AG99" s="648"/>
      <c r="AH99" s="649"/>
      <c r="AI99" s="650"/>
      <c r="AJ99" s="20"/>
      <c r="AK99" s="20"/>
      <c r="AM99" s="143"/>
      <c r="AN99" s="135" t="str">
        <f t="shared" si="17"/>
        <v/>
      </c>
      <c r="AO99" s="135" t="str">
        <f t="shared" si="18"/>
        <v/>
      </c>
      <c r="AQ99" s="135"/>
      <c r="AR99" s="135"/>
      <c r="AS99" s="183">
        <f t="shared" si="19"/>
        <v>0</v>
      </c>
      <c r="AT99" s="356"/>
      <c r="AU99" s="324"/>
      <c r="AV99" s="324"/>
      <c r="AW99" s="324"/>
      <c r="AX99" s="300"/>
      <c r="AY99" s="325"/>
      <c r="AZ99" s="325"/>
      <c r="BA99" s="300"/>
      <c r="BB99" s="300"/>
      <c r="BC99" s="300"/>
      <c r="BD99" s="300"/>
      <c r="BE99" s="300"/>
      <c r="BF99" s="300"/>
      <c r="BG99" s="300"/>
      <c r="BH99" s="300"/>
      <c r="BI99" s="300"/>
      <c r="BJ99" s="300"/>
    </row>
    <row r="100" spans="1:62" ht="14.25" customHeight="1">
      <c r="A100" s="135" t="str">
        <f t="shared" si="20"/>
        <v/>
      </c>
      <c r="B100" s="162" t="str">
        <f>名簿!P97</f>
        <v/>
      </c>
      <c r="C100" s="162"/>
      <c r="D100" s="931"/>
      <c r="E100" s="182">
        <f>名簿!E97</f>
        <v>0</v>
      </c>
      <c r="F100" s="697" t="str">
        <f>名簿!CM97</f>
        <v/>
      </c>
      <c r="G100" s="162" t="str">
        <f>名簿!Z97</f>
        <v/>
      </c>
      <c r="H100" s="675" t="str">
        <f>名簿!CM97</f>
        <v/>
      </c>
      <c r="I100" s="187" t="str">
        <f>名簿!Y97</f>
        <v/>
      </c>
      <c r="J100" s="190" t="str">
        <f>名簿!CN97</f>
        <v/>
      </c>
      <c r="K100" s="1040">
        <f>名簿!CP97</f>
        <v>0</v>
      </c>
      <c r="L100" s="750" t="str">
        <f>名簿!CU97</f>
        <v>00</v>
      </c>
      <c r="M100" s="162" t="str">
        <f>名簿!Q97</f>
        <v/>
      </c>
      <c r="N100" s="697">
        <f>名簿!D97</f>
        <v>0</v>
      </c>
      <c r="O100" s="368"/>
      <c r="P100" s="292" t="str">
        <f t="shared" si="21"/>
        <v/>
      </c>
      <c r="Q100" s="1282" t="str">
        <f>IF(O100="","",HLOOKUP(O100,名簿!$AH$3:$CH$118,95,FALSE))</f>
        <v/>
      </c>
      <c r="R100" s="1282" t="str">
        <f t="shared" si="22"/>
        <v/>
      </c>
      <c r="S100" s="1282" t="str">
        <f t="shared" si="23"/>
        <v/>
      </c>
      <c r="T100" s="368"/>
      <c r="U100" s="292" t="str">
        <f t="shared" si="24"/>
        <v/>
      </c>
      <c r="V100" s="669" t="str">
        <f>IF(T100="","",HLOOKUP(T100,名簿!$AH$3:$CH$118,95,FALSE))</f>
        <v/>
      </c>
      <c r="W100" s="769" t="str">
        <f t="shared" si="25"/>
        <v/>
      </c>
      <c r="X100" s="774" t="str">
        <f t="shared" si="26"/>
        <v/>
      </c>
      <c r="Y100" s="954"/>
      <c r="Z100" s="950" t="str">
        <f>IF(Y100="","",IF(I100=1,VLOOKUP(Y100,男子種目コード!$A$1:$B$33,2,FALSE),IF(I100=2,VLOOKUP(Y100,女子種目コード!$A$1:$B$27,2,FALSE))))</f>
        <v/>
      </c>
      <c r="AA100" s="339"/>
      <c r="AB100" s="338"/>
      <c r="AC100" s="646"/>
      <c r="AD100" s="647"/>
      <c r="AE100" s="773" t="str">
        <f t="shared" si="27"/>
        <v/>
      </c>
      <c r="AF100" s="774" t="str">
        <f t="shared" si="28"/>
        <v/>
      </c>
      <c r="AG100" s="648"/>
      <c r="AH100" s="649"/>
      <c r="AI100" s="650"/>
      <c r="AJ100" s="20"/>
      <c r="AK100" s="20"/>
      <c r="AM100" s="143"/>
      <c r="AN100" s="135" t="str">
        <f t="shared" si="17"/>
        <v/>
      </c>
      <c r="AO100" s="135" t="str">
        <f t="shared" si="18"/>
        <v/>
      </c>
      <c r="AQ100" s="135"/>
      <c r="AR100" s="135"/>
      <c r="AS100" s="183">
        <f t="shared" si="19"/>
        <v>0</v>
      </c>
      <c r="AT100" s="356"/>
      <c r="AU100" s="324"/>
      <c r="AV100" s="324"/>
      <c r="AW100" s="324"/>
      <c r="AX100" s="300"/>
      <c r="AY100" s="325"/>
      <c r="AZ100" s="325"/>
      <c r="BA100" s="300"/>
      <c r="BB100" s="300"/>
      <c r="BC100" s="300"/>
      <c r="BD100" s="300"/>
      <c r="BE100" s="300"/>
      <c r="BF100" s="300"/>
      <c r="BG100" s="300"/>
      <c r="BH100" s="300"/>
      <c r="BI100" s="300"/>
      <c r="BJ100" s="300"/>
    </row>
    <row r="101" spans="1:62" ht="14.25" customHeight="1">
      <c r="A101" s="135" t="str">
        <f t="shared" si="20"/>
        <v/>
      </c>
      <c r="B101" s="162" t="str">
        <f>名簿!P98</f>
        <v/>
      </c>
      <c r="C101" s="162"/>
      <c r="D101" s="931"/>
      <c r="E101" s="182">
        <f>名簿!E98</f>
        <v>0</v>
      </c>
      <c r="F101" s="697" t="str">
        <f>名簿!CM98</f>
        <v/>
      </c>
      <c r="G101" s="162" t="str">
        <f>名簿!Z98</f>
        <v/>
      </c>
      <c r="H101" s="675" t="str">
        <f>名簿!CM98</f>
        <v/>
      </c>
      <c r="I101" s="187" t="str">
        <f>名簿!Y98</f>
        <v/>
      </c>
      <c r="J101" s="190" t="str">
        <f>名簿!CN98</f>
        <v/>
      </c>
      <c r="K101" s="1040">
        <f>名簿!CP98</f>
        <v>0</v>
      </c>
      <c r="L101" s="750" t="str">
        <f>名簿!CU98</f>
        <v>00</v>
      </c>
      <c r="M101" s="162" t="str">
        <f>名簿!Q98</f>
        <v/>
      </c>
      <c r="N101" s="697">
        <f>名簿!D98</f>
        <v>0</v>
      </c>
      <c r="O101" s="368"/>
      <c r="P101" s="292" t="str">
        <f t="shared" si="21"/>
        <v/>
      </c>
      <c r="Q101" s="1282" t="str">
        <f>IF(O101="","",HLOOKUP(O101,名簿!$AH$3:$CH$118,96,FALSE))</f>
        <v/>
      </c>
      <c r="R101" s="1282" t="str">
        <f t="shared" si="22"/>
        <v/>
      </c>
      <c r="S101" s="1282" t="str">
        <f t="shared" si="23"/>
        <v/>
      </c>
      <c r="T101" s="368"/>
      <c r="U101" s="292" t="str">
        <f t="shared" si="24"/>
        <v/>
      </c>
      <c r="V101" s="669" t="str">
        <f>IF(T101="","",HLOOKUP(T101,名簿!$AH$3:$CH$118,96,FALSE))</f>
        <v/>
      </c>
      <c r="W101" s="769" t="str">
        <f t="shared" si="25"/>
        <v/>
      </c>
      <c r="X101" s="774" t="str">
        <f t="shared" si="26"/>
        <v/>
      </c>
      <c r="Y101" s="954"/>
      <c r="Z101" s="950" t="str">
        <f>IF(Y101="","",IF(I101=1,VLOOKUP(Y101,男子種目コード!$A$1:$B$33,2,FALSE),IF(I101=2,VLOOKUP(Y101,女子種目コード!$A$1:$B$27,2,FALSE))))</f>
        <v/>
      </c>
      <c r="AA101" s="339"/>
      <c r="AB101" s="338"/>
      <c r="AC101" s="646"/>
      <c r="AD101" s="647"/>
      <c r="AE101" s="773" t="str">
        <f t="shared" si="27"/>
        <v/>
      </c>
      <c r="AF101" s="774" t="str">
        <f t="shared" si="28"/>
        <v/>
      </c>
      <c r="AG101" s="648"/>
      <c r="AH101" s="649"/>
      <c r="AI101" s="650"/>
      <c r="AJ101" s="20"/>
      <c r="AK101" s="20"/>
      <c r="AM101" s="143"/>
      <c r="AN101" s="135" t="str">
        <f t="shared" si="17"/>
        <v/>
      </c>
      <c r="AO101" s="135" t="str">
        <f t="shared" si="18"/>
        <v/>
      </c>
      <c r="AQ101" s="135"/>
      <c r="AR101" s="135"/>
      <c r="AS101" s="183">
        <f t="shared" si="19"/>
        <v>0</v>
      </c>
      <c r="AT101" s="356"/>
      <c r="AU101" s="324"/>
      <c r="AV101" s="324"/>
      <c r="AW101" s="324"/>
      <c r="AX101" s="300"/>
      <c r="AY101" s="325"/>
      <c r="AZ101" s="325"/>
      <c r="BA101" s="300"/>
      <c r="BB101" s="300"/>
      <c r="BC101" s="300"/>
      <c r="BD101" s="300"/>
      <c r="BE101" s="300"/>
      <c r="BF101" s="300"/>
      <c r="BG101" s="300"/>
      <c r="BH101" s="300"/>
      <c r="BI101" s="300"/>
      <c r="BJ101" s="300"/>
    </row>
    <row r="102" spans="1:62" ht="14.25" customHeight="1">
      <c r="A102" s="135" t="str">
        <f t="shared" si="20"/>
        <v/>
      </c>
      <c r="B102" s="162" t="str">
        <f>名簿!P99</f>
        <v/>
      </c>
      <c r="C102" s="162"/>
      <c r="D102" s="931"/>
      <c r="E102" s="182">
        <f>名簿!E99</f>
        <v>0</v>
      </c>
      <c r="F102" s="697" t="str">
        <f>名簿!CM99</f>
        <v/>
      </c>
      <c r="G102" s="162" t="str">
        <f>名簿!Z99</f>
        <v/>
      </c>
      <c r="H102" s="675" t="str">
        <f>名簿!CM99</f>
        <v/>
      </c>
      <c r="I102" s="187" t="str">
        <f>名簿!Y99</f>
        <v/>
      </c>
      <c r="J102" s="190" t="str">
        <f>名簿!CN99</f>
        <v/>
      </c>
      <c r="K102" s="1040">
        <f>名簿!CP99</f>
        <v>0</v>
      </c>
      <c r="L102" s="750" t="str">
        <f>名簿!CU99</f>
        <v>00</v>
      </c>
      <c r="M102" s="162" t="str">
        <f>名簿!Q99</f>
        <v/>
      </c>
      <c r="N102" s="697">
        <f>名簿!D99</f>
        <v>0</v>
      </c>
      <c r="O102" s="368"/>
      <c r="P102" s="292" t="str">
        <f t="shared" si="21"/>
        <v/>
      </c>
      <c r="Q102" s="1282" t="str">
        <f>IF(O102="","",HLOOKUP(O102,名簿!$AH$3:$CH$118,97,FALSE))</f>
        <v/>
      </c>
      <c r="R102" s="1282" t="str">
        <f t="shared" si="22"/>
        <v/>
      </c>
      <c r="S102" s="1282" t="str">
        <f t="shared" si="23"/>
        <v/>
      </c>
      <c r="T102" s="368"/>
      <c r="U102" s="292" t="str">
        <f t="shared" si="24"/>
        <v/>
      </c>
      <c r="V102" s="669" t="str">
        <f>IF(T102="","",HLOOKUP(T102,名簿!$AH$3:$CH$118,97,FALSE))</f>
        <v/>
      </c>
      <c r="W102" s="769" t="str">
        <f t="shared" si="25"/>
        <v/>
      </c>
      <c r="X102" s="774" t="str">
        <f t="shared" si="26"/>
        <v/>
      </c>
      <c r="Y102" s="954"/>
      <c r="Z102" s="950" t="str">
        <f>IF(Y102="","",IF(I102=1,VLOOKUP(Y102,男子種目コード!$A$1:$B$33,2,FALSE),IF(I102=2,VLOOKUP(Y102,女子種目コード!$A$1:$B$27,2,FALSE))))</f>
        <v/>
      </c>
      <c r="AA102" s="339"/>
      <c r="AB102" s="338"/>
      <c r="AC102" s="646"/>
      <c r="AD102" s="647"/>
      <c r="AE102" s="773" t="str">
        <f t="shared" si="27"/>
        <v/>
      </c>
      <c r="AF102" s="774" t="str">
        <f t="shared" si="28"/>
        <v/>
      </c>
      <c r="AG102" s="648"/>
      <c r="AH102" s="649"/>
      <c r="AI102" s="650"/>
      <c r="AJ102" s="20"/>
      <c r="AK102" s="20"/>
      <c r="AM102" s="143"/>
      <c r="AN102" s="135" t="str">
        <f t="shared" si="17"/>
        <v/>
      </c>
      <c r="AO102" s="135" t="str">
        <f t="shared" si="18"/>
        <v/>
      </c>
      <c r="AQ102" s="135"/>
      <c r="AR102" s="135"/>
      <c r="AS102" s="183">
        <f t="shared" si="19"/>
        <v>0</v>
      </c>
      <c r="AT102" s="356"/>
      <c r="AU102" s="324"/>
      <c r="AV102" s="324"/>
      <c r="AW102" s="324"/>
      <c r="AX102" s="300"/>
      <c r="AY102" s="325"/>
      <c r="AZ102" s="325"/>
      <c r="BA102" s="300"/>
      <c r="BB102" s="300"/>
      <c r="BC102" s="300"/>
      <c r="BD102" s="300"/>
      <c r="BE102" s="300"/>
      <c r="BF102" s="300"/>
      <c r="BG102" s="300"/>
      <c r="BH102" s="300"/>
      <c r="BI102" s="300"/>
      <c r="BJ102" s="300"/>
    </row>
    <row r="103" spans="1:62" ht="14.25" customHeight="1">
      <c r="A103" s="135" t="str">
        <f t="shared" si="20"/>
        <v/>
      </c>
      <c r="B103" s="162" t="str">
        <f>名簿!P100</f>
        <v/>
      </c>
      <c r="C103" s="162"/>
      <c r="D103" s="931"/>
      <c r="E103" s="182">
        <f>名簿!E100</f>
        <v>0</v>
      </c>
      <c r="F103" s="697" t="str">
        <f>名簿!CM100</f>
        <v/>
      </c>
      <c r="G103" s="162" t="str">
        <f>名簿!Z100</f>
        <v/>
      </c>
      <c r="H103" s="675" t="str">
        <f>名簿!CM100</f>
        <v/>
      </c>
      <c r="I103" s="187" t="str">
        <f>名簿!Y100</f>
        <v/>
      </c>
      <c r="J103" s="190" t="str">
        <f>名簿!CN100</f>
        <v/>
      </c>
      <c r="K103" s="1040">
        <f>名簿!CP100</f>
        <v>0</v>
      </c>
      <c r="L103" s="750" t="str">
        <f>名簿!CU100</f>
        <v>00</v>
      </c>
      <c r="M103" s="162" t="str">
        <f>名簿!Q100</f>
        <v/>
      </c>
      <c r="N103" s="697">
        <f>名簿!D100</f>
        <v>0</v>
      </c>
      <c r="O103" s="368"/>
      <c r="P103" s="292" t="str">
        <f t="shared" si="21"/>
        <v/>
      </c>
      <c r="Q103" s="1282" t="str">
        <f>IF(O103="","",HLOOKUP(O103,名簿!$AH$3:$CH$118,98,FALSE))</f>
        <v/>
      </c>
      <c r="R103" s="1282" t="str">
        <f t="shared" si="22"/>
        <v/>
      </c>
      <c r="S103" s="1282" t="str">
        <f t="shared" si="23"/>
        <v/>
      </c>
      <c r="T103" s="368"/>
      <c r="U103" s="292" t="str">
        <f t="shared" si="24"/>
        <v/>
      </c>
      <c r="V103" s="669" t="str">
        <f>IF(T103="","",HLOOKUP(T103,名簿!$AH$3:$CH$118,98,FALSE))</f>
        <v/>
      </c>
      <c r="W103" s="769" t="str">
        <f t="shared" si="25"/>
        <v/>
      </c>
      <c r="X103" s="774" t="str">
        <f t="shared" si="26"/>
        <v/>
      </c>
      <c r="Y103" s="954"/>
      <c r="Z103" s="950" t="str">
        <f>IF(Y103="","",IF(I103=1,VLOOKUP(Y103,男子種目コード!$A$1:$B$33,2,FALSE),IF(I103=2,VLOOKUP(Y103,女子種目コード!$A$1:$B$27,2,FALSE))))</f>
        <v/>
      </c>
      <c r="AA103" s="339"/>
      <c r="AB103" s="338"/>
      <c r="AC103" s="646"/>
      <c r="AD103" s="647"/>
      <c r="AE103" s="773" t="str">
        <f t="shared" si="27"/>
        <v/>
      </c>
      <c r="AF103" s="774" t="str">
        <f t="shared" si="28"/>
        <v/>
      </c>
      <c r="AG103" s="648"/>
      <c r="AH103" s="649"/>
      <c r="AI103" s="650"/>
      <c r="AJ103" s="20"/>
      <c r="AK103" s="20"/>
      <c r="AM103" s="143"/>
      <c r="AN103" s="135" t="str">
        <f t="shared" ref="AN103:AN116" si="29">IF(O103="","",1)</f>
        <v/>
      </c>
      <c r="AO103" s="135" t="str">
        <f t="shared" ref="AO103:AO116" si="30">IF(T103="","",1)</f>
        <v/>
      </c>
      <c r="AQ103" s="135"/>
      <c r="AR103" s="135"/>
      <c r="AS103" s="183">
        <f t="shared" ref="AS103:AS116" si="31">E103</f>
        <v>0</v>
      </c>
      <c r="AT103" s="356"/>
      <c r="AU103" s="324"/>
      <c r="AV103" s="324"/>
      <c r="AW103" s="324"/>
      <c r="AX103" s="300"/>
      <c r="AY103" s="325"/>
      <c r="AZ103" s="325"/>
      <c r="BA103" s="300"/>
      <c r="BB103" s="300"/>
      <c r="BC103" s="300"/>
      <c r="BD103" s="300"/>
      <c r="BE103" s="300"/>
      <c r="BF103" s="300"/>
      <c r="BG103" s="300"/>
      <c r="BH103" s="300"/>
      <c r="BI103" s="300"/>
      <c r="BJ103" s="300"/>
    </row>
    <row r="104" spans="1:62" ht="14.25" customHeight="1">
      <c r="A104" s="135" t="str">
        <f t="shared" si="20"/>
        <v/>
      </c>
      <c r="B104" s="162" t="str">
        <f>名簿!P101</f>
        <v/>
      </c>
      <c r="C104" s="162"/>
      <c r="D104" s="931"/>
      <c r="E104" s="182">
        <f>名簿!E101</f>
        <v>0</v>
      </c>
      <c r="F104" s="697" t="str">
        <f>名簿!CM101</f>
        <v/>
      </c>
      <c r="G104" s="162" t="str">
        <f>名簿!Z101</f>
        <v/>
      </c>
      <c r="H104" s="675" t="str">
        <f>名簿!CM101</f>
        <v/>
      </c>
      <c r="I104" s="187" t="str">
        <f>名簿!Y101</f>
        <v/>
      </c>
      <c r="J104" s="190" t="str">
        <f>名簿!CN101</f>
        <v/>
      </c>
      <c r="K104" s="1040">
        <f>名簿!CP101</f>
        <v>0</v>
      </c>
      <c r="L104" s="750" t="str">
        <f>名簿!CU101</f>
        <v>00</v>
      </c>
      <c r="M104" s="162" t="str">
        <f>名簿!Q101</f>
        <v/>
      </c>
      <c r="N104" s="697">
        <f>名簿!D101</f>
        <v>0</v>
      </c>
      <c r="O104" s="368"/>
      <c r="P104" s="292" t="str">
        <f t="shared" si="21"/>
        <v/>
      </c>
      <c r="Q104" s="1282" t="str">
        <f>IF(O104="","",HLOOKUP(O104,名簿!$AH$3:$CH$118,99,FALSE))</f>
        <v/>
      </c>
      <c r="R104" s="1282" t="str">
        <f t="shared" si="22"/>
        <v/>
      </c>
      <c r="S104" s="1282" t="str">
        <f t="shared" si="23"/>
        <v/>
      </c>
      <c r="T104" s="368"/>
      <c r="U104" s="292" t="str">
        <f t="shared" si="24"/>
        <v/>
      </c>
      <c r="V104" s="669" t="str">
        <f>IF(T104="","",HLOOKUP(T104,名簿!$AH$3:$CH$118,99,FALSE))</f>
        <v/>
      </c>
      <c r="W104" s="769" t="str">
        <f t="shared" si="25"/>
        <v/>
      </c>
      <c r="X104" s="774" t="str">
        <f t="shared" si="26"/>
        <v/>
      </c>
      <c r="Y104" s="954"/>
      <c r="Z104" s="950" t="str">
        <f>IF(Y104="","",IF(I104=1,VLOOKUP(Y104,男子種目コード!$A$1:$B$33,2,FALSE),IF(I104=2,VLOOKUP(Y104,女子種目コード!$A$1:$B$27,2,FALSE))))</f>
        <v/>
      </c>
      <c r="AA104" s="339"/>
      <c r="AB104" s="338"/>
      <c r="AC104" s="646"/>
      <c r="AD104" s="647"/>
      <c r="AE104" s="773" t="str">
        <f t="shared" si="27"/>
        <v/>
      </c>
      <c r="AF104" s="774" t="str">
        <f t="shared" si="28"/>
        <v/>
      </c>
      <c r="AG104" s="648"/>
      <c r="AH104" s="649"/>
      <c r="AI104" s="650"/>
      <c r="AJ104" s="20"/>
      <c r="AK104" s="20"/>
      <c r="AM104" s="143"/>
      <c r="AN104" s="135" t="str">
        <f t="shared" si="29"/>
        <v/>
      </c>
      <c r="AO104" s="135" t="str">
        <f t="shared" si="30"/>
        <v/>
      </c>
      <c r="AQ104" s="135"/>
      <c r="AR104" s="135"/>
      <c r="AS104" s="183">
        <f t="shared" si="31"/>
        <v>0</v>
      </c>
      <c r="AT104" s="356"/>
      <c r="AU104" s="324"/>
      <c r="AV104" s="324"/>
      <c r="AW104" s="324"/>
      <c r="AX104" s="300"/>
      <c r="AY104" s="325"/>
      <c r="AZ104" s="325"/>
      <c r="BA104" s="300"/>
      <c r="BB104" s="300"/>
      <c r="BC104" s="300"/>
      <c r="BD104" s="300"/>
      <c r="BE104" s="300"/>
      <c r="BF104" s="300"/>
      <c r="BG104" s="300"/>
      <c r="BH104" s="300"/>
      <c r="BI104" s="300"/>
      <c r="BJ104" s="300"/>
    </row>
    <row r="105" spans="1:62" ht="14.25" customHeight="1">
      <c r="A105" s="135" t="str">
        <f t="shared" si="20"/>
        <v/>
      </c>
      <c r="B105" s="162" t="str">
        <f>名簿!P102</f>
        <v/>
      </c>
      <c r="C105" s="162"/>
      <c r="D105" s="931"/>
      <c r="E105" s="182">
        <f>名簿!E102</f>
        <v>0</v>
      </c>
      <c r="F105" s="697" t="str">
        <f>名簿!CM102</f>
        <v/>
      </c>
      <c r="G105" s="162" t="str">
        <f>名簿!Z102</f>
        <v/>
      </c>
      <c r="H105" s="675" t="str">
        <f>名簿!CM102</f>
        <v/>
      </c>
      <c r="I105" s="187" t="str">
        <f>名簿!Y102</f>
        <v/>
      </c>
      <c r="J105" s="190" t="str">
        <f>名簿!CN102</f>
        <v/>
      </c>
      <c r="K105" s="1040">
        <f>名簿!CP102</f>
        <v>0</v>
      </c>
      <c r="L105" s="750" t="str">
        <f>名簿!CU102</f>
        <v>00</v>
      </c>
      <c r="M105" s="162" t="str">
        <f>名簿!Q102</f>
        <v/>
      </c>
      <c r="N105" s="697">
        <f>名簿!D102</f>
        <v>0</v>
      </c>
      <c r="O105" s="368"/>
      <c r="P105" s="292" t="str">
        <f t="shared" si="21"/>
        <v/>
      </c>
      <c r="Q105" s="1282" t="str">
        <f>IF(O105="","",HLOOKUP(O105,名簿!$AH$3:$CH$118,100,FALSE))</f>
        <v/>
      </c>
      <c r="R105" s="1282" t="str">
        <f t="shared" si="22"/>
        <v/>
      </c>
      <c r="S105" s="1282" t="str">
        <f t="shared" si="23"/>
        <v/>
      </c>
      <c r="T105" s="368"/>
      <c r="U105" s="292" t="str">
        <f t="shared" si="24"/>
        <v/>
      </c>
      <c r="V105" s="669" t="str">
        <f>IF(T105="","",HLOOKUP(T105,名簿!$AH$3:$CH$118,100,FALSE))</f>
        <v/>
      </c>
      <c r="W105" s="769" t="str">
        <f t="shared" si="25"/>
        <v/>
      </c>
      <c r="X105" s="774" t="str">
        <f t="shared" si="26"/>
        <v/>
      </c>
      <c r="Y105" s="954"/>
      <c r="Z105" s="950" t="str">
        <f>IF(Y105="","",IF(I105=1,VLOOKUP(Y105,男子種目コード!$A$1:$B$33,2,FALSE),IF(I105=2,VLOOKUP(Y105,女子種目コード!$A$1:$B$27,2,FALSE))))</f>
        <v/>
      </c>
      <c r="AA105" s="339"/>
      <c r="AB105" s="338"/>
      <c r="AC105" s="646"/>
      <c r="AD105" s="647"/>
      <c r="AE105" s="773" t="str">
        <f t="shared" si="27"/>
        <v/>
      </c>
      <c r="AF105" s="774" t="str">
        <f t="shared" si="28"/>
        <v/>
      </c>
      <c r="AG105" s="648"/>
      <c r="AH105" s="649"/>
      <c r="AI105" s="650"/>
      <c r="AJ105" s="20"/>
      <c r="AK105" s="20"/>
      <c r="AM105" s="143"/>
      <c r="AN105" s="135" t="str">
        <f t="shared" si="29"/>
        <v/>
      </c>
      <c r="AO105" s="135" t="str">
        <f t="shared" si="30"/>
        <v/>
      </c>
      <c r="AQ105" s="135"/>
      <c r="AR105" s="135"/>
      <c r="AS105" s="183">
        <f t="shared" si="31"/>
        <v>0</v>
      </c>
      <c r="AT105" s="356"/>
      <c r="AU105" s="324"/>
      <c r="AV105" s="324"/>
      <c r="AW105" s="324"/>
      <c r="AX105" s="300"/>
      <c r="AY105" s="325"/>
      <c r="AZ105" s="325"/>
      <c r="BA105" s="300"/>
      <c r="BB105" s="300"/>
      <c r="BC105" s="300"/>
      <c r="BD105" s="300"/>
      <c r="BE105" s="300"/>
      <c r="BF105" s="300"/>
      <c r="BG105" s="300"/>
      <c r="BH105" s="300"/>
      <c r="BI105" s="300"/>
      <c r="BJ105" s="300"/>
    </row>
    <row r="106" spans="1:62" ht="14.25" customHeight="1">
      <c r="A106" s="135" t="str">
        <f t="shared" si="20"/>
        <v/>
      </c>
      <c r="B106" s="162" t="str">
        <f>名簿!P103</f>
        <v/>
      </c>
      <c r="C106" s="162"/>
      <c r="D106" s="931"/>
      <c r="E106" s="182">
        <f>名簿!E103</f>
        <v>0</v>
      </c>
      <c r="F106" s="697" t="str">
        <f>名簿!CM103</f>
        <v/>
      </c>
      <c r="G106" s="162" t="str">
        <f>名簿!Z103</f>
        <v/>
      </c>
      <c r="H106" s="675" t="str">
        <f>名簿!CM103</f>
        <v/>
      </c>
      <c r="I106" s="187" t="str">
        <f>名簿!Y103</f>
        <v/>
      </c>
      <c r="J106" s="190" t="str">
        <f>名簿!CN103</f>
        <v/>
      </c>
      <c r="K106" s="1040">
        <f>名簿!CP103</f>
        <v>0</v>
      </c>
      <c r="L106" s="750" t="str">
        <f>名簿!CU103</f>
        <v>00</v>
      </c>
      <c r="M106" s="162" t="str">
        <f>名簿!Q103</f>
        <v/>
      </c>
      <c r="N106" s="697">
        <f>名簿!D103</f>
        <v>0</v>
      </c>
      <c r="O106" s="368"/>
      <c r="P106" s="292" t="str">
        <f t="shared" si="21"/>
        <v/>
      </c>
      <c r="Q106" s="1282" t="str">
        <f>IF(O106="","",HLOOKUP(O106,名簿!$AH$3:$CH$118,101,FALSE))</f>
        <v/>
      </c>
      <c r="R106" s="1282" t="str">
        <f t="shared" si="22"/>
        <v/>
      </c>
      <c r="S106" s="1282" t="str">
        <f t="shared" si="23"/>
        <v/>
      </c>
      <c r="T106" s="368"/>
      <c r="U106" s="292" t="str">
        <f t="shared" si="24"/>
        <v/>
      </c>
      <c r="V106" s="669" t="str">
        <f>IF(T106="","",HLOOKUP(T106,名簿!$AH$3:$CH$118,101,FALSE))</f>
        <v/>
      </c>
      <c r="W106" s="769" t="str">
        <f t="shared" si="25"/>
        <v/>
      </c>
      <c r="X106" s="774" t="str">
        <f t="shared" si="26"/>
        <v/>
      </c>
      <c r="Y106" s="954"/>
      <c r="Z106" s="950" t="str">
        <f>IF(Y106="","",IF(I106=1,VLOOKUP(Y106,男子種目コード!$A$1:$B$33,2,FALSE),IF(I106=2,VLOOKUP(Y106,女子種目コード!$A$1:$B$27,2,FALSE))))</f>
        <v/>
      </c>
      <c r="AA106" s="339"/>
      <c r="AB106" s="338"/>
      <c r="AC106" s="646"/>
      <c r="AD106" s="647"/>
      <c r="AE106" s="773" t="str">
        <f t="shared" si="27"/>
        <v/>
      </c>
      <c r="AF106" s="774" t="str">
        <f t="shared" si="28"/>
        <v/>
      </c>
      <c r="AG106" s="648"/>
      <c r="AH106" s="649"/>
      <c r="AI106" s="650"/>
      <c r="AJ106" s="20"/>
      <c r="AK106" s="20"/>
      <c r="AM106" s="143"/>
      <c r="AN106" s="135" t="str">
        <f t="shared" si="29"/>
        <v/>
      </c>
      <c r="AO106" s="135" t="str">
        <f t="shared" si="30"/>
        <v/>
      </c>
      <c r="AQ106" s="135"/>
      <c r="AR106" s="135"/>
      <c r="AS106" s="183">
        <f t="shared" si="31"/>
        <v>0</v>
      </c>
      <c r="AT106" s="356"/>
      <c r="AU106" s="324"/>
      <c r="AV106" s="324"/>
      <c r="AW106" s="324"/>
      <c r="AX106" s="300"/>
      <c r="AY106" s="325"/>
      <c r="AZ106" s="325"/>
      <c r="BA106" s="300"/>
      <c r="BB106" s="300"/>
      <c r="BC106" s="300"/>
      <c r="BD106" s="300"/>
      <c r="BE106" s="300"/>
      <c r="BF106" s="300"/>
      <c r="BG106" s="300"/>
      <c r="BH106" s="300"/>
      <c r="BI106" s="300"/>
      <c r="BJ106" s="300"/>
    </row>
    <row r="107" spans="1:62" ht="14.25" customHeight="1">
      <c r="A107" s="135" t="str">
        <f t="shared" si="20"/>
        <v/>
      </c>
      <c r="B107" s="162" t="str">
        <f>名簿!P104</f>
        <v/>
      </c>
      <c r="C107" s="162"/>
      <c r="D107" s="931"/>
      <c r="E107" s="182">
        <f>名簿!E104</f>
        <v>0</v>
      </c>
      <c r="F107" s="697" t="str">
        <f>名簿!CM104</f>
        <v/>
      </c>
      <c r="G107" s="162" t="str">
        <f>名簿!Z104</f>
        <v/>
      </c>
      <c r="H107" s="675" t="str">
        <f>名簿!CM104</f>
        <v/>
      </c>
      <c r="I107" s="187" t="str">
        <f>名簿!Y104</f>
        <v/>
      </c>
      <c r="J107" s="190" t="str">
        <f>名簿!CN104</f>
        <v/>
      </c>
      <c r="K107" s="1040">
        <f>名簿!CP104</f>
        <v>0</v>
      </c>
      <c r="L107" s="750" t="str">
        <f>名簿!CU104</f>
        <v>00</v>
      </c>
      <c r="M107" s="162" t="str">
        <f>名簿!Q104</f>
        <v/>
      </c>
      <c r="N107" s="697">
        <f>名簿!D104</f>
        <v>0</v>
      </c>
      <c r="O107" s="368"/>
      <c r="P107" s="292" t="str">
        <f t="shared" si="21"/>
        <v/>
      </c>
      <c r="Q107" s="1282" t="str">
        <f>IF(O107="","",HLOOKUP(O107,名簿!$AH$3:$CH$118,102,FALSE))</f>
        <v/>
      </c>
      <c r="R107" s="1282" t="str">
        <f t="shared" si="22"/>
        <v/>
      </c>
      <c r="S107" s="1282" t="str">
        <f t="shared" si="23"/>
        <v/>
      </c>
      <c r="T107" s="368"/>
      <c r="U107" s="292" t="str">
        <f t="shared" si="24"/>
        <v/>
      </c>
      <c r="V107" s="669" t="str">
        <f>IF(T107="","",HLOOKUP(T107,名簿!$AH$3:$CH$118,102,FALSE))</f>
        <v/>
      </c>
      <c r="W107" s="769" t="str">
        <f t="shared" si="25"/>
        <v/>
      </c>
      <c r="X107" s="774" t="str">
        <f t="shared" si="26"/>
        <v/>
      </c>
      <c r="Y107" s="954"/>
      <c r="Z107" s="950" t="str">
        <f>IF(Y107="","",IF(I107=1,VLOOKUP(Y107,男子種目コード!$A$1:$B$33,2,FALSE),IF(I107=2,VLOOKUP(Y107,女子種目コード!$A$1:$B$27,2,FALSE))))</f>
        <v/>
      </c>
      <c r="AA107" s="339"/>
      <c r="AB107" s="338"/>
      <c r="AC107" s="646"/>
      <c r="AD107" s="647"/>
      <c r="AE107" s="773" t="str">
        <f t="shared" si="27"/>
        <v/>
      </c>
      <c r="AF107" s="774" t="str">
        <f t="shared" si="28"/>
        <v/>
      </c>
      <c r="AG107" s="648"/>
      <c r="AH107" s="649"/>
      <c r="AI107" s="650"/>
      <c r="AJ107" s="20"/>
      <c r="AK107" s="20"/>
      <c r="AM107" s="143"/>
      <c r="AN107" s="135" t="str">
        <f t="shared" si="29"/>
        <v/>
      </c>
      <c r="AO107" s="135" t="str">
        <f t="shared" si="30"/>
        <v/>
      </c>
      <c r="AQ107" s="135"/>
      <c r="AR107" s="135"/>
      <c r="AS107" s="183">
        <f t="shared" si="31"/>
        <v>0</v>
      </c>
      <c r="AT107" s="356"/>
      <c r="AU107" s="324"/>
      <c r="AV107" s="324"/>
      <c r="AW107" s="324"/>
      <c r="AX107" s="300"/>
      <c r="AY107" s="325"/>
      <c r="AZ107" s="325"/>
      <c r="BA107" s="300"/>
      <c r="BB107" s="300"/>
      <c r="BC107" s="300"/>
      <c r="BD107" s="300"/>
      <c r="BE107" s="300"/>
      <c r="BF107" s="300"/>
      <c r="BG107" s="300"/>
      <c r="BH107" s="300"/>
      <c r="BI107" s="300"/>
      <c r="BJ107" s="300"/>
    </row>
    <row r="108" spans="1:62" ht="14.25" customHeight="1">
      <c r="A108" s="135" t="str">
        <f t="shared" si="20"/>
        <v/>
      </c>
      <c r="B108" s="162" t="str">
        <f>名簿!P105</f>
        <v/>
      </c>
      <c r="C108" s="162"/>
      <c r="D108" s="931"/>
      <c r="E108" s="182">
        <f>名簿!E105</f>
        <v>0</v>
      </c>
      <c r="F108" s="697" t="str">
        <f>名簿!CM105</f>
        <v/>
      </c>
      <c r="G108" s="162" t="str">
        <f>名簿!Z105</f>
        <v/>
      </c>
      <c r="H108" s="675" t="str">
        <f>名簿!CM105</f>
        <v/>
      </c>
      <c r="I108" s="187" t="str">
        <f>名簿!Y105</f>
        <v/>
      </c>
      <c r="J108" s="190" t="str">
        <f>名簿!CN105</f>
        <v/>
      </c>
      <c r="K108" s="1040">
        <f>名簿!CP105</f>
        <v>0</v>
      </c>
      <c r="L108" s="750" t="str">
        <f>名簿!CU105</f>
        <v>00</v>
      </c>
      <c r="M108" s="162" t="str">
        <f>名簿!Q105</f>
        <v/>
      </c>
      <c r="N108" s="697">
        <f>名簿!D105</f>
        <v>0</v>
      </c>
      <c r="O108" s="368"/>
      <c r="P108" s="292" t="str">
        <f t="shared" si="21"/>
        <v/>
      </c>
      <c r="Q108" s="1282" t="str">
        <f>IF(O108="","",HLOOKUP(O108,名簿!$AH$3:$CH$118,103,FALSE))</f>
        <v/>
      </c>
      <c r="R108" s="1282" t="str">
        <f t="shared" si="22"/>
        <v/>
      </c>
      <c r="S108" s="1282" t="str">
        <f t="shared" si="23"/>
        <v/>
      </c>
      <c r="T108" s="368"/>
      <c r="U108" s="292" t="str">
        <f t="shared" si="24"/>
        <v/>
      </c>
      <c r="V108" s="669" t="str">
        <f>IF(T108="","",HLOOKUP(T108,名簿!$AH$3:$CH$118,103,FALSE))</f>
        <v/>
      </c>
      <c r="W108" s="769" t="str">
        <f t="shared" si="25"/>
        <v/>
      </c>
      <c r="X108" s="774" t="str">
        <f t="shared" si="26"/>
        <v/>
      </c>
      <c r="Y108" s="954"/>
      <c r="Z108" s="950" t="str">
        <f>IF(Y108="","",IF(I108=1,VLOOKUP(Y108,男子種目コード!$A$1:$B$33,2,FALSE),IF(I108=2,VLOOKUP(Y108,女子種目コード!$A$1:$B$27,2,FALSE))))</f>
        <v/>
      </c>
      <c r="AA108" s="339"/>
      <c r="AB108" s="338"/>
      <c r="AC108" s="646"/>
      <c r="AD108" s="647"/>
      <c r="AE108" s="773" t="str">
        <f t="shared" si="27"/>
        <v/>
      </c>
      <c r="AF108" s="774" t="str">
        <f t="shared" si="28"/>
        <v/>
      </c>
      <c r="AG108" s="648"/>
      <c r="AH108" s="649"/>
      <c r="AI108" s="650"/>
      <c r="AJ108" s="20"/>
      <c r="AK108" s="20"/>
      <c r="AM108" s="143"/>
      <c r="AN108" s="135" t="str">
        <f t="shared" si="29"/>
        <v/>
      </c>
      <c r="AO108" s="135" t="str">
        <f t="shared" si="30"/>
        <v/>
      </c>
      <c r="AQ108" s="135"/>
      <c r="AR108" s="135"/>
      <c r="AS108" s="183">
        <f t="shared" si="31"/>
        <v>0</v>
      </c>
      <c r="AT108" s="356"/>
      <c r="AU108" s="324"/>
      <c r="AV108" s="324"/>
      <c r="AW108" s="324"/>
      <c r="AX108" s="300"/>
      <c r="AY108" s="325"/>
      <c r="AZ108" s="325"/>
      <c r="BA108" s="300"/>
      <c r="BB108" s="300"/>
      <c r="BC108" s="300"/>
      <c r="BD108" s="300"/>
      <c r="BE108" s="300"/>
      <c r="BF108" s="300"/>
      <c r="BG108" s="300"/>
      <c r="BH108" s="300"/>
      <c r="BI108" s="300"/>
      <c r="BJ108" s="300"/>
    </row>
    <row r="109" spans="1:62" ht="14.25" customHeight="1">
      <c r="A109" s="135" t="str">
        <f t="shared" si="20"/>
        <v/>
      </c>
      <c r="B109" s="162" t="str">
        <f>名簿!P106</f>
        <v/>
      </c>
      <c r="C109" s="162"/>
      <c r="D109" s="931"/>
      <c r="E109" s="182">
        <f>名簿!E106</f>
        <v>0</v>
      </c>
      <c r="F109" s="697" t="str">
        <f>名簿!CM106</f>
        <v/>
      </c>
      <c r="G109" s="162" t="str">
        <f>名簿!Z106</f>
        <v/>
      </c>
      <c r="H109" s="675" t="str">
        <f>名簿!CM106</f>
        <v/>
      </c>
      <c r="I109" s="187" t="str">
        <f>名簿!Y106</f>
        <v/>
      </c>
      <c r="J109" s="190" t="str">
        <f>名簿!CN106</f>
        <v/>
      </c>
      <c r="K109" s="1040">
        <f>名簿!CP106</f>
        <v>0</v>
      </c>
      <c r="L109" s="750" t="str">
        <f>名簿!CU106</f>
        <v>00</v>
      </c>
      <c r="M109" s="162" t="str">
        <f>名簿!Q106</f>
        <v/>
      </c>
      <c r="N109" s="697">
        <f>名簿!D106</f>
        <v>0</v>
      </c>
      <c r="O109" s="368"/>
      <c r="P109" s="292" t="str">
        <f t="shared" si="21"/>
        <v/>
      </c>
      <c r="Q109" s="1282" t="str">
        <f>IF(O109="","",HLOOKUP(O109,名簿!$AH$3:$CH$118,104,FALSE))</f>
        <v/>
      </c>
      <c r="R109" s="1282" t="str">
        <f t="shared" si="22"/>
        <v/>
      </c>
      <c r="S109" s="1282" t="str">
        <f t="shared" si="23"/>
        <v/>
      </c>
      <c r="T109" s="368"/>
      <c r="U109" s="292" t="str">
        <f t="shared" si="24"/>
        <v/>
      </c>
      <c r="V109" s="669" t="str">
        <f>IF(T109="","",HLOOKUP(T109,名簿!$AH$3:$CH$118,104,FALSE))</f>
        <v/>
      </c>
      <c r="W109" s="769" t="str">
        <f t="shared" si="25"/>
        <v/>
      </c>
      <c r="X109" s="774" t="str">
        <f t="shared" si="26"/>
        <v/>
      </c>
      <c r="Y109" s="954"/>
      <c r="Z109" s="950" t="str">
        <f>IF(Y109="","",IF(I109=1,VLOOKUP(Y109,男子種目コード!$A$1:$B$33,2,FALSE),IF(I109=2,VLOOKUP(Y109,女子種目コード!$A$1:$B$27,2,FALSE))))</f>
        <v/>
      </c>
      <c r="AA109" s="339"/>
      <c r="AB109" s="338"/>
      <c r="AC109" s="646"/>
      <c r="AD109" s="647"/>
      <c r="AE109" s="773" t="str">
        <f t="shared" si="27"/>
        <v/>
      </c>
      <c r="AF109" s="774" t="str">
        <f t="shared" si="28"/>
        <v/>
      </c>
      <c r="AG109" s="648"/>
      <c r="AH109" s="649"/>
      <c r="AI109" s="650"/>
      <c r="AJ109" s="20"/>
      <c r="AK109" s="20"/>
      <c r="AM109" s="143"/>
      <c r="AN109" s="135" t="str">
        <f t="shared" si="29"/>
        <v/>
      </c>
      <c r="AO109" s="135" t="str">
        <f t="shared" si="30"/>
        <v/>
      </c>
      <c r="AQ109" s="135"/>
      <c r="AR109" s="135"/>
      <c r="AS109" s="183">
        <f t="shared" si="31"/>
        <v>0</v>
      </c>
      <c r="AT109" s="356"/>
      <c r="AU109" s="324"/>
      <c r="AV109" s="324"/>
      <c r="AW109" s="324"/>
      <c r="AX109" s="300"/>
      <c r="AY109" s="325"/>
      <c r="AZ109" s="325"/>
      <c r="BA109" s="300"/>
      <c r="BB109" s="300"/>
      <c r="BC109" s="300"/>
      <c r="BD109" s="300"/>
      <c r="BE109" s="300"/>
      <c r="BF109" s="300"/>
      <c r="BG109" s="300"/>
      <c r="BH109" s="300"/>
      <c r="BI109" s="300"/>
      <c r="BJ109" s="300"/>
    </row>
    <row r="110" spans="1:62" ht="14.25" customHeight="1">
      <c r="A110" s="135" t="str">
        <f t="shared" si="20"/>
        <v/>
      </c>
      <c r="B110" s="162" t="str">
        <f>名簿!P107</f>
        <v/>
      </c>
      <c r="C110" s="162"/>
      <c r="D110" s="931"/>
      <c r="E110" s="182">
        <f>名簿!E107</f>
        <v>0</v>
      </c>
      <c r="F110" s="697" t="str">
        <f>名簿!CM107</f>
        <v/>
      </c>
      <c r="G110" s="162" t="str">
        <f>名簿!Z107</f>
        <v/>
      </c>
      <c r="H110" s="675" t="str">
        <f>名簿!CM107</f>
        <v/>
      </c>
      <c r="I110" s="187" t="str">
        <f>名簿!Y107</f>
        <v/>
      </c>
      <c r="J110" s="190" t="str">
        <f>名簿!CN107</f>
        <v/>
      </c>
      <c r="K110" s="1040">
        <f>名簿!CP107</f>
        <v>0</v>
      </c>
      <c r="L110" s="750" t="str">
        <f>名簿!CU107</f>
        <v>00</v>
      </c>
      <c r="M110" s="162" t="str">
        <f>名簿!Q107</f>
        <v/>
      </c>
      <c r="N110" s="697">
        <f>名簿!D107</f>
        <v>0</v>
      </c>
      <c r="O110" s="368"/>
      <c r="P110" s="292" t="str">
        <f t="shared" si="21"/>
        <v/>
      </c>
      <c r="Q110" s="1282" t="str">
        <f>IF(O110="","",HLOOKUP(O110,名簿!$AH$3:$CH$118,105,FALSE))</f>
        <v/>
      </c>
      <c r="R110" s="1282" t="str">
        <f t="shared" si="22"/>
        <v/>
      </c>
      <c r="S110" s="1282" t="str">
        <f t="shared" si="23"/>
        <v/>
      </c>
      <c r="T110" s="368"/>
      <c r="U110" s="292" t="str">
        <f t="shared" si="24"/>
        <v/>
      </c>
      <c r="V110" s="669" t="str">
        <f>IF(T110="","",HLOOKUP(T110,名簿!$AH$3:$CH$118,105,FALSE))</f>
        <v/>
      </c>
      <c r="W110" s="769" t="str">
        <f t="shared" si="25"/>
        <v/>
      </c>
      <c r="X110" s="774" t="str">
        <f t="shared" si="26"/>
        <v/>
      </c>
      <c r="Y110" s="954"/>
      <c r="Z110" s="950" t="str">
        <f>IF(Y110="","",IF(I110=1,VLOOKUP(Y110,男子種目コード!$A$1:$B$33,2,FALSE),IF(I110=2,VLOOKUP(Y110,女子種目コード!$A$1:$B$27,2,FALSE))))</f>
        <v/>
      </c>
      <c r="AA110" s="339"/>
      <c r="AB110" s="338"/>
      <c r="AC110" s="646"/>
      <c r="AD110" s="647"/>
      <c r="AE110" s="773" t="str">
        <f t="shared" si="27"/>
        <v/>
      </c>
      <c r="AF110" s="774" t="str">
        <f t="shared" si="28"/>
        <v/>
      </c>
      <c r="AG110" s="648"/>
      <c r="AH110" s="649"/>
      <c r="AI110" s="650"/>
      <c r="AJ110" s="20"/>
      <c r="AK110" s="20"/>
      <c r="AM110" s="143"/>
      <c r="AN110" s="135" t="str">
        <f t="shared" si="29"/>
        <v/>
      </c>
      <c r="AO110" s="135" t="str">
        <f t="shared" si="30"/>
        <v/>
      </c>
      <c r="AQ110" s="135"/>
      <c r="AR110" s="135"/>
      <c r="AS110" s="183">
        <f t="shared" si="31"/>
        <v>0</v>
      </c>
      <c r="AT110" s="356"/>
      <c r="AU110" s="324"/>
      <c r="AV110" s="300"/>
      <c r="AW110" s="300"/>
      <c r="AX110" s="300"/>
      <c r="AY110" s="325"/>
      <c r="AZ110" s="325"/>
      <c r="BA110" s="300"/>
      <c r="BB110" s="300"/>
      <c r="BC110" s="300"/>
      <c r="BD110" s="300"/>
      <c r="BE110" s="300"/>
      <c r="BF110" s="300"/>
      <c r="BG110" s="300"/>
      <c r="BH110" s="300"/>
      <c r="BI110" s="300"/>
      <c r="BJ110" s="300"/>
    </row>
    <row r="111" spans="1:62" ht="14.25" customHeight="1">
      <c r="A111" s="135" t="str">
        <f t="shared" si="20"/>
        <v/>
      </c>
      <c r="B111" s="162" t="str">
        <f>名簿!P108</f>
        <v/>
      </c>
      <c r="C111" s="162"/>
      <c r="D111" s="931"/>
      <c r="E111" s="182">
        <f>名簿!E108</f>
        <v>0</v>
      </c>
      <c r="F111" s="697" t="str">
        <f>名簿!CM108</f>
        <v/>
      </c>
      <c r="G111" s="162" t="str">
        <f>名簿!Z108</f>
        <v/>
      </c>
      <c r="H111" s="675" t="str">
        <f>名簿!CM108</f>
        <v/>
      </c>
      <c r="I111" s="187" t="str">
        <f>名簿!Y108</f>
        <v/>
      </c>
      <c r="J111" s="190" t="str">
        <f>名簿!CN108</f>
        <v/>
      </c>
      <c r="K111" s="1040">
        <f>名簿!CP108</f>
        <v>0</v>
      </c>
      <c r="L111" s="750" t="str">
        <f>名簿!CU108</f>
        <v>00</v>
      </c>
      <c r="M111" s="162" t="str">
        <f>名簿!Q108</f>
        <v/>
      </c>
      <c r="N111" s="697">
        <f>名簿!D108</f>
        <v>0</v>
      </c>
      <c r="O111" s="368"/>
      <c r="P111" s="292" t="str">
        <f t="shared" si="21"/>
        <v/>
      </c>
      <c r="Q111" s="1282" t="str">
        <f>IF(O111="","",HLOOKUP(O111,名簿!$AH$3:$CH$118,106,FALSE))</f>
        <v/>
      </c>
      <c r="R111" s="1282" t="str">
        <f t="shared" si="22"/>
        <v/>
      </c>
      <c r="S111" s="1282" t="str">
        <f t="shared" si="23"/>
        <v/>
      </c>
      <c r="T111" s="368"/>
      <c r="U111" s="292" t="str">
        <f t="shared" si="24"/>
        <v/>
      </c>
      <c r="V111" s="669" t="str">
        <f>IF(T111="","",HLOOKUP(T111,名簿!$AH$3:$CH$118,106,FALSE))</f>
        <v/>
      </c>
      <c r="W111" s="769" t="str">
        <f t="shared" si="25"/>
        <v/>
      </c>
      <c r="X111" s="774" t="str">
        <f t="shared" si="26"/>
        <v/>
      </c>
      <c r="Y111" s="954"/>
      <c r="Z111" s="950" t="str">
        <f>IF(Y111="","",IF(I111=1,VLOOKUP(Y111,男子種目コード!$A$1:$B$33,2,FALSE),IF(I111=2,VLOOKUP(Y111,女子種目コード!$A$1:$B$27,2,FALSE))))</f>
        <v/>
      </c>
      <c r="AA111" s="339"/>
      <c r="AB111" s="338"/>
      <c r="AC111" s="646"/>
      <c r="AD111" s="647"/>
      <c r="AE111" s="773" t="str">
        <f t="shared" si="27"/>
        <v/>
      </c>
      <c r="AF111" s="774" t="str">
        <f t="shared" si="28"/>
        <v/>
      </c>
      <c r="AG111" s="648"/>
      <c r="AH111" s="649"/>
      <c r="AI111" s="650"/>
      <c r="AJ111" s="20"/>
      <c r="AK111" s="20"/>
      <c r="AM111" s="143"/>
      <c r="AN111" s="135" t="str">
        <f t="shared" si="29"/>
        <v/>
      </c>
      <c r="AO111" s="135" t="str">
        <f t="shared" si="30"/>
        <v/>
      </c>
      <c r="AQ111" s="135"/>
      <c r="AR111" s="135"/>
      <c r="AS111" s="183">
        <f t="shared" si="31"/>
        <v>0</v>
      </c>
      <c r="AT111" s="356"/>
      <c r="AU111" s="324"/>
      <c r="AV111" s="300"/>
      <c r="AW111" s="300"/>
      <c r="AX111" s="300"/>
      <c r="AY111" s="325"/>
      <c r="AZ111" s="325"/>
      <c r="BA111" s="300"/>
      <c r="BB111" s="300"/>
      <c r="BC111" s="300"/>
      <c r="BD111" s="300"/>
      <c r="BE111" s="300"/>
      <c r="BF111" s="300"/>
      <c r="BG111" s="300"/>
      <c r="BH111" s="300"/>
      <c r="BI111" s="300"/>
      <c r="BJ111" s="300"/>
    </row>
    <row r="112" spans="1:62" ht="14.25" customHeight="1">
      <c r="A112" s="135" t="str">
        <f t="shared" si="20"/>
        <v/>
      </c>
      <c r="B112" s="162" t="str">
        <f>名簿!P109</f>
        <v/>
      </c>
      <c r="C112" s="162"/>
      <c r="D112" s="931"/>
      <c r="E112" s="182">
        <f>名簿!E109</f>
        <v>0</v>
      </c>
      <c r="F112" s="697" t="str">
        <f>名簿!CM109</f>
        <v/>
      </c>
      <c r="G112" s="162" t="str">
        <f>名簿!Z109</f>
        <v/>
      </c>
      <c r="H112" s="675" t="str">
        <f>名簿!CM109</f>
        <v/>
      </c>
      <c r="I112" s="187" t="str">
        <f>名簿!Y109</f>
        <v/>
      </c>
      <c r="J112" s="190" t="str">
        <f>名簿!CN109</f>
        <v/>
      </c>
      <c r="K112" s="1040">
        <f>名簿!CP109</f>
        <v>0</v>
      </c>
      <c r="L112" s="750" t="str">
        <f>名簿!CU109</f>
        <v>00</v>
      </c>
      <c r="M112" s="162" t="str">
        <f>名簿!Q109</f>
        <v/>
      </c>
      <c r="N112" s="697">
        <f>名簿!D109</f>
        <v>0</v>
      </c>
      <c r="O112" s="368"/>
      <c r="P112" s="292" t="str">
        <f t="shared" si="21"/>
        <v/>
      </c>
      <c r="Q112" s="1282" t="str">
        <f>IF(O112="","",HLOOKUP(O112,名簿!$AH$3:$CH$118,107,FALSE))</f>
        <v/>
      </c>
      <c r="R112" s="1282" t="str">
        <f t="shared" si="22"/>
        <v/>
      </c>
      <c r="S112" s="1282" t="str">
        <f t="shared" si="23"/>
        <v/>
      </c>
      <c r="T112" s="368"/>
      <c r="U112" s="292" t="str">
        <f t="shared" si="24"/>
        <v/>
      </c>
      <c r="V112" s="669" t="str">
        <f>IF(T112="","",HLOOKUP(T112,名簿!$AH$3:$CH$118,107,FALSE))</f>
        <v/>
      </c>
      <c r="W112" s="769" t="str">
        <f t="shared" si="25"/>
        <v/>
      </c>
      <c r="X112" s="774" t="str">
        <f t="shared" si="26"/>
        <v/>
      </c>
      <c r="Y112" s="954"/>
      <c r="Z112" s="950" t="str">
        <f>IF(Y112="","",IF(I112=1,VLOOKUP(Y112,男子種目コード!$A$1:$B$33,2,FALSE),IF(I112=2,VLOOKUP(Y112,女子種目コード!$A$1:$B$27,2,FALSE))))</f>
        <v/>
      </c>
      <c r="AA112" s="339"/>
      <c r="AB112" s="338"/>
      <c r="AC112" s="646"/>
      <c r="AD112" s="647"/>
      <c r="AE112" s="773" t="str">
        <f t="shared" si="27"/>
        <v/>
      </c>
      <c r="AF112" s="774" t="str">
        <f t="shared" si="28"/>
        <v/>
      </c>
      <c r="AG112" s="648"/>
      <c r="AH112" s="649"/>
      <c r="AI112" s="650"/>
      <c r="AJ112" s="20"/>
      <c r="AK112" s="20"/>
      <c r="AM112" s="143"/>
      <c r="AN112" s="135" t="str">
        <f t="shared" si="29"/>
        <v/>
      </c>
      <c r="AO112" s="135" t="str">
        <f t="shared" si="30"/>
        <v/>
      </c>
      <c r="AQ112" s="135"/>
      <c r="AR112" s="135"/>
      <c r="AS112" s="183">
        <f t="shared" si="31"/>
        <v>0</v>
      </c>
      <c r="AT112" s="300"/>
      <c r="AU112" s="300"/>
      <c r="AV112" s="300"/>
      <c r="AW112" s="300"/>
      <c r="AX112" s="300"/>
      <c r="AY112" s="325"/>
      <c r="AZ112" s="325"/>
      <c r="BA112" s="300"/>
      <c r="BB112" s="300"/>
      <c r="BC112" s="300"/>
      <c r="BD112" s="300"/>
      <c r="BE112" s="300"/>
      <c r="BF112" s="300"/>
      <c r="BG112" s="300"/>
      <c r="BH112" s="300"/>
      <c r="BI112" s="300"/>
      <c r="BJ112" s="300"/>
    </row>
    <row r="113" spans="1:62" ht="14.25" customHeight="1">
      <c r="A113" s="135" t="str">
        <f t="shared" si="20"/>
        <v/>
      </c>
      <c r="B113" s="162" t="str">
        <f>名簿!P110</f>
        <v/>
      </c>
      <c r="C113" s="162"/>
      <c r="D113" s="931"/>
      <c r="E113" s="182">
        <f>名簿!E110</f>
        <v>0</v>
      </c>
      <c r="F113" s="697" t="str">
        <f>名簿!CM110</f>
        <v/>
      </c>
      <c r="G113" s="162" t="str">
        <f>名簿!Z110</f>
        <v/>
      </c>
      <c r="H113" s="675" t="str">
        <f>名簿!CM110</f>
        <v/>
      </c>
      <c r="I113" s="187" t="str">
        <f>名簿!Y110</f>
        <v/>
      </c>
      <c r="J113" s="190" t="str">
        <f>名簿!CN110</f>
        <v/>
      </c>
      <c r="K113" s="1040">
        <f>名簿!CP110</f>
        <v>0</v>
      </c>
      <c r="L113" s="750" t="str">
        <f>名簿!CU110</f>
        <v>00</v>
      </c>
      <c r="M113" s="162" t="str">
        <f>名簿!Q110</f>
        <v/>
      </c>
      <c r="N113" s="697">
        <f>名簿!D110</f>
        <v>0</v>
      </c>
      <c r="O113" s="368"/>
      <c r="P113" s="292" t="str">
        <f t="shared" si="21"/>
        <v/>
      </c>
      <c r="Q113" s="1282" t="str">
        <f>IF(O113="","",HLOOKUP(O113,名簿!$AH$3:$CH$118,108,FALSE))</f>
        <v/>
      </c>
      <c r="R113" s="1282" t="str">
        <f t="shared" si="22"/>
        <v/>
      </c>
      <c r="S113" s="1282" t="str">
        <f t="shared" si="23"/>
        <v/>
      </c>
      <c r="T113" s="368"/>
      <c r="U113" s="292" t="str">
        <f t="shared" si="24"/>
        <v/>
      </c>
      <c r="V113" s="669" t="str">
        <f>IF(T113="","",HLOOKUP(T113,名簿!$AH$3:$CH$118,108,FALSE))</f>
        <v/>
      </c>
      <c r="W113" s="769" t="str">
        <f t="shared" si="25"/>
        <v/>
      </c>
      <c r="X113" s="774" t="str">
        <f t="shared" si="26"/>
        <v/>
      </c>
      <c r="Y113" s="954"/>
      <c r="Z113" s="950" t="str">
        <f>IF(Y113="","",IF(I113=1,VLOOKUP(Y113,男子種目コード!$A$1:$B$33,2,FALSE),IF(I113=2,VLOOKUP(Y113,女子種目コード!$A$1:$B$27,2,FALSE))))</f>
        <v/>
      </c>
      <c r="AA113" s="339"/>
      <c r="AB113" s="338"/>
      <c r="AC113" s="646"/>
      <c r="AD113" s="647"/>
      <c r="AE113" s="773" t="str">
        <f t="shared" si="27"/>
        <v/>
      </c>
      <c r="AF113" s="774" t="str">
        <f t="shared" si="28"/>
        <v/>
      </c>
      <c r="AG113" s="648"/>
      <c r="AH113" s="649"/>
      <c r="AI113" s="650"/>
      <c r="AJ113" s="20"/>
      <c r="AK113" s="20"/>
      <c r="AM113" s="143"/>
      <c r="AN113" s="135" t="str">
        <f t="shared" si="29"/>
        <v/>
      </c>
      <c r="AO113" s="135" t="str">
        <f t="shared" si="30"/>
        <v/>
      </c>
      <c r="AQ113" s="135"/>
      <c r="AR113" s="135"/>
      <c r="AS113" s="183">
        <f t="shared" si="31"/>
        <v>0</v>
      </c>
      <c r="AT113" s="300"/>
      <c r="AU113" s="300"/>
      <c r="AV113" s="300"/>
      <c r="AW113" s="300"/>
      <c r="AX113" s="300"/>
      <c r="AY113" s="325"/>
      <c r="AZ113" s="325"/>
      <c r="BA113" s="300"/>
      <c r="BB113" s="300"/>
      <c r="BC113" s="300"/>
      <c r="BD113" s="300"/>
      <c r="BE113" s="300"/>
      <c r="BF113" s="300"/>
      <c r="BG113" s="300"/>
      <c r="BH113" s="300"/>
      <c r="BI113" s="300"/>
      <c r="BJ113" s="300"/>
    </row>
    <row r="114" spans="1:62" ht="14.25" customHeight="1">
      <c r="A114" s="135" t="str">
        <f t="shared" si="20"/>
        <v/>
      </c>
      <c r="B114" s="162" t="str">
        <f>名簿!P111</f>
        <v/>
      </c>
      <c r="C114" s="162"/>
      <c r="D114" s="931"/>
      <c r="E114" s="182">
        <f>名簿!E111</f>
        <v>0</v>
      </c>
      <c r="F114" s="697" t="str">
        <f>名簿!CM111</f>
        <v/>
      </c>
      <c r="G114" s="162" t="str">
        <f>名簿!Z111</f>
        <v/>
      </c>
      <c r="H114" s="675" t="str">
        <f>名簿!CM111</f>
        <v/>
      </c>
      <c r="I114" s="187" t="str">
        <f>名簿!Y111</f>
        <v/>
      </c>
      <c r="J114" s="190" t="str">
        <f>名簿!CN111</f>
        <v/>
      </c>
      <c r="K114" s="1040">
        <f>名簿!CP111</f>
        <v>0</v>
      </c>
      <c r="L114" s="750" t="str">
        <f>名簿!CU111</f>
        <v>00</v>
      </c>
      <c r="M114" s="162" t="str">
        <f>名簿!Q111</f>
        <v/>
      </c>
      <c r="N114" s="697">
        <f>名簿!D111</f>
        <v>0</v>
      </c>
      <c r="O114" s="368"/>
      <c r="P114" s="292" t="str">
        <f t="shared" si="21"/>
        <v/>
      </c>
      <c r="Q114" s="1282" t="str">
        <f>IF(O114="","",HLOOKUP(O114,名簿!$AH$3:$CH$118,109,FALSE))</f>
        <v/>
      </c>
      <c r="R114" s="1282" t="str">
        <f t="shared" si="22"/>
        <v/>
      </c>
      <c r="S114" s="1282" t="str">
        <f t="shared" si="23"/>
        <v/>
      </c>
      <c r="T114" s="368"/>
      <c r="U114" s="292" t="str">
        <f t="shared" si="24"/>
        <v/>
      </c>
      <c r="V114" s="669" t="str">
        <f>IF(T114="","",HLOOKUP(T114,名簿!$AH$3:$CH$118,109,FALSE))</f>
        <v/>
      </c>
      <c r="W114" s="769" t="str">
        <f t="shared" si="25"/>
        <v/>
      </c>
      <c r="X114" s="774" t="str">
        <f t="shared" si="26"/>
        <v/>
      </c>
      <c r="Y114" s="954"/>
      <c r="Z114" s="950" t="str">
        <f>IF(Y114="","",IF(I114=1,VLOOKUP(Y114,男子種目コード!$A$1:$B$33,2,FALSE),IF(I114=2,VLOOKUP(Y114,女子種目コード!$A$1:$B$27,2,FALSE))))</f>
        <v/>
      </c>
      <c r="AA114" s="339"/>
      <c r="AB114" s="338"/>
      <c r="AC114" s="646"/>
      <c r="AD114" s="647"/>
      <c r="AE114" s="773" t="str">
        <f t="shared" si="27"/>
        <v/>
      </c>
      <c r="AF114" s="774" t="str">
        <f t="shared" si="28"/>
        <v/>
      </c>
      <c r="AG114" s="648"/>
      <c r="AH114" s="649"/>
      <c r="AI114" s="650"/>
      <c r="AJ114" s="20"/>
      <c r="AK114" s="20"/>
      <c r="AM114" s="143"/>
      <c r="AN114" s="135" t="str">
        <f t="shared" si="29"/>
        <v/>
      </c>
      <c r="AO114" s="135" t="str">
        <f t="shared" si="30"/>
        <v/>
      </c>
      <c r="AQ114" s="135"/>
      <c r="AR114" s="135"/>
      <c r="AS114" s="183">
        <f t="shared" si="31"/>
        <v>0</v>
      </c>
      <c r="AT114" s="300"/>
      <c r="AU114" s="300"/>
      <c r="AV114" s="300"/>
      <c r="AW114" s="300"/>
      <c r="AX114" s="300"/>
      <c r="AY114" s="325"/>
      <c r="AZ114" s="325"/>
      <c r="BA114" s="300"/>
      <c r="BB114" s="300"/>
      <c r="BC114" s="300"/>
      <c r="BD114" s="300"/>
      <c r="BE114" s="300"/>
      <c r="BF114" s="300"/>
      <c r="BG114" s="300"/>
      <c r="BH114" s="300"/>
      <c r="BI114" s="300"/>
      <c r="BJ114" s="300"/>
    </row>
    <row r="115" spans="1:62" ht="14.25" customHeight="1">
      <c r="A115" s="135" t="str">
        <f t="shared" si="20"/>
        <v/>
      </c>
      <c r="B115" s="162" t="str">
        <f>名簿!P112</f>
        <v/>
      </c>
      <c r="C115" s="162"/>
      <c r="D115" s="931"/>
      <c r="E115" s="182">
        <f>名簿!E112</f>
        <v>0</v>
      </c>
      <c r="F115" s="697" t="str">
        <f>名簿!CM112</f>
        <v/>
      </c>
      <c r="G115" s="162" t="str">
        <f>名簿!Z112</f>
        <v/>
      </c>
      <c r="H115" s="675" t="str">
        <f>名簿!CM112</f>
        <v/>
      </c>
      <c r="I115" s="187" t="str">
        <f>名簿!Y112</f>
        <v/>
      </c>
      <c r="J115" s="190" t="str">
        <f>名簿!CN112</f>
        <v/>
      </c>
      <c r="K115" s="1040">
        <f>名簿!CP112</f>
        <v>0</v>
      </c>
      <c r="L115" s="750" t="str">
        <f>名簿!CU112</f>
        <v>00</v>
      </c>
      <c r="M115" s="162" t="str">
        <f>名簿!Q112</f>
        <v/>
      </c>
      <c r="N115" s="697">
        <f>名簿!D112</f>
        <v>0</v>
      </c>
      <c r="O115" s="368"/>
      <c r="P115" s="292" t="str">
        <f t="shared" si="21"/>
        <v/>
      </c>
      <c r="Q115" s="1282" t="str">
        <f>IF(O115="","",HLOOKUP(O115,名簿!$AH$3:$CH$118,110,FALSE))</f>
        <v/>
      </c>
      <c r="R115" s="1282" t="str">
        <f t="shared" si="22"/>
        <v/>
      </c>
      <c r="S115" s="1282" t="str">
        <f t="shared" si="23"/>
        <v/>
      </c>
      <c r="T115" s="368"/>
      <c r="U115" s="292" t="str">
        <f t="shared" si="24"/>
        <v/>
      </c>
      <c r="V115" s="669" t="str">
        <f>IF(T115="","",HLOOKUP(T115,名簿!$AH$3:$CH$118,110,FALSE))</f>
        <v/>
      </c>
      <c r="W115" s="769" t="str">
        <f t="shared" si="25"/>
        <v/>
      </c>
      <c r="X115" s="774" t="str">
        <f t="shared" si="26"/>
        <v/>
      </c>
      <c r="Y115" s="954"/>
      <c r="Z115" s="950" t="str">
        <f>IF(Y115="","",IF(I115=1,VLOOKUP(Y115,男子種目コード!$A$1:$B$33,2,FALSE),IF(I115=2,VLOOKUP(Y115,女子種目コード!$A$1:$B$27,2,FALSE))))</f>
        <v/>
      </c>
      <c r="AA115" s="339"/>
      <c r="AB115" s="338"/>
      <c r="AC115" s="646"/>
      <c r="AD115" s="647"/>
      <c r="AE115" s="773" t="str">
        <f t="shared" si="27"/>
        <v/>
      </c>
      <c r="AF115" s="774" t="str">
        <f t="shared" si="28"/>
        <v/>
      </c>
      <c r="AG115" s="648"/>
      <c r="AH115" s="649"/>
      <c r="AI115" s="650"/>
      <c r="AJ115" s="20"/>
      <c r="AK115" s="20"/>
      <c r="AM115" s="143"/>
      <c r="AN115" s="135" t="str">
        <f t="shared" si="29"/>
        <v/>
      </c>
      <c r="AO115" s="135" t="str">
        <f t="shared" si="30"/>
        <v/>
      </c>
      <c r="AQ115" s="135"/>
      <c r="AR115" s="135"/>
      <c r="AS115" s="183">
        <f t="shared" si="31"/>
        <v>0</v>
      </c>
      <c r="AT115" s="300"/>
      <c r="AU115" s="300"/>
      <c r="AV115" s="300"/>
      <c r="AW115" s="300"/>
      <c r="AX115" s="300"/>
      <c r="AY115" s="325"/>
      <c r="AZ115" s="325"/>
      <c r="BA115" s="300"/>
      <c r="BB115" s="300"/>
      <c r="BC115" s="300"/>
      <c r="BD115" s="300"/>
      <c r="BE115" s="300"/>
      <c r="BF115" s="300"/>
      <c r="BG115" s="300"/>
      <c r="BH115" s="300"/>
      <c r="BI115" s="300"/>
      <c r="BJ115" s="300"/>
    </row>
    <row r="116" spans="1:62" ht="14.25" customHeight="1" thickBot="1">
      <c r="A116" s="135" t="str">
        <f t="shared" si="20"/>
        <v/>
      </c>
      <c r="B116" s="170" t="str">
        <f>名簿!P113</f>
        <v/>
      </c>
      <c r="C116" s="170"/>
      <c r="D116" s="932"/>
      <c r="E116" s="185">
        <f>名簿!E113</f>
        <v>0</v>
      </c>
      <c r="F116" s="698" t="str">
        <f>名簿!CM113</f>
        <v/>
      </c>
      <c r="G116" s="170" t="str">
        <f>名簿!Z113</f>
        <v/>
      </c>
      <c r="H116" s="676" t="str">
        <f>名簿!CM113</f>
        <v/>
      </c>
      <c r="I116" s="188" t="str">
        <f>名簿!Y113</f>
        <v/>
      </c>
      <c r="J116" s="191" t="str">
        <f>名簿!CN113</f>
        <v/>
      </c>
      <c r="K116" s="1041">
        <f>名簿!CP113</f>
        <v>0</v>
      </c>
      <c r="L116" s="751" t="str">
        <f>名簿!CU113</f>
        <v>00</v>
      </c>
      <c r="M116" s="170" t="str">
        <f>名簿!Q113</f>
        <v/>
      </c>
      <c r="N116" s="698">
        <f>名簿!D113</f>
        <v>0</v>
      </c>
      <c r="O116" s="369"/>
      <c r="P116" s="295" t="str">
        <f t="shared" si="21"/>
        <v/>
      </c>
      <c r="Q116" s="1283" t="str">
        <f>IF(O116="","",HLOOKUP(O116,名簿!$AH$3:$CH$118,111,FALSE))</f>
        <v/>
      </c>
      <c r="R116" s="1283" t="str">
        <f t="shared" si="22"/>
        <v/>
      </c>
      <c r="S116" s="1283" t="str">
        <f t="shared" si="23"/>
        <v/>
      </c>
      <c r="T116" s="369"/>
      <c r="U116" s="295" t="str">
        <f t="shared" si="24"/>
        <v/>
      </c>
      <c r="V116" s="670" t="str">
        <f>IF(T116="","",HLOOKUP(T116,名簿!$AH$3:$CH$118,111,FALSE))</f>
        <v/>
      </c>
      <c r="W116" s="770" t="str">
        <f t="shared" si="25"/>
        <v/>
      </c>
      <c r="X116" s="776" t="str">
        <f t="shared" si="26"/>
        <v/>
      </c>
      <c r="Y116" s="955"/>
      <c r="Z116" s="951" t="str">
        <f>IF(Y116="","",IF(I116=1,VLOOKUP(Y116,男子種目コード!$A$1:$B$33,2,FALSE),IF(I116=2,VLOOKUP(Y116,女子種目コード!$A$1:$B$27,2,FALSE))))</f>
        <v/>
      </c>
      <c r="AA116" s="341"/>
      <c r="AB116" s="340"/>
      <c r="AC116" s="651"/>
      <c r="AD116" s="652"/>
      <c r="AE116" s="775" t="str">
        <f t="shared" si="27"/>
        <v/>
      </c>
      <c r="AF116" s="776" t="str">
        <f t="shared" si="28"/>
        <v/>
      </c>
      <c r="AG116" s="653"/>
      <c r="AH116" s="654"/>
      <c r="AI116" s="650"/>
      <c r="AJ116" s="20"/>
      <c r="AK116" s="20"/>
      <c r="AM116" s="143"/>
      <c r="AN116" s="135" t="str">
        <f t="shared" si="29"/>
        <v/>
      </c>
      <c r="AO116" s="135" t="str">
        <f t="shared" si="30"/>
        <v/>
      </c>
      <c r="AQ116" s="135"/>
      <c r="AR116" s="135"/>
      <c r="AS116" s="186">
        <f t="shared" si="31"/>
        <v>0</v>
      </c>
      <c r="AT116" s="300"/>
      <c r="AU116" s="300"/>
      <c r="AV116" s="300"/>
      <c r="AW116" s="300"/>
      <c r="AX116" s="300"/>
      <c r="AY116" s="325"/>
      <c r="AZ116" s="325"/>
      <c r="BA116" s="300"/>
      <c r="BB116" s="300"/>
      <c r="BC116" s="300"/>
      <c r="BD116" s="300"/>
      <c r="BE116" s="300"/>
      <c r="BF116" s="300"/>
      <c r="BG116" s="300"/>
      <c r="BH116" s="300"/>
      <c r="BI116" s="300"/>
      <c r="BJ116" s="300"/>
    </row>
    <row r="117" spans="1:62">
      <c r="B117" s="300"/>
      <c r="C117" s="300"/>
      <c r="D117" s="300"/>
      <c r="E117" s="300"/>
      <c r="F117" s="300"/>
      <c r="G117" s="332"/>
      <c r="H117" s="333"/>
      <c r="I117" s="333"/>
      <c r="J117" s="259"/>
      <c r="K117" s="789"/>
      <c r="L117" s="300"/>
      <c r="M117" s="346"/>
      <c r="N117" s="334"/>
      <c r="O117" s="347"/>
      <c r="P117" s="346"/>
      <c r="Q117" s="334"/>
      <c r="R117" s="347"/>
      <c r="S117" s="346"/>
      <c r="T117" s="303"/>
      <c r="U117" s="347"/>
      <c r="V117" s="346"/>
      <c r="W117" s="303"/>
      <c r="X117" s="347"/>
      <c r="Y117" s="346"/>
      <c r="Z117" s="303"/>
      <c r="AA117" s="347"/>
      <c r="AB117" s="259"/>
      <c r="AC117" s="259"/>
      <c r="AD117" s="300"/>
      <c r="AE117" s="306"/>
      <c r="AF117" s="300">
        <f>SUM(AN7:AN116)</f>
        <v>0</v>
      </c>
      <c r="AG117" s="300">
        <f>SUM(AO7:AO116)</f>
        <v>0</v>
      </c>
      <c r="AH117" s="300"/>
      <c r="AI117" s="300"/>
      <c r="AJ117" s="300"/>
      <c r="AK117" s="300"/>
      <c r="AL117" s="300"/>
      <c r="AM117" s="300"/>
      <c r="AN117" s="300"/>
      <c r="AO117" s="300"/>
      <c r="AP117" s="300"/>
      <c r="AQ117" s="325"/>
      <c r="AR117" s="325"/>
      <c r="AS117" s="300"/>
      <c r="AT117" s="300"/>
      <c r="AU117" s="300"/>
      <c r="AV117" s="300"/>
      <c r="AY117" s="325"/>
      <c r="AZ117" s="325"/>
      <c r="BE117" s="300"/>
      <c r="BF117" s="300"/>
      <c r="BG117" s="300"/>
      <c r="BH117" s="300"/>
      <c r="BI117" s="300"/>
      <c r="BJ117" s="300"/>
    </row>
    <row r="118" spans="1:62">
      <c r="B118" s="300"/>
      <c r="C118" s="300"/>
      <c r="D118" s="300"/>
      <c r="E118" s="300"/>
      <c r="F118" s="300"/>
      <c r="G118" s="332"/>
      <c r="H118" s="333"/>
      <c r="I118" s="333"/>
      <c r="J118" s="259"/>
      <c r="K118" s="789"/>
      <c r="L118" s="300"/>
      <c r="M118" s="346"/>
      <c r="N118" s="334"/>
      <c r="O118" s="347"/>
      <c r="P118" s="346"/>
      <c r="Q118" s="334"/>
      <c r="R118" s="347"/>
      <c r="S118" s="346"/>
      <c r="T118" s="303"/>
      <c r="U118" s="347"/>
      <c r="V118" s="346"/>
      <c r="W118" s="303"/>
      <c r="X118" s="347"/>
      <c r="Y118" s="346"/>
      <c r="Z118" s="303"/>
      <c r="AA118" s="347"/>
      <c r="AB118" s="259"/>
      <c r="AC118" s="259"/>
      <c r="AD118" s="300"/>
      <c r="AE118" s="306"/>
      <c r="AF118" s="300">
        <f>SUM(AF117:AG117)</f>
        <v>0</v>
      </c>
      <c r="AG118" s="300"/>
      <c r="AH118" s="300"/>
      <c r="AI118" s="300"/>
      <c r="AJ118" s="300"/>
      <c r="AK118" s="300"/>
      <c r="AL118" s="300"/>
      <c r="AM118" s="300"/>
      <c r="AN118" s="300"/>
      <c r="AO118" s="300"/>
      <c r="AP118" s="300"/>
      <c r="AQ118" s="325"/>
      <c r="AR118" s="325"/>
      <c r="AS118" s="300"/>
      <c r="AT118" s="300"/>
      <c r="AU118" s="300"/>
      <c r="AV118" s="300"/>
      <c r="BE118" s="300"/>
      <c r="BF118" s="300"/>
      <c r="BG118" s="300"/>
      <c r="BH118" s="300"/>
      <c r="BI118" s="300"/>
      <c r="BJ118" s="300"/>
    </row>
    <row r="119" spans="1:62">
      <c r="B119" s="300"/>
      <c r="C119" s="300"/>
      <c r="D119" s="300"/>
      <c r="E119" s="300"/>
      <c r="F119" s="300"/>
      <c r="G119" s="332"/>
      <c r="H119" s="333"/>
      <c r="I119" s="333"/>
      <c r="J119" s="259"/>
      <c r="K119" s="789"/>
      <c r="L119" s="300"/>
      <c r="M119" s="346"/>
      <c r="N119" s="334"/>
      <c r="O119" s="347"/>
      <c r="P119" s="346"/>
      <c r="Q119" s="334"/>
      <c r="R119" s="347"/>
      <c r="S119" s="346"/>
      <c r="T119" s="303"/>
      <c r="U119" s="347"/>
      <c r="V119" s="346"/>
      <c r="W119" s="303"/>
      <c r="X119" s="347"/>
      <c r="Y119" s="346"/>
      <c r="Z119" s="303"/>
      <c r="AA119" s="347"/>
      <c r="AB119" s="259"/>
      <c r="AC119" s="259"/>
      <c r="AD119" s="300"/>
      <c r="AE119" s="306"/>
      <c r="AF119" s="300"/>
      <c r="AG119" s="300"/>
      <c r="AH119" s="300"/>
      <c r="AI119" s="300"/>
      <c r="AJ119" s="300"/>
      <c r="AK119" s="300"/>
      <c r="AL119" s="300"/>
      <c r="AM119" s="300"/>
      <c r="AN119" s="300"/>
      <c r="AO119" s="300"/>
      <c r="AP119" s="300"/>
      <c r="AQ119" s="325"/>
      <c r="AR119" s="325"/>
      <c r="AS119" s="300"/>
      <c r="AT119" s="300"/>
      <c r="AU119" s="300"/>
      <c r="AV119" s="300"/>
      <c r="BE119" s="300"/>
      <c r="BF119" s="300"/>
      <c r="BG119" s="300"/>
      <c r="BH119" s="300"/>
      <c r="BI119" s="300"/>
      <c r="BJ119" s="300"/>
    </row>
    <row r="120" spans="1:62">
      <c r="B120" s="300"/>
      <c r="C120" s="300"/>
      <c r="D120" s="300"/>
      <c r="E120" s="300"/>
      <c r="F120" s="300"/>
      <c r="G120" s="332"/>
      <c r="H120" s="333"/>
      <c r="I120" s="333"/>
      <c r="J120" s="259"/>
      <c r="K120" s="789"/>
      <c r="L120" s="300"/>
      <c r="M120" s="346"/>
      <c r="N120" s="334"/>
      <c r="O120" s="347"/>
      <c r="P120" s="346"/>
      <c r="Q120" s="334"/>
      <c r="R120" s="347"/>
      <c r="S120" s="346"/>
      <c r="T120" s="303"/>
      <c r="U120" s="347"/>
      <c r="V120" s="346"/>
      <c r="W120" s="303"/>
      <c r="X120" s="347"/>
      <c r="Y120" s="346"/>
      <c r="Z120" s="303"/>
      <c r="AA120" s="347"/>
      <c r="AB120" s="259"/>
      <c r="AC120" s="259"/>
      <c r="AD120" s="300"/>
      <c r="AE120" s="306"/>
      <c r="AF120" s="300"/>
      <c r="AG120" s="300"/>
      <c r="AH120" s="300"/>
      <c r="AI120" s="300"/>
      <c r="AJ120" s="300"/>
      <c r="AK120" s="300"/>
      <c r="AL120" s="300"/>
      <c r="AM120" s="300"/>
      <c r="AN120" s="300"/>
      <c r="AO120" s="300"/>
      <c r="AP120" s="300"/>
      <c r="AQ120" s="325"/>
      <c r="AR120" s="325"/>
      <c r="AS120" s="300"/>
      <c r="AT120" s="300"/>
      <c r="AU120" s="300"/>
      <c r="AV120" s="300"/>
      <c r="BE120" s="300"/>
      <c r="BF120" s="300"/>
      <c r="BG120" s="300"/>
      <c r="BH120" s="300"/>
      <c r="BI120" s="300"/>
      <c r="BJ120" s="300"/>
    </row>
    <row r="121" spans="1:62">
      <c r="B121" s="300"/>
      <c r="C121" s="300"/>
      <c r="D121" s="300"/>
      <c r="E121" s="300"/>
      <c r="F121" s="300"/>
      <c r="G121" s="332"/>
      <c r="H121" s="333"/>
      <c r="I121" s="333"/>
      <c r="J121" s="259"/>
      <c r="K121" s="789"/>
      <c r="L121" s="300"/>
      <c r="M121" s="346"/>
      <c r="N121" s="334"/>
      <c r="O121" s="347"/>
      <c r="P121" s="346"/>
      <c r="Q121" s="334"/>
      <c r="R121" s="347"/>
      <c r="S121" s="346"/>
      <c r="T121" s="303"/>
      <c r="U121" s="347"/>
      <c r="V121" s="346"/>
      <c r="W121" s="303"/>
      <c r="X121" s="347"/>
      <c r="Y121" s="346"/>
      <c r="Z121" s="303"/>
      <c r="AA121" s="347"/>
      <c r="AB121" s="259"/>
      <c r="AC121" s="259"/>
      <c r="AD121" s="300"/>
      <c r="AE121" s="306"/>
      <c r="AF121" s="300"/>
      <c r="AG121" s="300"/>
      <c r="AH121" s="300"/>
      <c r="AI121" s="300"/>
      <c r="AJ121" s="300"/>
      <c r="AK121" s="300"/>
      <c r="AL121" s="300"/>
      <c r="AM121" s="300"/>
      <c r="AN121" s="300"/>
      <c r="AO121" s="300"/>
      <c r="AP121" s="300"/>
      <c r="AQ121" s="325"/>
      <c r="AR121" s="325"/>
      <c r="AS121" s="300"/>
      <c r="AT121" s="300"/>
      <c r="AU121" s="300"/>
      <c r="AV121" s="300"/>
      <c r="BE121" s="300"/>
      <c r="BF121" s="300"/>
      <c r="BG121" s="300"/>
      <c r="BH121" s="300"/>
      <c r="BI121" s="300"/>
      <c r="BJ121" s="300"/>
    </row>
    <row r="122" spans="1:62">
      <c r="B122" s="300"/>
      <c r="C122" s="300"/>
      <c r="D122" s="300"/>
      <c r="E122" s="300"/>
      <c r="F122" s="300"/>
      <c r="G122" s="332"/>
      <c r="H122" s="333"/>
      <c r="I122" s="333"/>
      <c r="J122" s="259"/>
      <c r="K122" s="789"/>
      <c r="L122" s="300"/>
      <c r="M122" s="346"/>
      <c r="N122" s="334"/>
      <c r="O122" s="347"/>
      <c r="P122" s="346"/>
      <c r="Q122" s="334"/>
      <c r="R122" s="347"/>
      <c r="S122" s="346"/>
      <c r="T122" s="303"/>
      <c r="U122" s="347"/>
      <c r="V122" s="346"/>
      <c r="W122" s="303"/>
      <c r="X122" s="347"/>
      <c r="Y122" s="346"/>
      <c r="Z122" s="303"/>
      <c r="AA122" s="347"/>
      <c r="AB122" s="259"/>
      <c r="AC122" s="259"/>
      <c r="AD122" s="300"/>
      <c r="AE122" s="306"/>
      <c r="AF122" s="300"/>
      <c r="AG122" s="300"/>
      <c r="AH122" s="300"/>
      <c r="AI122" s="300"/>
      <c r="AJ122" s="300"/>
      <c r="AK122" s="300"/>
      <c r="AL122" s="300"/>
      <c r="AM122" s="300"/>
      <c r="AN122" s="300"/>
      <c r="AO122" s="300"/>
      <c r="AP122" s="300"/>
      <c r="AQ122" s="325"/>
      <c r="AR122" s="325"/>
      <c r="AS122" s="300"/>
      <c r="AT122" s="300"/>
      <c r="AU122" s="300"/>
      <c r="AV122" s="300"/>
      <c r="BE122" s="300"/>
      <c r="BF122" s="300"/>
      <c r="BG122" s="300"/>
      <c r="BH122" s="300"/>
      <c r="BI122" s="300"/>
      <c r="BJ122" s="300"/>
    </row>
    <row r="123" spans="1:62">
      <c r="B123" s="300"/>
      <c r="C123" s="300"/>
      <c r="D123" s="300"/>
      <c r="E123" s="300"/>
      <c r="F123" s="300"/>
      <c r="G123" s="332"/>
      <c r="H123" s="333"/>
      <c r="I123" s="333"/>
      <c r="J123" s="259"/>
      <c r="K123" s="789"/>
      <c r="L123" s="300"/>
      <c r="M123" s="346"/>
      <c r="N123" s="334"/>
      <c r="O123" s="347"/>
      <c r="P123" s="346"/>
      <c r="Q123" s="334"/>
      <c r="R123" s="347"/>
      <c r="S123" s="346"/>
      <c r="T123" s="303"/>
      <c r="U123" s="347"/>
      <c r="V123" s="346"/>
      <c r="W123" s="303"/>
      <c r="X123" s="347"/>
      <c r="Y123" s="346"/>
      <c r="Z123" s="303"/>
      <c r="AA123" s="347"/>
      <c r="AB123" s="259"/>
      <c r="AC123" s="259"/>
      <c r="AD123" s="300"/>
      <c r="AE123" s="306"/>
      <c r="AF123" s="300"/>
      <c r="AG123" s="300"/>
      <c r="AH123" s="300"/>
      <c r="AI123" s="300"/>
      <c r="AJ123" s="300"/>
      <c r="AK123" s="300"/>
      <c r="AL123" s="300"/>
      <c r="AM123" s="300"/>
      <c r="AN123" s="300"/>
      <c r="AO123" s="300"/>
      <c r="AP123" s="300"/>
      <c r="AQ123" s="325"/>
      <c r="AR123" s="325"/>
      <c r="AS123" s="300"/>
      <c r="AT123" s="300"/>
      <c r="AU123" s="300"/>
      <c r="AV123" s="300"/>
      <c r="BE123" s="300"/>
      <c r="BF123" s="300"/>
      <c r="BG123" s="300"/>
      <c r="BH123" s="300"/>
      <c r="BI123" s="300"/>
      <c r="BJ123" s="300"/>
    </row>
    <row r="124" spans="1:62">
      <c r="B124" s="300"/>
      <c r="C124" s="300"/>
      <c r="D124" s="300"/>
      <c r="E124" s="300"/>
      <c r="F124" s="300"/>
      <c r="G124" s="332"/>
      <c r="H124" s="333"/>
      <c r="I124" s="333"/>
      <c r="J124" s="259"/>
      <c r="K124" s="789"/>
      <c r="L124" s="300"/>
      <c r="M124" s="346"/>
      <c r="N124" s="334"/>
      <c r="O124" s="347"/>
      <c r="P124" s="346"/>
      <c r="Q124" s="334"/>
      <c r="R124" s="347"/>
      <c r="S124" s="346"/>
      <c r="T124" s="303"/>
      <c r="U124" s="347"/>
      <c r="V124" s="346"/>
      <c r="W124" s="303"/>
      <c r="X124" s="347"/>
      <c r="Y124" s="346"/>
      <c r="Z124" s="303"/>
      <c r="AA124" s="347"/>
      <c r="AB124" s="259"/>
      <c r="AC124" s="259"/>
      <c r="AD124" s="300"/>
      <c r="AE124" s="306"/>
      <c r="AF124" s="300"/>
      <c r="AG124" s="300"/>
      <c r="AH124" s="300"/>
      <c r="AI124" s="300"/>
      <c r="AJ124" s="300"/>
      <c r="AK124" s="300"/>
      <c r="AL124" s="300"/>
      <c r="AM124" s="300"/>
      <c r="AN124" s="300"/>
      <c r="AO124" s="300"/>
      <c r="AP124" s="300"/>
      <c r="AQ124" s="325"/>
      <c r="AR124" s="325"/>
      <c r="AS124" s="300"/>
      <c r="AT124" s="300"/>
      <c r="AU124" s="300"/>
      <c r="AV124" s="300"/>
      <c r="BE124" s="300"/>
      <c r="BF124" s="300"/>
      <c r="BG124" s="300"/>
      <c r="BH124" s="300"/>
      <c r="BI124" s="300"/>
      <c r="BJ124" s="300"/>
    </row>
    <row r="125" spans="1:62">
      <c r="B125" s="300"/>
      <c r="C125" s="300"/>
      <c r="D125" s="300"/>
      <c r="E125" s="300"/>
      <c r="F125" s="300"/>
      <c r="G125" s="332"/>
      <c r="H125" s="333"/>
      <c r="I125" s="333"/>
      <c r="J125" s="259"/>
      <c r="K125" s="789"/>
      <c r="L125" s="300"/>
      <c r="M125" s="346"/>
      <c r="N125" s="334"/>
      <c r="O125" s="347"/>
      <c r="P125" s="346"/>
      <c r="Q125" s="334"/>
      <c r="R125" s="347"/>
      <c r="S125" s="346"/>
      <c r="T125" s="303"/>
      <c r="U125" s="347"/>
      <c r="V125" s="346"/>
      <c r="W125" s="303"/>
      <c r="X125" s="347"/>
      <c r="Y125" s="346"/>
      <c r="Z125" s="303"/>
      <c r="AA125" s="347"/>
      <c r="AB125" s="259"/>
      <c r="AC125" s="259"/>
      <c r="AD125" s="300"/>
      <c r="AE125" s="306"/>
      <c r="AF125" s="300"/>
      <c r="AG125" s="300"/>
      <c r="AH125" s="300"/>
      <c r="AI125" s="300"/>
      <c r="AJ125" s="300"/>
      <c r="AK125" s="300"/>
      <c r="AL125" s="300"/>
      <c r="AM125" s="300"/>
      <c r="AN125" s="300"/>
      <c r="AO125" s="300"/>
      <c r="AP125" s="300"/>
      <c r="AQ125" s="325"/>
      <c r="AR125" s="325"/>
      <c r="AS125" s="300"/>
      <c r="AT125" s="300"/>
      <c r="AU125" s="300"/>
      <c r="AV125" s="300"/>
      <c r="BE125" s="300"/>
      <c r="BF125" s="300"/>
      <c r="BG125" s="300"/>
      <c r="BH125" s="300"/>
      <c r="BI125" s="300"/>
      <c r="BJ125" s="300"/>
    </row>
    <row r="126" spans="1:62">
      <c r="B126" s="300"/>
      <c r="C126" s="300"/>
      <c r="D126" s="300"/>
      <c r="E126" s="300"/>
      <c r="F126" s="300"/>
      <c r="G126" s="332"/>
      <c r="H126" s="333"/>
      <c r="I126" s="333"/>
      <c r="J126" s="259"/>
      <c r="K126" s="789"/>
      <c r="L126" s="300"/>
      <c r="M126" s="346"/>
      <c r="N126" s="334"/>
      <c r="O126" s="347"/>
      <c r="P126" s="346"/>
      <c r="Q126" s="334"/>
      <c r="R126" s="347"/>
      <c r="S126" s="346"/>
      <c r="T126" s="303"/>
      <c r="U126" s="347"/>
      <c r="V126" s="346"/>
      <c r="W126" s="303"/>
      <c r="X126" s="347"/>
      <c r="Y126" s="346"/>
      <c r="Z126" s="303"/>
      <c r="AA126" s="347"/>
      <c r="AB126" s="259"/>
      <c r="AC126" s="259"/>
      <c r="AD126" s="300"/>
      <c r="AE126" s="306"/>
      <c r="AF126" s="300"/>
      <c r="AG126" s="300"/>
      <c r="AH126" s="300"/>
      <c r="AI126" s="300"/>
      <c r="AJ126" s="300"/>
      <c r="AK126" s="300"/>
      <c r="AL126" s="300"/>
      <c r="AM126" s="300"/>
      <c r="AN126" s="300"/>
      <c r="AO126" s="300"/>
      <c r="AP126" s="300"/>
      <c r="AQ126" s="325"/>
      <c r="AR126" s="325"/>
      <c r="AS126" s="300"/>
      <c r="AT126" s="300"/>
      <c r="AU126" s="300"/>
      <c r="AV126" s="300"/>
      <c r="BE126" s="300"/>
      <c r="BF126" s="300"/>
      <c r="BG126" s="300"/>
      <c r="BH126" s="300"/>
      <c r="BI126" s="300"/>
      <c r="BJ126" s="300"/>
    </row>
    <row r="127" spans="1:62">
      <c r="T127" s="655"/>
      <c r="U127" s="656"/>
      <c r="W127" s="655"/>
      <c r="X127" s="656"/>
      <c r="Z127" s="655"/>
      <c r="AA127" s="656"/>
      <c r="AB127" s="1118"/>
      <c r="AC127" s="1118"/>
      <c r="AD127" s="1222"/>
      <c r="AE127" s="680"/>
      <c r="AF127" s="1222"/>
      <c r="AG127" s="1222"/>
      <c r="AH127" s="1222"/>
      <c r="AI127" s="1222"/>
      <c r="AJ127" s="1222"/>
      <c r="AK127" s="1222"/>
      <c r="AL127" s="1222"/>
      <c r="AM127" s="1222"/>
      <c r="AN127" s="1222"/>
      <c r="AO127" s="1222"/>
      <c r="AP127" s="1222"/>
      <c r="AQ127" s="1223"/>
      <c r="AR127" s="1223"/>
      <c r="AS127" s="1222"/>
      <c r="AT127" s="300"/>
      <c r="AU127" s="300"/>
      <c r="AV127" s="1222"/>
      <c r="AW127" s="1222"/>
      <c r="AX127" s="1222"/>
      <c r="AZ127" s="1222"/>
      <c r="BA127" s="1222"/>
      <c r="BB127" s="1222"/>
      <c r="BC127" s="1222"/>
      <c r="BD127" s="1222"/>
      <c r="BE127" s="1222"/>
    </row>
    <row r="128" spans="1:62">
      <c r="T128" s="655"/>
      <c r="U128" s="656"/>
      <c r="W128" s="655"/>
      <c r="X128" s="656"/>
      <c r="Z128" s="655"/>
      <c r="AA128" s="656"/>
      <c r="AB128" s="1118"/>
      <c r="AC128" s="1118"/>
      <c r="AD128" s="1222"/>
      <c r="AE128" s="680"/>
      <c r="AF128" s="1222"/>
      <c r="AG128" s="1222"/>
      <c r="AH128" s="1222"/>
      <c r="AI128" s="1222"/>
      <c r="AJ128" s="1222"/>
      <c r="AK128" s="1222"/>
      <c r="AL128" s="1222"/>
      <c r="AM128" s="1222"/>
      <c r="AN128" s="1222"/>
      <c r="AO128" s="1222"/>
      <c r="AP128" s="1222"/>
      <c r="AQ128" s="1223"/>
      <c r="AR128" s="1223"/>
      <c r="AS128" s="1222"/>
      <c r="AT128" s="1222"/>
      <c r="AU128" s="1222"/>
      <c r="AV128" s="1222"/>
      <c r="AW128" s="1222"/>
      <c r="AX128" s="1222"/>
      <c r="AY128" s="1222"/>
      <c r="AZ128" s="1222"/>
      <c r="BA128" s="1222"/>
      <c r="BB128" s="1222"/>
      <c r="BC128" s="1222"/>
      <c r="BD128" s="1222"/>
      <c r="BE128" s="1222"/>
    </row>
    <row r="129" spans="20:51">
      <c r="T129" s="655"/>
      <c r="U129" s="656"/>
      <c r="W129" s="655"/>
      <c r="X129" s="656"/>
      <c r="Z129" s="655"/>
      <c r="AA129" s="656"/>
      <c r="AT129" s="1222"/>
      <c r="AU129" s="1222"/>
      <c r="AY129" s="1222"/>
    </row>
    <row r="130" spans="20:51">
      <c r="T130" s="655"/>
      <c r="U130" s="656"/>
      <c r="W130" s="655"/>
      <c r="X130" s="656"/>
      <c r="Z130" s="655"/>
      <c r="AA130" s="656"/>
    </row>
    <row r="131" spans="20:51">
      <c r="T131" s="655"/>
      <c r="U131" s="656"/>
      <c r="W131" s="655"/>
      <c r="X131" s="656"/>
      <c r="Z131" s="655"/>
      <c r="AA131" s="656"/>
    </row>
    <row r="132" spans="20:51">
      <c r="T132" s="655"/>
      <c r="U132" s="656"/>
      <c r="W132" s="655"/>
      <c r="X132" s="656"/>
      <c r="Z132" s="655"/>
      <c r="AA132" s="656"/>
    </row>
    <row r="133" spans="20:51">
      <c r="T133" s="655"/>
      <c r="U133" s="656"/>
      <c r="W133" s="655"/>
      <c r="X133" s="656"/>
      <c r="Z133" s="655"/>
      <c r="AA133" s="656"/>
    </row>
    <row r="134" spans="20:51">
      <c r="T134" s="655"/>
      <c r="U134" s="656"/>
      <c r="W134" s="655"/>
      <c r="X134" s="656"/>
      <c r="Z134" s="655"/>
      <c r="AA134" s="656"/>
    </row>
    <row r="135" spans="20:51">
      <c r="T135" s="655"/>
      <c r="U135" s="656"/>
      <c r="W135" s="655"/>
      <c r="X135" s="656"/>
      <c r="Z135" s="655"/>
      <c r="AA135" s="656"/>
    </row>
    <row r="136" spans="20:51">
      <c r="T136" s="655"/>
      <c r="U136" s="656"/>
      <c r="W136" s="655"/>
      <c r="X136" s="656"/>
      <c r="Z136" s="655"/>
      <c r="AA136" s="656"/>
    </row>
    <row r="137" spans="20:51">
      <c r="T137" s="655"/>
      <c r="U137" s="656"/>
      <c r="W137" s="655"/>
      <c r="X137" s="656"/>
      <c r="Z137" s="655"/>
      <c r="AA137" s="656"/>
    </row>
    <row r="138" spans="20:51">
      <c r="T138" s="655"/>
      <c r="U138" s="656"/>
      <c r="W138" s="655"/>
      <c r="X138" s="656"/>
      <c r="Z138" s="655"/>
      <c r="AA138" s="656"/>
    </row>
    <row r="139" spans="20:51">
      <c r="T139" s="655"/>
      <c r="U139" s="656"/>
      <c r="W139" s="655"/>
      <c r="X139" s="656"/>
      <c r="Z139" s="655"/>
      <c r="AA139" s="656"/>
    </row>
    <row r="140" spans="20:51">
      <c r="T140" s="655"/>
      <c r="U140" s="656"/>
      <c r="W140" s="655"/>
      <c r="X140" s="656"/>
      <c r="Z140" s="655"/>
      <c r="AA140" s="656"/>
    </row>
    <row r="141" spans="20:51">
      <c r="T141" s="655"/>
      <c r="U141" s="656"/>
      <c r="W141" s="655"/>
      <c r="X141" s="656"/>
      <c r="Z141" s="655"/>
      <c r="AA141" s="656"/>
    </row>
    <row r="142" spans="20:51">
      <c r="T142" s="655"/>
      <c r="U142" s="656"/>
      <c r="W142" s="655"/>
      <c r="X142" s="656"/>
      <c r="Z142" s="655"/>
      <c r="AA142" s="656"/>
    </row>
    <row r="143" spans="20:51">
      <c r="T143" s="655"/>
      <c r="U143" s="656"/>
      <c r="W143" s="655"/>
      <c r="X143" s="656"/>
      <c r="Z143" s="655"/>
      <c r="AA143" s="656"/>
    </row>
    <row r="144" spans="20:51">
      <c r="T144" s="655"/>
      <c r="U144" s="656"/>
      <c r="W144" s="655"/>
      <c r="X144" s="656"/>
      <c r="Z144" s="655"/>
      <c r="AA144" s="656"/>
    </row>
    <row r="145" spans="20:27">
      <c r="T145" s="655"/>
      <c r="U145" s="656"/>
      <c r="W145" s="655"/>
      <c r="X145" s="656"/>
      <c r="Z145" s="655"/>
      <c r="AA145" s="656"/>
    </row>
    <row r="146" spans="20:27">
      <c r="T146" s="655"/>
      <c r="U146" s="656"/>
      <c r="W146" s="655"/>
      <c r="X146" s="656"/>
      <c r="Z146" s="655"/>
      <c r="AA146" s="656"/>
    </row>
    <row r="147" spans="20:27">
      <c r="T147" s="655"/>
      <c r="U147" s="656"/>
      <c r="W147" s="655"/>
      <c r="X147" s="656"/>
      <c r="Z147" s="655"/>
      <c r="AA147" s="656"/>
    </row>
    <row r="148" spans="20:27">
      <c r="T148" s="655"/>
      <c r="U148" s="656"/>
      <c r="W148" s="655"/>
      <c r="X148" s="656"/>
      <c r="Z148" s="655"/>
      <c r="AA148" s="656"/>
    </row>
    <row r="149" spans="20:27">
      <c r="T149" s="655"/>
      <c r="U149" s="656"/>
      <c r="W149" s="655"/>
      <c r="X149" s="656"/>
      <c r="Z149" s="655"/>
      <c r="AA149" s="656"/>
    </row>
    <row r="150" spans="20:27">
      <c r="T150" s="655"/>
      <c r="U150" s="656"/>
      <c r="W150" s="655"/>
      <c r="X150" s="656"/>
      <c r="Z150" s="655"/>
      <c r="AA150" s="656"/>
    </row>
    <row r="151" spans="20:27">
      <c r="T151" s="655"/>
      <c r="U151" s="656"/>
      <c r="W151" s="655"/>
      <c r="X151" s="656"/>
      <c r="Z151" s="655"/>
      <c r="AA151" s="656"/>
    </row>
    <row r="152" spans="20:27">
      <c r="T152" s="655"/>
      <c r="U152" s="656"/>
      <c r="W152" s="655"/>
      <c r="X152" s="656"/>
      <c r="Z152" s="655"/>
      <c r="AA152" s="656"/>
    </row>
    <row r="153" spans="20:27">
      <c r="T153" s="655"/>
      <c r="U153" s="656"/>
      <c r="W153" s="655"/>
      <c r="X153" s="656"/>
      <c r="Z153" s="655"/>
      <c r="AA153" s="656"/>
    </row>
    <row r="154" spans="20:27">
      <c r="T154" s="655"/>
      <c r="U154" s="656"/>
      <c r="W154" s="655"/>
      <c r="X154" s="656"/>
      <c r="Z154" s="655"/>
      <c r="AA154" s="656"/>
    </row>
    <row r="155" spans="20:27">
      <c r="T155" s="655"/>
      <c r="U155" s="656"/>
      <c r="W155" s="655"/>
      <c r="X155" s="656"/>
      <c r="Z155" s="655"/>
      <c r="AA155" s="656"/>
    </row>
    <row r="156" spans="20:27">
      <c r="T156" s="655"/>
      <c r="U156" s="656"/>
      <c r="W156" s="655"/>
      <c r="X156" s="656"/>
      <c r="Z156" s="655"/>
      <c r="AA156" s="656"/>
    </row>
    <row r="157" spans="20:27">
      <c r="T157" s="655"/>
      <c r="U157" s="656"/>
      <c r="W157" s="655"/>
      <c r="X157" s="656"/>
      <c r="Z157" s="655"/>
      <c r="AA157" s="656"/>
    </row>
    <row r="158" spans="20:27">
      <c r="T158" s="655"/>
      <c r="U158" s="656"/>
      <c r="W158" s="655"/>
      <c r="X158" s="656"/>
      <c r="Z158" s="655"/>
      <c r="AA158" s="656"/>
    </row>
    <row r="159" spans="20:27">
      <c r="T159" s="655"/>
      <c r="U159" s="656"/>
      <c r="W159" s="655"/>
      <c r="X159" s="656"/>
      <c r="Z159" s="655"/>
      <c r="AA159" s="656"/>
    </row>
    <row r="160" spans="20:27">
      <c r="T160" s="655"/>
      <c r="U160" s="656"/>
      <c r="W160" s="655"/>
      <c r="X160" s="656"/>
      <c r="Z160" s="655"/>
      <c r="AA160" s="656"/>
    </row>
    <row r="161" spans="20:27">
      <c r="T161" s="655"/>
      <c r="U161" s="656"/>
      <c r="W161" s="655"/>
      <c r="X161" s="656"/>
      <c r="Z161" s="655"/>
      <c r="AA161" s="656"/>
    </row>
  </sheetData>
  <sheetProtection password="83D4" sheet="1" objects="1" scenarios="1"/>
  <mergeCells count="7">
    <mergeCell ref="P2:Q2"/>
    <mergeCell ref="AT7:AU7"/>
    <mergeCell ref="AT35:AU35"/>
    <mergeCell ref="AT6:AU6"/>
    <mergeCell ref="BE6:BF6"/>
    <mergeCell ref="BE14:BF14"/>
    <mergeCell ref="V2:W2"/>
  </mergeCells>
  <phoneticPr fontId="5"/>
  <conditionalFormatting sqref="N7:N116">
    <cfRule type="expression" dxfId="265" priority="1" stopIfTrue="1">
      <formula>I7=2</formula>
    </cfRule>
  </conditionalFormatting>
  <conditionalFormatting sqref="F7:F116">
    <cfRule type="expression" dxfId="264" priority="2" stopIfTrue="1">
      <formula>I7=2</formula>
    </cfRule>
  </conditionalFormatting>
  <conditionalFormatting sqref="J7:J116">
    <cfRule type="expression" dxfId="263" priority="3" stopIfTrue="1">
      <formula>I7=2</formula>
    </cfRule>
  </conditionalFormatting>
  <conditionalFormatting sqref="E7:E116">
    <cfRule type="expression" dxfId="262" priority="4" stopIfTrue="1">
      <formula>I7=2</formula>
    </cfRule>
  </conditionalFormatting>
  <conditionalFormatting sqref="G7:G116">
    <cfRule type="expression" dxfId="261" priority="5" stopIfTrue="1">
      <formula>I7=2</formula>
    </cfRule>
  </conditionalFormatting>
  <conditionalFormatting sqref="AS7:AS116">
    <cfRule type="expression" dxfId="260" priority="6" stopIfTrue="1">
      <formula>I7=2</formula>
    </cfRule>
  </conditionalFormatting>
  <conditionalFormatting sqref="AC7:AC116">
    <cfRule type="expression" dxfId="259" priority="7" stopIfTrue="1">
      <formula>ISNA(AD7)</formula>
    </cfRule>
    <cfRule type="expression" dxfId="258" priority="8" stopIfTrue="1">
      <formula>COUNTIF(#REF!,7)</formula>
    </cfRule>
  </conditionalFormatting>
  <conditionalFormatting sqref="AB7:AB116">
    <cfRule type="expression" dxfId="257" priority="9" stopIfTrue="1">
      <formula>ISNA(AC7)</formula>
    </cfRule>
    <cfRule type="expression" dxfId="256" priority="10" stopIfTrue="1">
      <formula>COUNTIF(#REF!,7)</formula>
    </cfRule>
  </conditionalFormatting>
  <conditionalFormatting sqref="AG7:AG116">
    <cfRule type="expression" dxfId="255" priority="11" stopIfTrue="1">
      <formula>ISNA(AH7)</formula>
    </cfRule>
    <cfRule type="expression" dxfId="254" priority="12" stopIfTrue="1">
      <formula>COUNTIF(#REF!,7)</formula>
    </cfRule>
  </conditionalFormatting>
  <conditionalFormatting sqref="P7:P116">
    <cfRule type="expression" dxfId="253" priority="15" stopIfTrue="1">
      <formula>I7=""</formula>
    </cfRule>
  </conditionalFormatting>
  <conditionalFormatting sqref="U7:U116">
    <cfRule type="expression" dxfId="252" priority="16" stopIfTrue="1">
      <formula>I7=""</formula>
    </cfRule>
  </conditionalFormatting>
  <conditionalFormatting sqref="I7:I116">
    <cfRule type="cellIs" dxfId="251" priority="17" stopIfTrue="1" operator="equal">
      <formula>2</formula>
    </cfRule>
  </conditionalFormatting>
  <conditionalFormatting sqref="Y7:Y116">
    <cfRule type="expression" dxfId="250" priority="115" stopIfTrue="1">
      <formula>I7=""</formula>
    </cfRule>
  </conditionalFormatting>
  <conditionalFormatting sqref="Z7:Z116">
    <cfRule type="expression" dxfId="249" priority="116" stopIfTrue="1">
      <formula>I7=""</formula>
    </cfRule>
  </conditionalFormatting>
  <conditionalFormatting sqref="AA7:AA116">
    <cfRule type="expression" dxfId="248" priority="117" stopIfTrue="1">
      <formula>I7=""</formula>
    </cfRule>
  </conditionalFormatting>
  <conditionalFormatting sqref="O7:O116">
    <cfRule type="expression" dxfId="247" priority="131" stopIfTrue="1">
      <formula>ISNA(P7)</formula>
    </cfRule>
    <cfRule type="expression" dxfId="246" priority="132" stopIfTrue="1">
      <formula>I7=""</formula>
    </cfRule>
  </conditionalFormatting>
  <conditionalFormatting sqref="T7:T116">
    <cfRule type="expression" dxfId="245" priority="461" stopIfTrue="1">
      <formula>ISNA(U7)</formula>
    </cfRule>
    <cfRule type="expression" dxfId="244" priority="462" stopIfTrue="1">
      <formula>I7=""</formula>
    </cfRule>
  </conditionalFormatting>
  <conditionalFormatting sqref="AD7:AD116">
    <cfRule type="expression" dxfId="243" priority="465" stopIfTrue="1">
      <formula>ISNA(AG7)</formula>
    </cfRule>
    <cfRule type="expression" dxfId="242" priority="466" stopIfTrue="1">
      <formula>COUNTIF(#REF!,7)</formula>
    </cfRule>
  </conditionalFormatting>
  <dataValidations xWindow="713" yWindow="173" count="11">
    <dataValidation allowBlank="1" showInputMessage="1" showErrorMessage="1" prompt="#N/Aが表示された時は入力ミスです" sqref="AC7:AC116"/>
    <dataValidation imeMode="halfAlpha" allowBlank="1" showInputMessage="1" showErrorMessage="1" prompt="半角英数字入力_x000a_例_x000a_41秒00→41.50_x000a_3分20秒11→3.20.11" sqref="AI7:AI116 AD7:AD116"/>
    <dataValidation imeMode="disabled" allowBlank="1" sqref="Q6 R117:R65536 O2:O3 O117:O65536 R2:R5 V6"/>
    <dataValidation type="list" allowBlank="1" showInputMessage="1" showErrorMessage="1" prompt="ここは1600mRです" sqref="AG7:AG116">
      <formula1>$AM$32:$AM$37</formula1>
    </dataValidation>
    <dataValidation type="list" allowBlank="1" showInputMessage="1" showErrorMessage="1" prompt="ここは400mRです_x000a_" sqref="AB7:AB116">
      <formula1>$AM$32:$AM$37</formula1>
    </dataValidation>
    <dataValidation imeMode="disabled" allowBlank="1" showInputMessage="1" prompt="記録は_x000a_トラックはドットで区切る_x000a_フィールドはmで区切ること_x000a_10秒20→10.20_x000a_2m00→2m00" sqref="AA7:AA116"/>
    <dataValidation allowBlank="1" showErrorMessage="1" prompt="#N/A表示は種目選択ミスです" sqref="P7:P116 Z7:Z116 U7:U116"/>
    <dataValidation imeMode="disabled" allowBlank="1" showInputMessage="1" prompt="記録は半角英数字で_x000a_例_x000a_11秒11→11.11_x000a_1分50秒00→1.50.00_x000a_15m50→15m50_x000a__x000a_" sqref="Q7:Q116 V7:V116"/>
    <dataValidation type="list" allowBlank="1" showErrorMessage="1" prompt="種目を選択して下さい" sqref="Y7:Y116">
      <formula1>IF(L7=1,$AY$32,$AZ$28)</formula1>
    </dataValidation>
    <dataValidation type="list" allowBlank="1" showErrorMessage="1" prompt="種目を選択して下さい" sqref="O7:O116">
      <formula1>IF(I7=1,$AT$8:$AT$33,$AT$36:$AT$56)</formula1>
    </dataValidation>
    <dataValidation type="list" allowBlank="1" showErrorMessage="1" prompt="種目を選択して下さい" sqref="T7:T116">
      <formula1>IF(I7=1,$AT$8:$AT$33,$AT$36:$AT$56)</formula1>
    </dataValidation>
  </dataValidations>
  <printOptions horizontalCentered="1"/>
  <pageMargins left="0.78740157480314965" right="0.59055118110236227" top="0.98425196850393704" bottom="0.98425196850393704" header="0.51181102362204722" footer="0.51181102362204722"/>
  <pageSetup paperSize="9" scale="59" fitToHeight="2" orientation="portrait" verticalDpi="300" r:id="rId1"/>
  <headerFooter alignWithMargins="0">
    <oddHeader>&amp;L中学 申込&amp;R&amp;D　&amp;T</oddHeader>
    <oddFooter>&amp;L&amp;P&amp;R三重陸上競技協会</oddFooter>
  </headerFooter>
  <legacyDrawing r:id="rId2"/>
</worksheet>
</file>

<file path=xl/worksheets/sheet11.xml><?xml version="1.0" encoding="utf-8"?>
<worksheet xmlns="http://schemas.openxmlformats.org/spreadsheetml/2006/main" xmlns:r="http://schemas.openxmlformats.org/officeDocument/2006/relationships">
  <sheetPr codeName="Sheet10" enableFormatConditionsCalculation="0">
    <tabColor indexed="15"/>
    <pageSetUpPr fitToPage="1"/>
  </sheetPr>
  <dimension ref="A1:BH127"/>
  <sheetViews>
    <sheetView showGridLines="0" showZeros="0" topLeftCell="E1" zoomScale="80" zoomScaleNormal="80" workbookViewId="0">
      <selection activeCell="BA4" sqref="BA4"/>
    </sheetView>
  </sheetViews>
  <sheetFormatPr defaultColWidth="8.625" defaultRowHeight="13.5"/>
  <cols>
    <col min="1" max="1" width="11.75" style="19" hidden="1" customWidth="1"/>
    <col min="2" max="2" width="14.75" style="19" hidden="1" customWidth="1"/>
    <col min="3" max="3" width="13.375" style="19" hidden="1" customWidth="1"/>
    <col min="4" max="4" width="16.5" style="19" hidden="1" customWidth="1"/>
    <col min="5" max="5" width="13.625" style="19" bestFit="1" customWidth="1"/>
    <col min="6" max="6" width="15.125" style="19" customWidth="1"/>
    <col min="7" max="7" width="13.625" style="23" customWidth="1"/>
    <col min="8" max="8" width="8.5" style="19" hidden="1" customWidth="1"/>
    <col min="9" max="9" width="5" style="19" bestFit="1" customWidth="1"/>
    <col min="10" max="10" width="5.75" style="20" customWidth="1"/>
    <col min="11" max="11" width="6.75" style="20" customWidth="1"/>
    <col min="12" max="12" width="5.375" style="19" customWidth="1"/>
    <col min="13" max="13" width="18" style="34" hidden="1" customWidth="1"/>
    <col min="14" max="14" width="10.875" style="91" bestFit="1" customWidth="1"/>
    <col min="15" max="15" width="15.875" style="33" customWidth="1"/>
    <col min="16" max="16" width="6.125" style="33" hidden="1" customWidth="1"/>
    <col min="17" max="17" width="11" style="34" customWidth="1"/>
    <col min="18" max="18" width="23.375" style="91" customWidth="1"/>
    <col min="19" max="19" width="7.75" style="36" hidden="1" customWidth="1"/>
    <col min="20" max="20" width="2.25" style="26" hidden="1" customWidth="1"/>
    <col min="21" max="21" width="16.125" style="19" bestFit="1" customWidth="1"/>
    <col min="22" max="22" width="6.125" style="25" hidden="1" customWidth="1"/>
    <col min="23" max="23" width="11" style="26" customWidth="1"/>
    <col min="24" max="24" width="20.625" style="19" customWidth="1"/>
    <col min="25" max="25" width="8.375" style="25" hidden="1" customWidth="1"/>
    <col min="26" max="26" width="7.25" style="26" hidden="1" customWidth="1"/>
    <col min="27" max="27" width="7.5" style="19" hidden="1" customWidth="1"/>
    <col min="28" max="28" width="7.375" style="25" hidden="1" customWidth="1"/>
    <col min="29" max="29" width="8.25" style="20" hidden="1" customWidth="1"/>
    <col min="30" max="30" width="6.5" style="20" hidden="1" customWidth="1"/>
    <col min="31" max="31" width="8.75" style="19" hidden="1" customWidth="1"/>
    <col min="32" max="32" width="7.875" style="22" hidden="1" customWidth="1"/>
    <col min="33" max="33" width="2.625" style="19" hidden="1" customWidth="1"/>
    <col min="34" max="34" width="11.125" style="19" hidden="1" customWidth="1"/>
    <col min="35" max="35" width="0.5" style="19" hidden="1" customWidth="1"/>
    <col min="36" max="36" width="5.75" style="19" hidden="1" customWidth="1"/>
    <col min="37" max="37" width="5.5" style="57" hidden="1" customWidth="1"/>
    <col min="38" max="38" width="8.625" style="19" hidden="1" customWidth="1"/>
    <col min="39" max="39" width="7.5" style="19" hidden="1" customWidth="1"/>
    <col min="40" max="40" width="7.625" style="19" hidden="1" customWidth="1"/>
    <col min="41" max="41" width="16.375" style="22" bestFit="1" customWidth="1"/>
    <col min="42" max="42" width="7.25" style="22" customWidth="1"/>
    <col min="43" max="43" width="10.125" style="19" hidden="1" customWidth="1"/>
    <col min="44" max="44" width="8.5" style="19" bestFit="1" customWidth="1"/>
    <col min="45" max="45" width="9.375" style="19" customWidth="1"/>
    <col min="46" max="46" width="11.5" style="19" hidden="1" customWidth="1"/>
    <col min="47" max="47" width="9.875" style="19" hidden="1" customWidth="1"/>
    <col min="48" max="48" width="7.375" style="19" hidden="1" customWidth="1"/>
    <col min="49" max="49" width="6.875" style="19" hidden="1" customWidth="1"/>
    <col min="50" max="50" width="6.125" style="19" hidden="1" customWidth="1"/>
    <col min="51" max="51" width="7.875" style="19" hidden="1" customWidth="1"/>
    <col min="52" max="53" width="8.625" style="19"/>
    <col min="54" max="54" width="8.25" style="19" customWidth="1"/>
    <col min="55" max="58" width="8.625" style="19" hidden="1" customWidth="1"/>
    <col min="59" max="59" width="28.625" style="19" bestFit="1" customWidth="1"/>
    <col min="60" max="16384" width="8.625" style="19"/>
  </cols>
  <sheetData>
    <row r="1" spans="1:60" ht="24" customHeight="1">
      <c r="B1" s="782"/>
      <c r="C1" s="783"/>
      <c r="D1" s="784"/>
      <c r="E1" s="1393" t="s">
        <v>610</v>
      </c>
      <c r="F1" s="555">
        <f>IF(名簿!$O$4="","",名簿!$O$4)</f>
        <v>0</v>
      </c>
      <c r="G1" s="348"/>
      <c r="H1" s="348"/>
      <c r="I1" s="348"/>
      <c r="J1" s="348"/>
      <c r="K1" s="348"/>
      <c r="L1" s="348"/>
      <c r="M1" s="348"/>
      <c r="N1" s="348"/>
      <c r="O1" s="348"/>
      <c r="P1" s="348"/>
      <c r="Q1" s="348"/>
      <c r="R1" s="348"/>
      <c r="S1" s="348"/>
      <c r="T1" s="371"/>
      <c r="U1" s="1027"/>
      <c r="V1" s="1027"/>
      <c r="W1" s="1027"/>
      <c r="X1" s="256"/>
      <c r="Y1" s="261"/>
      <c r="Z1" s="371"/>
      <c r="AA1" s="256"/>
      <c r="AB1" s="261"/>
      <c r="AC1" s="259"/>
      <c r="AD1" s="259"/>
      <c r="AE1" s="256"/>
      <c r="AF1" s="260"/>
      <c r="AG1" s="256"/>
      <c r="AH1" s="256"/>
      <c r="AI1" s="261"/>
      <c r="AJ1" s="261"/>
      <c r="AK1" s="252"/>
      <c r="AL1" s="256"/>
      <c r="AM1" s="256"/>
      <c r="AN1" s="256"/>
      <c r="AO1" s="260"/>
      <c r="AP1" s="260"/>
      <c r="AQ1" s="256"/>
      <c r="AR1" s="256"/>
      <c r="AS1" s="256"/>
      <c r="AT1" s="256"/>
      <c r="AU1" s="256"/>
      <c r="AV1" s="256"/>
      <c r="AZ1" s="256"/>
      <c r="BA1" s="256"/>
      <c r="BB1" s="256"/>
    </row>
    <row r="2" spans="1:60" ht="27.75" customHeight="1" thickBot="1">
      <c r="B2" s="782"/>
      <c r="C2" s="785"/>
      <c r="D2" s="784"/>
      <c r="E2" s="1393"/>
      <c r="F2" s="262"/>
      <c r="G2" s="1484" t="s">
        <v>402</v>
      </c>
      <c r="H2" s="1484"/>
      <c r="I2" s="1484"/>
      <c r="J2" s="1484"/>
      <c r="K2" s="1484"/>
      <c r="L2" s="1484"/>
      <c r="M2" s="1484"/>
      <c r="N2" s="1484"/>
      <c r="O2" s="1484"/>
      <c r="P2" s="1484"/>
      <c r="Q2" s="1484"/>
      <c r="R2" s="1484"/>
      <c r="S2" s="1484"/>
      <c r="T2" s="371"/>
      <c r="U2" s="1027"/>
      <c r="V2" s="1027"/>
      <c r="W2" s="1027"/>
      <c r="X2" s="256"/>
      <c r="Y2" s="261"/>
      <c r="Z2" s="371"/>
      <c r="AA2" s="256"/>
      <c r="AB2" s="261"/>
      <c r="AC2" s="259"/>
      <c r="AD2" s="259"/>
      <c r="AE2" s="256"/>
      <c r="AF2" s="260"/>
      <c r="AG2" s="256"/>
      <c r="AH2" s="256"/>
      <c r="AI2" s="261"/>
      <c r="AJ2" s="261"/>
      <c r="AK2" s="252"/>
      <c r="AL2" s="256"/>
      <c r="AM2" s="256"/>
      <c r="AN2" s="256"/>
      <c r="AO2" s="260"/>
      <c r="AP2" s="260"/>
      <c r="AQ2" s="256"/>
      <c r="AR2" s="256"/>
      <c r="AS2" s="256"/>
      <c r="AT2" s="256"/>
      <c r="AU2" s="256"/>
      <c r="AV2" s="256"/>
      <c r="AZ2" s="256"/>
      <c r="BA2" s="256"/>
      <c r="BB2" s="256"/>
    </row>
    <row r="3" spans="1:60" ht="27.75" customHeight="1" thickBot="1">
      <c r="B3" s="786"/>
      <c r="C3" s="787"/>
      <c r="D3" s="787"/>
      <c r="E3" s="1394" t="s">
        <v>1217</v>
      </c>
      <c r="F3" s="272" t="str">
        <f>IF(名簿!$D$1="","",名簿!$D$1)</f>
        <v/>
      </c>
      <c r="G3" s="264"/>
      <c r="H3" s="373"/>
      <c r="I3" s="264"/>
      <c r="J3" s="264" t="s">
        <v>273</v>
      </c>
      <c r="K3" s="373"/>
      <c r="L3" s="373"/>
      <c r="M3" s="762"/>
      <c r="N3" s="762"/>
      <c r="O3" s="762">
        <f>COUNTIF($I$7:$I$116,1)-COUNTIF($BD$7:$BD$116,0)</f>
        <v>0</v>
      </c>
      <c r="P3" s="375"/>
      <c r="Q3" s="375"/>
      <c r="R3" s="1224" t="s">
        <v>849</v>
      </c>
      <c r="S3" s="1225"/>
      <c r="T3" s="1226"/>
      <c r="U3" s="1228"/>
      <c r="V3" s="1027"/>
      <c r="W3" s="1227" t="s">
        <v>850</v>
      </c>
      <c r="X3" s="256"/>
      <c r="Y3" s="261"/>
      <c r="Z3" s="371"/>
      <c r="AA3" s="256"/>
      <c r="AB3" s="261"/>
      <c r="AC3" s="259"/>
      <c r="AD3" s="259"/>
      <c r="AE3" s="256"/>
      <c r="AF3" s="260"/>
      <c r="AG3" s="256"/>
      <c r="AH3" s="256"/>
      <c r="AI3" s="261"/>
      <c r="AJ3" s="261"/>
      <c r="AK3" s="252"/>
      <c r="AL3" s="256"/>
      <c r="AM3" s="256"/>
      <c r="AN3" s="256"/>
      <c r="AO3" s="260"/>
      <c r="AP3" s="260"/>
      <c r="AQ3" s="256"/>
      <c r="AR3" s="256"/>
      <c r="AS3" s="256"/>
      <c r="AT3" s="256"/>
      <c r="AU3" s="256"/>
      <c r="AV3" s="256"/>
      <c r="AW3" s="57"/>
      <c r="AX3" s="57"/>
      <c r="AY3" s="57"/>
      <c r="AZ3" s="256"/>
      <c r="BA3" s="256"/>
      <c r="BB3" s="256"/>
    </row>
    <row r="4" spans="1:60" ht="27.75" customHeight="1" thickBot="1">
      <c r="B4" s="786"/>
      <c r="C4" s="787"/>
      <c r="D4" s="787"/>
      <c r="E4" s="1394" t="s">
        <v>1218</v>
      </c>
      <c r="F4" s="272" t="str">
        <f>IF(名簿!$I$1="","",名簿!$I$1)</f>
        <v/>
      </c>
      <c r="G4" s="264"/>
      <c r="H4" s="373"/>
      <c r="I4" s="264"/>
      <c r="J4" s="264" t="s">
        <v>275</v>
      </c>
      <c r="K4" s="373"/>
      <c r="L4" s="373"/>
      <c r="M4" s="762"/>
      <c r="N4" s="762"/>
      <c r="O4" s="762">
        <f>COUNTIF($I$7:$I$116,2)-COUNTIF($BE$7:$BE$116,0)</f>
        <v>0</v>
      </c>
      <c r="P4" s="703"/>
      <c r="Q4" s="666">
        <f>O3+O4</f>
        <v>0</v>
      </c>
      <c r="R4" s="343"/>
      <c r="S4" s="343"/>
      <c r="T4" s="371"/>
      <c r="U4" s="1027"/>
      <c r="V4" s="1027"/>
      <c r="W4" s="1027"/>
      <c r="X4" s="256"/>
      <c r="Y4" s="261"/>
      <c r="Z4" s="371"/>
      <c r="AA4" s="256"/>
      <c r="AB4" s="261"/>
      <c r="AC4" s="259"/>
      <c r="AD4" s="259"/>
      <c r="AE4" s="256"/>
      <c r="AF4" s="260"/>
      <c r="AG4" s="256"/>
      <c r="AH4" s="256"/>
      <c r="AI4" s="261"/>
      <c r="AJ4" s="261"/>
      <c r="AK4" s="252"/>
      <c r="AL4" s="256"/>
      <c r="AM4" s="256"/>
      <c r="AN4" s="256"/>
      <c r="AO4" s="260"/>
      <c r="AP4" s="260"/>
      <c r="AQ4" s="256"/>
      <c r="AR4" s="256"/>
      <c r="AS4" s="256"/>
      <c r="AT4" s="256"/>
      <c r="AU4" s="256"/>
      <c r="AV4" s="256"/>
      <c r="AW4" s="57"/>
      <c r="AX4" s="57"/>
      <c r="AY4" s="57"/>
      <c r="AZ4" s="256"/>
      <c r="BA4" s="256"/>
      <c r="BB4" s="256"/>
    </row>
    <row r="5" spans="1:60" ht="27.75" customHeight="1" thickTop="1" thickBot="1">
      <c r="B5" s="788"/>
      <c r="C5" s="958"/>
      <c r="D5" s="784"/>
      <c r="E5" s="274"/>
      <c r="F5" s="256"/>
      <c r="G5" s="681" t="s">
        <v>419</v>
      </c>
      <c r="H5" s="376"/>
      <c r="I5" s="681"/>
      <c r="J5" s="682"/>
      <c r="K5" s="682"/>
      <c r="L5" s="682"/>
      <c r="M5" s="683"/>
      <c r="N5" s="374"/>
      <c r="O5" s="988">
        <f>$AG$118*1000+U3*800</f>
        <v>0</v>
      </c>
      <c r="P5" s="377"/>
      <c r="Q5" s="1018">
        <f>$AG$118</f>
        <v>0</v>
      </c>
      <c r="R5" s="1173" t="s">
        <v>839</v>
      </c>
      <c r="S5" s="343"/>
      <c r="T5" s="371"/>
      <c r="U5" s="1028"/>
      <c r="V5" s="1028"/>
      <c r="W5" s="1028"/>
      <c r="X5" s="256"/>
      <c r="Y5" s="261"/>
      <c r="Z5" s="371"/>
      <c r="AA5" s="256"/>
      <c r="AB5" s="261"/>
      <c r="AC5" s="259"/>
      <c r="AD5" s="259"/>
      <c r="AE5" s="256"/>
      <c r="AF5" s="260"/>
      <c r="AG5" s="256"/>
      <c r="AH5" s="256"/>
      <c r="AI5" s="261"/>
      <c r="AJ5" s="261"/>
      <c r="AK5" s="252"/>
      <c r="AL5" s="256"/>
      <c r="AM5" s="256"/>
      <c r="AN5" s="256"/>
      <c r="AO5" s="260"/>
      <c r="AP5" s="260"/>
      <c r="AQ5" s="256"/>
      <c r="AR5" s="256"/>
      <c r="AS5" s="256"/>
      <c r="AT5" s="256"/>
      <c r="AU5" s="256"/>
      <c r="AV5" s="256"/>
      <c r="AW5" s="57"/>
      <c r="AX5" s="57"/>
      <c r="AY5" s="57"/>
      <c r="AZ5" s="256"/>
      <c r="BA5" s="256"/>
      <c r="BB5" s="256"/>
    </row>
    <row r="6" spans="1:60" s="30" customFormat="1" ht="14.25" thickBot="1">
      <c r="A6" s="29" t="s">
        <v>25</v>
      </c>
      <c r="B6" s="27" t="s">
        <v>16</v>
      </c>
      <c r="C6" s="90"/>
      <c r="D6" s="968"/>
      <c r="E6" s="1257" t="s">
        <v>21</v>
      </c>
      <c r="F6" s="27" t="s">
        <v>238</v>
      </c>
      <c r="G6" s="27" t="s">
        <v>18</v>
      </c>
      <c r="H6" s="27" t="s">
        <v>26</v>
      </c>
      <c r="I6" s="27" t="s">
        <v>19</v>
      </c>
      <c r="J6" s="27" t="s">
        <v>17</v>
      </c>
      <c r="K6" s="1258" t="s">
        <v>740</v>
      </c>
      <c r="L6" s="1258" t="s">
        <v>745</v>
      </c>
      <c r="M6" s="28" t="s">
        <v>20</v>
      </c>
      <c r="N6" s="1259" t="s">
        <v>1062</v>
      </c>
      <c r="O6" s="205" t="s">
        <v>420</v>
      </c>
      <c r="P6" s="27" t="s">
        <v>228</v>
      </c>
      <c r="Q6" s="206" t="s">
        <v>243</v>
      </c>
      <c r="R6" s="704" t="s">
        <v>1196</v>
      </c>
      <c r="S6" s="704"/>
      <c r="T6" s="704"/>
      <c r="U6" s="205" t="s">
        <v>421</v>
      </c>
      <c r="V6" s="27" t="s">
        <v>228</v>
      </c>
      <c r="W6" s="708" t="s">
        <v>243</v>
      </c>
      <c r="X6" s="704" t="s">
        <v>1196</v>
      </c>
      <c r="Y6" s="704"/>
      <c r="Z6" s="704"/>
      <c r="AA6" s="705" t="s">
        <v>228</v>
      </c>
      <c r="AB6" s="969" t="s">
        <v>22</v>
      </c>
      <c r="AC6" s="32" t="s">
        <v>30</v>
      </c>
      <c r="AD6" s="970" t="s">
        <v>228</v>
      </c>
      <c r="AE6" s="969" t="s">
        <v>23</v>
      </c>
      <c r="AF6" s="32" t="s">
        <v>30</v>
      </c>
      <c r="AG6" s="970" t="s">
        <v>228</v>
      </c>
      <c r="AH6" s="971" t="s">
        <v>24</v>
      </c>
      <c r="AI6" s="31"/>
      <c r="AJ6" s="31"/>
      <c r="AL6" s="11" t="s">
        <v>336</v>
      </c>
      <c r="AM6" s="35"/>
      <c r="AO6" s="1487" t="s">
        <v>403</v>
      </c>
      <c r="AP6" s="1488"/>
      <c r="AQ6" s="84"/>
      <c r="AR6" s="1489" t="s">
        <v>406</v>
      </c>
      <c r="AS6" s="1490"/>
      <c r="AU6" s="714" t="s">
        <v>1187</v>
      </c>
      <c r="AV6" s="713" t="s">
        <v>1168</v>
      </c>
      <c r="AY6" s="277"/>
      <c r="AZ6" s="277"/>
      <c r="BA6" s="277"/>
      <c r="BB6" s="277"/>
      <c r="BC6" s="665" t="s">
        <v>706</v>
      </c>
      <c r="BD6" s="665" t="s">
        <v>273</v>
      </c>
      <c r="BE6" s="665" t="s">
        <v>275</v>
      </c>
    </row>
    <row r="7" spans="1:60" ht="14.25" thickBot="1">
      <c r="B7" s="289" t="e">
        <f>名簿!P4</f>
        <v>#N/A</v>
      </c>
      <c r="C7" s="965"/>
      <c r="D7" s="965"/>
      <c r="E7" s="1260">
        <f>名簿!E4</f>
        <v>0</v>
      </c>
      <c r="F7" s="699" t="str">
        <f>名簿!CM4</f>
        <v/>
      </c>
      <c r="G7" s="289" t="str">
        <f>名簿!Z4</f>
        <v/>
      </c>
      <c r="H7" s="1261" t="str">
        <f>名簿!CM4</f>
        <v/>
      </c>
      <c r="I7" s="290" t="str">
        <f>名簿!Y4</f>
        <v/>
      </c>
      <c r="J7" s="285" t="str">
        <f>名簿!CN4</f>
        <v/>
      </c>
      <c r="K7" s="1042">
        <f>名簿!CP4</f>
        <v>0</v>
      </c>
      <c r="L7" s="1043" t="str">
        <f>名簿!CU4</f>
        <v>00</v>
      </c>
      <c r="M7" s="289" t="e">
        <f>名簿!Q4</f>
        <v>#N/A</v>
      </c>
      <c r="N7" s="1255">
        <f>名簿!D4</f>
        <v>0</v>
      </c>
      <c r="O7" s="362"/>
      <c r="P7" s="287" t="str">
        <f>IF(O7="","",IF(I7=1,VLOOKUP(O7,$AO$8:$AQ$23,3,FALSE),IF(I7=2,VLOOKUP(O7,$AO$26:$AQ$41,3,FALSE))))</f>
        <v/>
      </c>
      <c r="Q7" s="622" t="str">
        <f>IF(O7="","",HLOOKUP(O7,名簿!$AH$3:$CH$118,2,FALSE))</f>
        <v/>
      </c>
      <c r="R7" s="1142"/>
      <c r="S7" s="982" t="str">
        <f>IF(O7="","",0)</f>
        <v/>
      </c>
      <c r="T7" s="983" t="str">
        <f>IF(O7="","",2)</f>
        <v/>
      </c>
      <c r="U7" s="362"/>
      <c r="V7" s="287" t="str">
        <f>IF(U7="","",IF(I7=1,VLOOKUP(U7,$AO$8:$AQ$23,3,FALSE),IF(I7=2,VLOOKUP(U7,$AO$26:$AQ$41,3,FALSE))))</f>
        <v/>
      </c>
      <c r="W7" s="622" t="str">
        <f>IF(U7="","",HLOOKUP(U7,名簿!$AH$3:$CH$118,2,FALSE))</f>
        <v/>
      </c>
      <c r="X7" s="1147"/>
      <c r="Y7" s="982" t="str">
        <f>IF(U7="","",0)</f>
        <v/>
      </c>
      <c r="Z7" s="983" t="str">
        <f>IF(U7="","",2)</f>
        <v/>
      </c>
      <c r="AA7" s="21" t="str">
        <f>IF(X7="","",IF(I7=1,VLOOKUP(X7,男子種目コード!$J$2:$K$30,2,FALSE),IF(I7=2,VLOOKUP(X7,女子種目コード!$J$2:$K$28,2,FALSE))))</f>
        <v/>
      </c>
      <c r="AB7" s="956"/>
      <c r="AC7" s="972"/>
      <c r="AD7" s="358" t="str">
        <f>IF(AC7="","",IF(I7=1,VLOOKUP(AC7,男子種目コード!$J$2:$K$30,2,FALSE),IF(I7=2,VLOOKUP(AC7,女子種目コード!$J$2:$K$28,2,FALSE))))</f>
        <v/>
      </c>
      <c r="AE7" s="956"/>
      <c r="AF7" s="972"/>
      <c r="AG7" s="358" t="str">
        <f>IF(AF7="","",IF(I7=1,VLOOKUP(AF7,男子種目コード!$J$2:$K$30,2,FALSE),IF(I7=2,VLOOKUP(AF7,女子種目コード!$J$2:$K$28,2,FALSE))))</f>
        <v/>
      </c>
      <c r="AH7" s="957"/>
      <c r="AI7" s="20"/>
      <c r="AJ7" s="20"/>
      <c r="AK7" s="19"/>
      <c r="AL7" s="11" t="s">
        <v>337</v>
      </c>
      <c r="AM7" s="989" t="str">
        <f>IF(O7="","",1)</f>
        <v/>
      </c>
      <c r="AN7" s="57" t="str">
        <f>IF(U7="","",1)</f>
        <v/>
      </c>
      <c r="AO7" s="1485" t="s">
        <v>273</v>
      </c>
      <c r="AP7" s="1486"/>
      <c r="AQ7" s="478"/>
      <c r="AR7" s="1485" t="s">
        <v>408</v>
      </c>
      <c r="AS7" s="1486"/>
      <c r="AU7" s="712" t="s">
        <v>1169</v>
      </c>
      <c r="AV7" s="573" t="s">
        <v>1169</v>
      </c>
      <c r="AX7" s="370">
        <f t="shared" ref="AX7:AX38" si="0">IF(OR(AM7=1,U7=""),0,1)</f>
        <v>0</v>
      </c>
      <c r="AY7" s="256"/>
      <c r="AZ7" s="256"/>
      <c r="BA7" s="256"/>
      <c r="BB7" s="256"/>
      <c r="BC7" s="19">
        <f t="shared" ref="BC7:BC38" si="1">COUNT(P7,V7,AA7)</f>
        <v>0</v>
      </c>
      <c r="BD7" s="19" t="str">
        <f t="shared" ref="BD7:BD38" si="2">IF(I7=1,BC7,"")</f>
        <v/>
      </c>
      <c r="BE7" s="19" t="str">
        <f t="shared" ref="BE7:BE38" si="3">IF(I7=2,BC7,"")</f>
        <v/>
      </c>
    </row>
    <row r="8" spans="1:60">
      <c r="B8" s="358" t="str">
        <f>名簿!P5</f>
        <v/>
      </c>
      <c r="C8" s="966"/>
      <c r="D8" s="966"/>
      <c r="E8" s="1262">
        <f>名簿!E5</f>
        <v>0</v>
      </c>
      <c r="F8" s="700" t="str">
        <f>名簿!CM5</f>
        <v/>
      </c>
      <c r="G8" s="358" t="str">
        <f>名簿!Z5</f>
        <v/>
      </c>
      <c r="H8" s="358" t="str">
        <f>名簿!CM5</f>
        <v/>
      </c>
      <c r="I8" s="359" t="str">
        <f>名簿!Y5</f>
        <v/>
      </c>
      <c r="J8" s="359" t="str">
        <f>名簿!CN5</f>
        <v/>
      </c>
      <c r="K8" s="1044">
        <f>名簿!CP5</f>
        <v>0</v>
      </c>
      <c r="L8" s="1045" t="str">
        <f>名簿!CU5</f>
        <v>00</v>
      </c>
      <c r="M8" s="358" t="str">
        <f>名簿!Q5</f>
        <v/>
      </c>
      <c r="N8" s="1256">
        <f>名簿!D5</f>
        <v>0</v>
      </c>
      <c r="O8" s="363"/>
      <c r="P8" s="292" t="str">
        <f t="shared" ref="P8:P71" si="4">IF(O8="","",IF(I8=1,VLOOKUP(O8,$AO$8:$AQ$23,3,FALSE),IF(I8=2,VLOOKUP(O8,$AO$26:$AQ$41,3,FALSE))))</f>
        <v/>
      </c>
      <c r="Q8" s="623" t="str">
        <f>IF(O8="","",HLOOKUP(O8,名簿!$AH$3:$CH$118,3,FALSE))</f>
        <v/>
      </c>
      <c r="R8" s="1143"/>
      <c r="S8" s="984" t="str">
        <f t="shared" ref="S8:S71" si="5">IF(O8="","",0)</f>
        <v/>
      </c>
      <c r="T8" s="985" t="str">
        <f t="shared" ref="T8:T71" si="6">IF(O8="","",2)</f>
        <v/>
      </c>
      <c r="U8" s="363"/>
      <c r="V8" s="292" t="str">
        <f t="shared" ref="V8:V71" si="7">IF(U8="","",IF(I8=1,VLOOKUP(U8,$AO$8:$AQ$23,3,FALSE),IF(I8=2,VLOOKUP(U8,$AO$26:$AQ$41,3,FALSE))))</f>
        <v/>
      </c>
      <c r="W8" s="623" t="str">
        <f>IF(U8="","",HLOOKUP(U8,名簿!$AH$3:$CH$118,3,FALSE))</f>
        <v/>
      </c>
      <c r="X8" s="1145"/>
      <c r="Y8" s="984" t="str">
        <f t="shared" ref="Y8:Y71" si="8">IF(U8="","",0)</f>
        <v/>
      </c>
      <c r="Z8" s="985" t="str">
        <f t="shared" ref="Z8:Z71" si="9">IF(U8="","",2)</f>
        <v/>
      </c>
      <c r="AA8" s="21" t="str">
        <f>IF(X8="","",IF(I8=1,VLOOKUP(X8,男子種目コード!$J$2:$K$30,2,FALSE),IF(I8=2,VLOOKUP(X8,女子種目コード!$J$2:$K$28,2,FALSE))))</f>
        <v/>
      </c>
      <c r="AB8" s="956"/>
      <c r="AC8" s="972"/>
      <c r="AD8" s="358" t="str">
        <f>IF(AC8="","",IF(I8=1,VLOOKUP(AC8,男子種目コード!$J$2:$K$30,2,FALSE),IF(I8=2,VLOOKUP(AC8,女子種目コード!$J$2:$K$28,2,FALSE))))</f>
        <v/>
      </c>
      <c r="AE8" s="956"/>
      <c r="AF8" s="972"/>
      <c r="AG8" s="358" t="str">
        <f>IF(AF8="","",IF(I8=1,VLOOKUP(AF8,男子種目コード!$J$2:$K$30,2,FALSE),IF(I8=2,VLOOKUP(AF8,女子種目コード!$J$2:$K$28,2,FALSE))))</f>
        <v/>
      </c>
      <c r="AH8" s="957"/>
      <c r="AI8" s="20"/>
      <c r="AJ8" s="20"/>
      <c r="AK8" s="19"/>
      <c r="AL8" s="11" t="s">
        <v>338</v>
      </c>
      <c r="AM8" s="989" t="str">
        <f t="shared" ref="AM8:AM73" si="10">IF(O8="","",1)</f>
        <v/>
      </c>
      <c r="AN8" s="57" t="str">
        <f t="shared" ref="AN8:AN73" si="11">IF(U8="","",1)</f>
        <v/>
      </c>
      <c r="AO8" s="714" t="s">
        <v>1187</v>
      </c>
      <c r="AP8" s="1019">
        <f>COUNTIF($P$7:$P$116,6)+COUNTIF($V$7:$V$116,6)</f>
        <v>0</v>
      </c>
      <c r="AQ8">
        <v>6</v>
      </c>
      <c r="AR8" s="996">
        <v>100</v>
      </c>
      <c r="AS8" s="997" t="s">
        <v>795</v>
      </c>
      <c r="AU8" s="712" t="s">
        <v>1170</v>
      </c>
      <c r="AV8" s="573" t="s">
        <v>1170</v>
      </c>
      <c r="AX8" s="370">
        <f t="shared" si="0"/>
        <v>0</v>
      </c>
      <c r="AY8" s="256"/>
      <c r="AZ8" s="256"/>
      <c r="BA8" s="256"/>
      <c r="BB8" s="256"/>
      <c r="BC8" s="19">
        <f t="shared" si="1"/>
        <v>0</v>
      </c>
      <c r="BD8" s="19" t="str">
        <f t="shared" si="2"/>
        <v/>
      </c>
      <c r="BE8" s="19" t="str">
        <f t="shared" si="3"/>
        <v/>
      </c>
      <c r="BG8"/>
      <c r="BH8"/>
    </row>
    <row r="9" spans="1:60">
      <c r="B9" s="358" t="str">
        <f>名簿!P6</f>
        <v/>
      </c>
      <c r="C9" s="966"/>
      <c r="D9" s="966"/>
      <c r="E9" s="1262">
        <f>名簿!E6</f>
        <v>0</v>
      </c>
      <c r="F9" s="700" t="str">
        <f>名簿!CM6</f>
        <v/>
      </c>
      <c r="G9" s="358" t="str">
        <f>名簿!Z6</f>
        <v/>
      </c>
      <c r="H9" s="358" t="str">
        <f>名簿!CM6</f>
        <v/>
      </c>
      <c r="I9" s="359" t="str">
        <f>名簿!Y6</f>
        <v/>
      </c>
      <c r="J9" s="359" t="str">
        <f>名簿!CN6</f>
        <v/>
      </c>
      <c r="K9" s="1044">
        <f>名簿!CP6</f>
        <v>0</v>
      </c>
      <c r="L9" s="1045" t="str">
        <f>名簿!CU6</f>
        <v>00</v>
      </c>
      <c r="M9" s="358" t="str">
        <f>名簿!Q6</f>
        <v/>
      </c>
      <c r="N9" s="1256">
        <f>名簿!D6</f>
        <v>0</v>
      </c>
      <c r="O9" s="363"/>
      <c r="P9" s="292" t="str">
        <f t="shared" si="4"/>
        <v/>
      </c>
      <c r="Q9" s="623" t="str">
        <f>IF(O9="","",HLOOKUP(O9,名簿!$AH$3:$CH$118,4,FALSE))</f>
        <v/>
      </c>
      <c r="R9" s="1143"/>
      <c r="S9" s="984" t="str">
        <f t="shared" si="5"/>
        <v/>
      </c>
      <c r="T9" s="985" t="str">
        <f t="shared" si="6"/>
        <v/>
      </c>
      <c r="U9" s="363"/>
      <c r="V9" s="292" t="str">
        <f t="shared" si="7"/>
        <v/>
      </c>
      <c r="W9" s="623" t="str">
        <f>IF(U9="","",HLOOKUP(U9,名簿!$AH$3:$CH$118,4,FALSE))</f>
        <v/>
      </c>
      <c r="X9" s="1145"/>
      <c r="Y9" s="984" t="str">
        <f t="shared" si="8"/>
        <v/>
      </c>
      <c r="Z9" s="985" t="str">
        <f t="shared" si="9"/>
        <v/>
      </c>
      <c r="AA9" s="21" t="str">
        <f>IF(X9="","",IF(I9=1,VLOOKUP(X9,男子種目コード!$J$2:$K$30,2,FALSE),IF(I9=2,VLOOKUP(X9,女子種目コード!$J$2:$K$28,2,FALSE))))</f>
        <v/>
      </c>
      <c r="AB9" s="956"/>
      <c r="AC9" s="972"/>
      <c r="AD9" s="358" t="str">
        <f>IF(AC9="","",IF(I9=1,VLOOKUP(AC9,男子種目コード!$J$2:$K$30,2,FALSE),IF(I9=2,VLOOKUP(AC9,女子種目コード!$J$2:$K$28,2,FALSE))))</f>
        <v/>
      </c>
      <c r="AE9" s="956"/>
      <c r="AF9" s="972"/>
      <c r="AG9" s="358" t="str">
        <f>IF(AF9="","",IF(I9=1,VLOOKUP(AF9,男子種目コード!$J$2:$K$30,2,FALSE),IF(I9=2,VLOOKUP(AF9,女子種目コード!$J$2:$K$28,2,FALSE))))</f>
        <v/>
      </c>
      <c r="AH9" s="957"/>
      <c r="AI9" s="20"/>
      <c r="AJ9" s="20"/>
      <c r="AK9" s="19"/>
      <c r="AL9" s="11" t="s">
        <v>339</v>
      </c>
      <c r="AM9" s="989" t="str">
        <f t="shared" si="10"/>
        <v/>
      </c>
      <c r="AN9" s="57" t="str">
        <f t="shared" si="11"/>
        <v/>
      </c>
      <c r="AO9" s="712" t="s">
        <v>1169</v>
      </c>
      <c r="AP9" s="1020">
        <f>COUNTIF($P$7:$P$116,7)+COUNTIF($V$7:$V$116,7)</f>
        <v>0</v>
      </c>
      <c r="AQ9">
        <v>7</v>
      </c>
      <c r="AR9" s="998">
        <v>200</v>
      </c>
      <c r="AS9" s="999" t="s">
        <v>1197</v>
      </c>
      <c r="AU9" s="712" t="s">
        <v>1171</v>
      </c>
      <c r="AV9" s="573" t="s">
        <v>1182</v>
      </c>
      <c r="AX9" s="370">
        <f t="shared" si="0"/>
        <v>0</v>
      </c>
      <c r="AY9" s="256"/>
      <c r="AZ9" s="256"/>
      <c r="BA9" s="256"/>
      <c r="BB9" s="256"/>
      <c r="BC9" s="19">
        <f t="shared" si="1"/>
        <v>0</v>
      </c>
      <c r="BD9" s="19" t="str">
        <f t="shared" si="2"/>
        <v/>
      </c>
      <c r="BE9" s="19" t="str">
        <f t="shared" si="3"/>
        <v/>
      </c>
      <c r="BG9"/>
      <c r="BH9"/>
    </row>
    <row r="10" spans="1:60">
      <c r="B10" s="358" t="str">
        <f>名簿!P7</f>
        <v/>
      </c>
      <c r="C10" s="966"/>
      <c r="D10" s="966"/>
      <c r="E10" s="1262">
        <f>名簿!E7</f>
        <v>0</v>
      </c>
      <c r="F10" s="700" t="str">
        <f>名簿!CM7</f>
        <v/>
      </c>
      <c r="G10" s="358" t="str">
        <f>名簿!Z7</f>
        <v/>
      </c>
      <c r="H10" s="358" t="str">
        <f>名簿!CM7</f>
        <v/>
      </c>
      <c r="I10" s="359" t="str">
        <f>名簿!Y7</f>
        <v/>
      </c>
      <c r="J10" s="359" t="str">
        <f>名簿!CN7</f>
        <v/>
      </c>
      <c r="K10" s="1044">
        <f>名簿!CP7</f>
        <v>0</v>
      </c>
      <c r="L10" s="1045" t="str">
        <f>名簿!CU7</f>
        <v>00</v>
      </c>
      <c r="M10" s="358" t="str">
        <f>名簿!Q7</f>
        <v/>
      </c>
      <c r="N10" s="1256">
        <f>名簿!D7</f>
        <v>0</v>
      </c>
      <c r="O10" s="363"/>
      <c r="P10" s="292" t="str">
        <f t="shared" si="4"/>
        <v/>
      </c>
      <c r="Q10" s="623" t="str">
        <f>IF(O10="","",HLOOKUP(O10,名簿!$AH$3:$CH$118,5,FALSE))</f>
        <v/>
      </c>
      <c r="R10" s="1143"/>
      <c r="S10" s="984" t="str">
        <f t="shared" si="5"/>
        <v/>
      </c>
      <c r="T10" s="985" t="str">
        <f t="shared" si="6"/>
        <v/>
      </c>
      <c r="U10" s="363"/>
      <c r="V10" s="292" t="str">
        <f t="shared" si="7"/>
        <v/>
      </c>
      <c r="W10" s="623" t="str">
        <f>IF(U10="","",HLOOKUP(U10,名簿!$AH$3:$CH$118,5,FALSE))</f>
        <v/>
      </c>
      <c r="X10" s="1145"/>
      <c r="Y10" s="984" t="str">
        <f t="shared" si="8"/>
        <v/>
      </c>
      <c r="Z10" s="985" t="str">
        <f t="shared" si="9"/>
        <v/>
      </c>
      <c r="AA10" s="706" t="str">
        <f>IF(X10="","",IF(I10=1,VLOOKUP(X10,男子種目コード!$J$2:$K$30,2,FALSE),IF(I10=2,VLOOKUP(X10,女子種目コード!$J$2:$K$28,2,FALSE))))</f>
        <v/>
      </c>
      <c r="AB10" s="956"/>
      <c r="AC10" s="972"/>
      <c r="AD10" s="358" t="str">
        <f>IF(AC10="","",IF(I10=1,VLOOKUP(AC10,男子種目コード!$J$2:$K$30,2,FALSE),IF(I10=2,VLOOKUP(AC10,女子種目コード!$J$2:$K$28,2,FALSE))))</f>
        <v/>
      </c>
      <c r="AE10" s="956"/>
      <c r="AF10" s="972"/>
      <c r="AG10" s="358" t="str">
        <f>IF(AF10="","",IF(I10=1,VLOOKUP(AF10,男子種目コード!$J$2:$K$30,2,FALSE),IF(I10=2,VLOOKUP(AF10,女子種目コード!$J$2:$K$28,2,FALSE))))</f>
        <v/>
      </c>
      <c r="AH10" s="957"/>
      <c r="AI10" s="20"/>
      <c r="AJ10" s="20"/>
      <c r="AK10" s="19"/>
      <c r="AL10" s="11" t="s">
        <v>340</v>
      </c>
      <c r="AM10" s="989" t="str">
        <f t="shared" si="10"/>
        <v/>
      </c>
      <c r="AN10" s="57" t="str">
        <f t="shared" si="11"/>
        <v/>
      </c>
      <c r="AO10" s="712" t="s">
        <v>1170</v>
      </c>
      <c r="AP10" s="1020">
        <f>COUNTIF($P$7:$P$116,10)+COUNTIF($V$7:$V$116,10)</f>
        <v>0</v>
      </c>
      <c r="AQ10">
        <v>10</v>
      </c>
      <c r="AR10" s="998">
        <v>3000</v>
      </c>
      <c r="AS10" s="999" t="s">
        <v>617</v>
      </c>
      <c r="AU10" s="712" t="s">
        <v>1172</v>
      </c>
      <c r="AV10" s="573" t="s">
        <v>1172</v>
      </c>
      <c r="AX10" s="370">
        <f t="shared" si="0"/>
        <v>0</v>
      </c>
      <c r="AY10" s="256"/>
      <c r="AZ10" s="256"/>
      <c r="BA10" s="256"/>
      <c r="BB10" s="256"/>
      <c r="BC10" s="19">
        <f t="shared" si="1"/>
        <v>0</v>
      </c>
      <c r="BD10" s="19" t="str">
        <f t="shared" si="2"/>
        <v/>
      </c>
      <c r="BE10" s="19" t="str">
        <f t="shared" si="3"/>
        <v/>
      </c>
      <c r="BG10"/>
      <c r="BH10"/>
    </row>
    <row r="11" spans="1:60">
      <c r="B11" s="358" t="str">
        <f>名簿!P8</f>
        <v/>
      </c>
      <c r="C11" s="966"/>
      <c r="D11" s="966"/>
      <c r="E11" s="1262">
        <f>名簿!E8</f>
        <v>0</v>
      </c>
      <c r="F11" s="700" t="str">
        <f>名簿!CM8</f>
        <v/>
      </c>
      <c r="G11" s="358" t="str">
        <f>名簿!Z8</f>
        <v/>
      </c>
      <c r="H11" s="358" t="str">
        <f>名簿!CM8</f>
        <v/>
      </c>
      <c r="I11" s="359" t="str">
        <f>名簿!Y8</f>
        <v/>
      </c>
      <c r="J11" s="359" t="str">
        <f>名簿!CN8</f>
        <v/>
      </c>
      <c r="K11" s="1044">
        <f>名簿!CP8</f>
        <v>0</v>
      </c>
      <c r="L11" s="1045" t="str">
        <f>名簿!CU8</f>
        <v>00</v>
      </c>
      <c r="M11" s="358" t="str">
        <f>名簿!Q8</f>
        <v/>
      </c>
      <c r="N11" s="1256">
        <f>名簿!D8</f>
        <v>0</v>
      </c>
      <c r="O11" s="363"/>
      <c r="P11" s="292" t="str">
        <f t="shared" si="4"/>
        <v/>
      </c>
      <c r="Q11" s="623" t="str">
        <f>IF(O11="","",HLOOKUP(O11,名簿!$AH$3:$CH$118,6,FALSE))</f>
        <v/>
      </c>
      <c r="R11" s="1143"/>
      <c r="S11" s="984" t="str">
        <f t="shared" si="5"/>
        <v/>
      </c>
      <c r="T11" s="985" t="str">
        <f t="shared" si="6"/>
        <v/>
      </c>
      <c r="U11" s="363"/>
      <c r="V11" s="292" t="str">
        <f t="shared" si="7"/>
        <v/>
      </c>
      <c r="W11" s="623" t="str">
        <f>IF(U11="","",HLOOKUP(U11,名簿!$AH$3:$CH$118,6,FALSE))</f>
        <v/>
      </c>
      <c r="X11" s="1145"/>
      <c r="Y11" s="984" t="str">
        <f t="shared" si="8"/>
        <v/>
      </c>
      <c r="Z11" s="985" t="str">
        <f t="shared" si="9"/>
        <v/>
      </c>
      <c r="AA11" s="706" t="str">
        <f>IF(X11="","",IF(I11=1,VLOOKUP(X11,男子種目コード!$J$2:$K$30,2,FALSE),IF(I11=2,VLOOKUP(X11,女子種目コード!$J$2:$K$28,2,FALSE))))</f>
        <v/>
      </c>
      <c r="AB11" s="956"/>
      <c r="AC11" s="972"/>
      <c r="AD11" s="358" t="str">
        <f>IF(AC11="","",IF(I11=1,VLOOKUP(AC11,男子種目コード!$J$2:$K$30,2,FALSE),IF(I11=2,VLOOKUP(AC11,女子種目コード!$J$2:$K$28,2,FALSE))))</f>
        <v/>
      </c>
      <c r="AE11" s="956"/>
      <c r="AF11" s="972"/>
      <c r="AG11" s="358" t="str">
        <f>IF(AF11="","",IF(I11=1,VLOOKUP(AF11,男子種目コード!$J$2:$K$30,2,FALSE),IF(I11=2,VLOOKUP(AF11,女子種目コード!$J$2:$K$28,2,FALSE))))</f>
        <v/>
      </c>
      <c r="AH11" s="957"/>
      <c r="AI11" s="20"/>
      <c r="AJ11" s="20"/>
      <c r="AK11" s="19"/>
      <c r="AL11" s="11" t="s">
        <v>353</v>
      </c>
      <c r="AM11" s="989" t="str">
        <f t="shared" si="10"/>
        <v/>
      </c>
      <c r="AN11" s="57" t="str">
        <f t="shared" si="11"/>
        <v/>
      </c>
      <c r="AO11" s="712" t="s">
        <v>1171</v>
      </c>
      <c r="AP11" s="1020">
        <f>COUNTIF($P$7:$P$116,11)+COUNTIF($V$7:$V$116,11)</f>
        <v>0</v>
      </c>
      <c r="AQ11">
        <v>11</v>
      </c>
      <c r="AR11" s="998" t="s">
        <v>618</v>
      </c>
      <c r="AS11" s="999" t="s">
        <v>1198</v>
      </c>
      <c r="AU11" s="712" t="s">
        <v>1173</v>
      </c>
      <c r="AV11" s="573" t="s">
        <v>1173</v>
      </c>
      <c r="AX11" s="370">
        <f t="shared" si="0"/>
        <v>0</v>
      </c>
      <c r="AY11" s="256"/>
      <c r="AZ11" s="256"/>
      <c r="BA11" s="256"/>
      <c r="BB11" s="256"/>
      <c r="BC11" s="19">
        <f t="shared" si="1"/>
        <v>0</v>
      </c>
      <c r="BD11" s="19" t="str">
        <f t="shared" si="2"/>
        <v/>
      </c>
      <c r="BE11" s="19" t="str">
        <f t="shared" si="3"/>
        <v/>
      </c>
      <c r="BG11"/>
      <c r="BH11"/>
    </row>
    <row r="12" spans="1:60">
      <c r="B12" s="358" t="str">
        <f>名簿!P9</f>
        <v/>
      </c>
      <c r="C12" s="966"/>
      <c r="D12" s="966"/>
      <c r="E12" s="1262">
        <f>名簿!E9</f>
        <v>0</v>
      </c>
      <c r="F12" s="700" t="str">
        <f>名簿!CM9</f>
        <v/>
      </c>
      <c r="G12" s="358" t="str">
        <f>名簿!Z9</f>
        <v/>
      </c>
      <c r="H12" s="358" t="str">
        <f>名簿!CM9</f>
        <v/>
      </c>
      <c r="I12" s="359" t="str">
        <f>名簿!Y9</f>
        <v/>
      </c>
      <c r="J12" s="359" t="str">
        <f>名簿!CN9</f>
        <v/>
      </c>
      <c r="K12" s="1044">
        <f>名簿!CP9</f>
        <v>0</v>
      </c>
      <c r="L12" s="1045" t="str">
        <f>名簿!CU9</f>
        <v>00</v>
      </c>
      <c r="M12" s="358" t="str">
        <f>名簿!Q9</f>
        <v/>
      </c>
      <c r="N12" s="1256">
        <f>名簿!D9</f>
        <v>0</v>
      </c>
      <c r="O12" s="363"/>
      <c r="P12" s="292" t="str">
        <f t="shared" si="4"/>
        <v/>
      </c>
      <c r="Q12" s="623" t="str">
        <f>IF(O12="","",HLOOKUP(O12,名簿!$AH$3:$CH$118,7,FALSE))</f>
        <v/>
      </c>
      <c r="R12" s="1143"/>
      <c r="S12" s="984" t="str">
        <f t="shared" si="5"/>
        <v/>
      </c>
      <c r="T12" s="985" t="str">
        <f t="shared" si="6"/>
        <v/>
      </c>
      <c r="U12" s="363"/>
      <c r="V12" s="292" t="str">
        <f t="shared" si="7"/>
        <v/>
      </c>
      <c r="W12" s="623" t="str">
        <f>IF(U12="","",HLOOKUP(U12,名簿!$AH$3:$CH$118,7,FALSE))</f>
        <v/>
      </c>
      <c r="X12" s="1145"/>
      <c r="Y12" s="984" t="str">
        <f t="shared" si="8"/>
        <v/>
      </c>
      <c r="Z12" s="985" t="str">
        <f t="shared" si="9"/>
        <v/>
      </c>
      <c r="AA12" s="706" t="str">
        <f>IF(X12="","",IF(I12=1,VLOOKUP(X12,男子種目コード!$J$2:$K$30,2,FALSE),IF(I12=2,VLOOKUP(X12,女子種目コード!$J$2:$K$28,2,FALSE))))</f>
        <v/>
      </c>
      <c r="AB12" s="956"/>
      <c r="AC12" s="972"/>
      <c r="AD12" s="358" t="str">
        <f>IF(AC12="","",IF(I12=1,VLOOKUP(AC12,男子種目コード!$J$2:$K$30,2,FALSE),IF(I12=2,VLOOKUP(AC12,女子種目コード!$J$2:$K$28,2,FALSE))))</f>
        <v/>
      </c>
      <c r="AE12" s="956"/>
      <c r="AF12" s="972"/>
      <c r="AG12" s="358" t="str">
        <f>IF(AF12="","",IF(I12=1,VLOOKUP(AF12,男子種目コード!$J$2:$K$30,2,FALSE),IF(I12=2,VLOOKUP(AF12,女子種目コード!$J$2:$K$28,2,FALSE))))</f>
        <v/>
      </c>
      <c r="AH12" s="957"/>
      <c r="AI12" s="20"/>
      <c r="AJ12" s="20"/>
      <c r="AK12" s="19"/>
      <c r="AL12" s="11" t="s">
        <v>341</v>
      </c>
      <c r="AM12" s="989" t="str">
        <f t="shared" si="10"/>
        <v/>
      </c>
      <c r="AN12" s="57" t="str">
        <f t="shared" si="11"/>
        <v/>
      </c>
      <c r="AO12" s="712" t="s">
        <v>1172</v>
      </c>
      <c r="AP12" s="1020">
        <f>COUNTIF($P$7:$P$116,12)+COUNTIF($V$7:$V$116,12)</f>
        <v>0</v>
      </c>
      <c r="AQ12">
        <v>12</v>
      </c>
      <c r="AR12" s="998" t="s">
        <v>404</v>
      </c>
      <c r="AS12" s="999" t="s">
        <v>796</v>
      </c>
      <c r="AU12" s="712" t="s">
        <v>1189</v>
      </c>
      <c r="AV12" s="573" t="s">
        <v>1191</v>
      </c>
      <c r="AX12" s="370">
        <f t="shared" si="0"/>
        <v>0</v>
      </c>
      <c r="AY12" s="256"/>
      <c r="AZ12" s="256"/>
      <c r="BA12" s="256"/>
      <c r="BB12" s="256"/>
      <c r="BC12" s="19">
        <f t="shared" si="1"/>
        <v>0</v>
      </c>
      <c r="BD12" s="19" t="str">
        <f t="shared" si="2"/>
        <v/>
      </c>
      <c r="BE12" s="19" t="str">
        <f t="shared" si="3"/>
        <v/>
      </c>
      <c r="BG12"/>
      <c r="BH12"/>
    </row>
    <row r="13" spans="1:60">
      <c r="B13" s="358" t="str">
        <f>名簿!P10</f>
        <v/>
      </c>
      <c r="C13" s="966"/>
      <c r="D13" s="966"/>
      <c r="E13" s="1262">
        <f>名簿!E10</f>
        <v>0</v>
      </c>
      <c r="F13" s="700" t="str">
        <f>名簿!CM10</f>
        <v/>
      </c>
      <c r="G13" s="358" t="str">
        <f>名簿!Z10</f>
        <v/>
      </c>
      <c r="H13" s="358" t="str">
        <f>名簿!CM10</f>
        <v/>
      </c>
      <c r="I13" s="359" t="str">
        <f>名簿!Y10</f>
        <v/>
      </c>
      <c r="J13" s="359" t="str">
        <f>名簿!CN10</f>
        <v/>
      </c>
      <c r="K13" s="1044">
        <f>名簿!CP10</f>
        <v>0</v>
      </c>
      <c r="L13" s="1045" t="str">
        <f>名簿!CU10</f>
        <v>00</v>
      </c>
      <c r="M13" s="358" t="str">
        <f>名簿!Q10</f>
        <v/>
      </c>
      <c r="N13" s="1256">
        <f>名簿!D10</f>
        <v>0</v>
      </c>
      <c r="O13" s="363"/>
      <c r="P13" s="292" t="str">
        <f t="shared" si="4"/>
        <v/>
      </c>
      <c r="Q13" s="623" t="str">
        <f>IF(O13="","",HLOOKUP(O13,名簿!$AH$3:$CH$118,8,FALSE))</f>
        <v/>
      </c>
      <c r="R13" s="1143"/>
      <c r="S13" s="984" t="str">
        <f t="shared" si="5"/>
        <v/>
      </c>
      <c r="T13" s="985" t="str">
        <f t="shared" si="6"/>
        <v/>
      </c>
      <c r="U13" s="363"/>
      <c r="V13" s="292" t="str">
        <f t="shared" si="7"/>
        <v/>
      </c>
      <c r="W13" s="623" t="str">
        <f>IF(U13="","",HLOOKUP(U13,名簿!$AH$3:$CH$118,8,FALSE))</f>
        <v/>
      </c>
      <c r="X13" s="1145"/>
      <c r="Y13" s="984" t="str">
        <f t="shared" si="8"/>
        <v/>
      </c>
      <c r="Z13" s="985" t="str">
        <f t="shared" si="9"/>
        <v/>
      </c>
      <c r="AA13" s="706" t="str">
        <f>IF(X13="","",IF(I13=1,VLOOKUP(X13,男子種目コード!$J$2:$K$30,2,FALSE),IF(I13=2,VLOOKUP(X13,女子種目コード!$J$2:$K$28,2,FALSE))))</f>
        <v/>
      </c>
      <c r="AB13" s="956"/>
      <c r="AC13" s="972"/>
      <c r="AD13" s="358" t="str">
        <f>IF(AC13="","",IF(I13=1,VLOOKUP(AC13,男子種目コード!$J$2:$K$30,2,FALSE),IF(I13=2,VLOOKUP(AC13,女子種目コード!$J$2:$K$28,2,FALSE))))</f>
        <v/>
      </c>
      <c r="AE13" s="956"/>
      <c r="AF13" s="972"/>
      <c r="AG13" s="358" t="str">
        <f>IF(AF13="","",IF(I13=1,VLOOKUP(AF13,男子種目コード!$J$2:$K$30,2,FALSE),IF(I13=2,VLOOKUP(AF13,女子種目コード!$J$2:$K$28,2,FALSE))))</f>
        <v/>
      </c>
      <c r="AH13" s="957"/>
      <c r="AI13" s="20"/>
      <c r="AJ13" s="20"/>
      <c r="AK13" s="19"/>
      <c r="AL13" s="11" t="s">
        <v>342</v>
      </c>
      <c r="AM13" s="989" t="str">
        <f t="shared" si="10"/>
        <v/>
      </c>
      <c r="AN13" s="57" t="str">
        <f t="shared" si="11"/>
        <v/>
      </c>
      <c r="AO13" s="712" t="s">
        <v>1173</v>
      </c>
      <c r="AP13" s="1020">
        <f>COUNTIF($P$7:$P$116,13)+COUNTIF($V$7:$V$116,13)</f>
        <v>0</v>
      </c>
      <c r="AQ13">
        <v>13</v>
      </c>
      <c r="AR13" s="998" t="s">
        <v>185</v>
      </c>
      <c r="AS13" s="999" t="s">
        <v>719</v>
      </c>
      <c r="AU13" s="712" t="s">
        <v>1186</v>
      </c>
      <c r="AV13" s="573" t="s">
        <v>1185</v>
      </c>
      <c r="AX13" s="370">
        <f t="shared" si="0"/>
        <v>0</v>
      </c>
      <c r="AY13" s="256"/>
      <c r="AZ13" s="256"/>
      <c r="BA13" s="256"/>
      <c r="BB13" s="256"/>
      <c r="BC13" s="19">
        <f t="shared" si="1"/>
        <v>0</v>
      </c>
      <c r="BD13" s="19" t="str">
        <f t="shared" si="2"/>
        <v/>
      </c>
      <c r="BE13" s="19" t="str">
        <f t="shared" si="3"/>
        <v/>
      </c>
      <c r="BG13"/>
      <c r="BH13"/>
    </row>
    <row r="14" spans="1:60">
      <c r="B14" s="358" t="str">
        <f>名簿!P11</f>
        <v/>
      </c>
      <c r="C14" s="966"/>
      <c r="D14" s="966"/>
      <c r="E14" s="1262">
        <f>名簿!E11</f>
        <v>0</v>
      </c>
      <c r="F14" s="700" t="str">
        <f>名簿!CM11</f>
        <v/>
      </c>
      <c r="G14" s="358" t="str">
        <f>名簿!Z11</f>
        <v/>
      </c>
      <c r="H14" s="358" t="str">
        <f>名簿!CM11</f>
        <v/>
      </c>
      <c r="I14" s="359" t="str">
        <f>名簿!Y11</f>
        <v/>
      </c>
      <c r="J14" s="359" t="str">
        <f>名簿!CN11</f>
        <v/>
      </c>
      <c r="K14" s="1044">
        <f>名簿!CP11</f>
        <v>0</v>
      </c>
      <c r="L14" s="1045" t="str">
        <f>名簿!CU11</f>
        <v>00</v>
      </c>
      <c r="M14" s="358" t="str">
        <f>名簿!Q11</f>
        <v/>
      </c>
      <c r="N14" s="1256">
        <f>名簿!D11</f>
        <v>0</v>
      </c>
      <c r="O14" s="363"/>
      <c r="P14" s="292" t="str">
        <f t="shared" si="4"/>
        <v/>
      </c>
      <c r="Q14" s="623" t="str">
        <f>IF(O14="","",HLOOKUP(O14,名簿!$AH$3:$CH$118,9,FALSE))</f>
        <v/>
      </c>
      <c r="R14" s="1143"/>
      <c r="S14" s="984" t="str">
        <f t="shared" si="5"/>
        <v/>
      </c>
      <c r="T14" s="985" t="str">
        <f t="shared" si="6"/>
        <v/>
      </c>
      <c r="U14" s="363"/>
      <c r="V14" s="292" t="str">
        <f t="shared" si="7"/>
        <v/>
      </c>
      <c r="W14" s="623" t="str">
        <f>IF(U14="","",HLOOKUP(U14,名簿!$AH$3:$CH$118,9,FALSE))</f>
        <v/>
      </c>
      <c r="X14" s="1145"/>
      <c r="Y14" s="984" t="str">
        <f t="shared" si="8"/>
        <v/>
      </c>
      <c r="Z14" s="985" t="str">
        <f t="shared" si="9"/>
        <v/>
      </c>
      <c r="AA14" s="706" t="str">
        <f>IF(X14="","",IF(I14=1,VLOOKUP(X14,男子種目コード!$J$2:$K$30,2,FALSE),IF(I14=2,VLOOKUP(X14,女子種目コード!$J$2:$K$28,2,FALSE))))</f>
        <v/>
      </c>
      <c r="AB14" s="956"/>
      <c r="AC14" s="972"/>
      <c r="AD14" s="358" t="str">
        <f>IF(AC14="","",IF(I14=1,VLOOKUP(AC14,男子種目コード!$J$2:$K$30,2,FALSE),IF(I14=2,VLOOKUP(AC14,女子種目コード!$J$2:$K$28,2,FALSE))))</f>
        <v/>
      </c>
      <c r="AE14" s="956"/>
      <c r="AF14" s="972"/>
      <c r="AG14" s="358" t="str">
        <f>IF(AF14="","",IF(I14=1,VLOOKUP(AF14,男子種目コード!$J$2:$K$30,2,FALSE),IF(I14=2,VLOOKUP(AF14,女子種目コード!$J$2:$K$28,2,FALSE))))</f>
        <v/>
      </c>
      <c r="AH14" s="957"/>
      <c r="AI14" s="20"/>
      <c r="AJ14" s="20"/>
      <c r="AK14" s="19"/>
      <c r="AL14" s="11" t="s">
        <v>343</v>
      </c>
      <c r="AM14" s="989" t="str">
        <f t="shared" si="10"/>
        <v/>
      </c>
      <c r="AN14" s="57" t="str">
        <f t="shared" si="11"/>
        <v/>
      </c>
      <c r="AO14" s="712" t="s">
        <v>1174</v>
      </c>
      <c r="AP14" s="1020">
        <f>COUNTIF($P$7:$P$116,14)+COUNTIF($V$7:$V$116,14)</f>
        <v>0</v>
      </c>
      <c r="AQ14">
        <v>14</v>
      </c>
      <c r="AR14" s="998" t="s">
        <v>183</v>
      </c>
      <c r="AS14" s="999" t="s">
        <v>836</v>
      </c>
      <c r="AU14" s="712" t="s">
        <v>1174</v>
      </c>
      <c r="AV14" s="573" t="s">
        <v>1174</v>
      </c>
      <c r="AX14" s="370">
        <f t="shared" si="0"/>
        <v>0</v>
      </c>
      <c r="AY14" s="256"/>
      <c r="AZ14" s="256"/>
      <c r="BA14" s="256"/>
      <c r="BB14" s="256"/>
      <c r="BC14" s="19">
        <f t="shared" si="1"/>
        <v>0</v>
      </c>
      <c r="BD14" s="19" t="str">
        <f t="shared" si="2"/>
        <v/>
      </c>
      <c r="BE14" s="19" t="str">
        <f t="shared" si="3"/>
        <v/>
      </c>
      <c r="BG14"/>
      <c r="BH14"/>
    </row>
    <row r="15" spans="1:60" ht="14.25" thickBot="1">
      <c r="B15" s="358" t="str">
        <f>名簿!P12</f>
        <v/>
      </c>
      <c r="C15" s="966"/>
      <c r="D15" s="966"/>
      <c r="E15" s="1262">
        <f>名簿!E12</f>
        <v>0</v>
      </c>
      <c r="F15" s="700" t="str">
        <f>名簿!CM12</f>
        <v/>
      </c>
      <c r="G15" s="358" t="str">
        <f>名簿!Z12</f>
        <v/>
      </c>
      <c r="H15" s="358" t="str">
        <f>名簿!CM12</f>
        <v/>
      </c>
      <c r="I15" s="359" t="str">
        <f>名簿!Y12</f>
        <v/>
      </c>
      <c r="J15" s="359" t="str">
        <f>名簿!CN12</f>
        <v/>
      </c>
      <c r="K15" s="1044">
        <f>名簿!CP12</f>
        <v>0</v>
      </c>
      <c r="L15" s="1045" t="str">
        <f>名簿!CU12</f>
        <v>00</v>
      </c>
      <c r="M15" s="358" t="str">
        <f>名簿!Q12</f>
        <v/>
      </c>
      <c r="N15" s="1256">
        <f>名簿!D12</f>
        <v>0</v>
      </c>
      <c r="O15" s="363"/>
      <c r="P15" s="292" t="str">
        <f t="shared" si="4"/>
        <v/>
      </c>
      <c r="Q15" s="623" t="str">
        <f>IF(O15="","",HLOOKUP(O15,名簿!$AH$3:$CH$118,10,FALSE))</f>
        <v/>
      </c>
      <c r="R15" s="1143"/>
      <c r="S15" s="984" t="str">
        <f t="shared" si="5"/>
        <v/>
      </c>
      <c r="T15" s="985" t="str">
        <f t="shared" si="6"/>
        <v/>
      </c>
      <c r="U15" s="363"/>
      <c r="V15" s="292" t="str">
        <f t="shared" si="7"/>
        <v/>
      </c>
      <c r="W15" s="623" t="str">
        <f>IF(U15="","",HLOOKUP(U15,名簿!$AH$3:$CH$118,10,FALSE))</f>
        <v/>
      </c>
      <c r="X15" s="1145"/>
      <c r="Y15" s="984" t="str">
        <f t="shared" si="8"/>
        <v/>
      </c>
      <c r="Z15" s="985" t="str">
        <f t="shared" si="9"/>
        <v/>
      </c>
      <c r="AA15" s="706" t="str">
        <f>IF(X15="","",IF(I15=1,VLOOKUP(X15,男子種目コード!$J$2:$K$30,2,FALSE),IF(I15=2,VLOOKUP(X15,女子種目コード!$J$2:$K$28,2,FALSE))))</f>
        <v/>
      </c>
      <c r="AB15" s="956"/>
      <c r="AC15" s="972"/>
      <c r="AD15" s="358" t="str">
        <f>IF(AC15="","",IF(I15=1,VLOOKUP(AC15,男子種目コード!$J$2:$K$30,2,FALSE),IF(I15=2,VLOOKUP(AC15,女子種目コード!$J$2:$K$28,2,FALSE))))</f>
        <v/>
      </c>
      <c r="AE15" s="956"/>
      <c r="AF15" s="972"/>
      <c r="AG15" s="358" t="str">
        <f>IF(AF15="","",IF(I15=1,VLOOKUP(AF15,男子種目コード!$J$2:$K$30,2,FALSE),IF(I15=2,VLOOKUP(AF15,女子種目コード!$J$2:$K$28,2,FALSE))))</f>
        <v/>
      </c>
      <c r="AH15" s="957"/>
      <c r="AI15" s="20"/>
      <c r="AJ15" s="20"/>
      <c r="AK15" s="19"/>
      <c r="AL15" s="11" t="s">
        <v>344</v>
      </c>
      <c r="AM15" s="989" t="str">
        <f t="shared" si="10"/>
        <v/>
      </c>
      <c r="AN15" s="57" t="str">
        <f t="shared" si="11"/>
        <v/>
      </c>
      <c r="AO15" s="712" t="s">
        <v>1175</v>
      </c>
      <c r="AP15" s="1020">
        <f>COUNTIF($P$7:$P$116,15)+COUNTIF($V$7:$V$116,15)</f>
        <v>0</v>
      </c>
      <c r="AQ15">
        <v>15</v>
      </c>
      <c r="AR15" s="1000" t="s">
        <v>614</v>
      </c>
      <c r="AS15" s="1001" t="s">
        <v>615</v>
      </c>
      <c r="AU15" s="712" t="s">
        <v>1175</v>
      </c>
      <c r="AV15" s="573" t="s">
        <v>1175</v>
      </c>
      <c r="AX15" s="370">
        <f t="shared" si="0"/>
        <v>0</v>
      </c>
      <c r="AY15" s="256"/>
      <c r="AZ15" s="256"/>
      <c r="BA15" s="256"/>
      <c r="BB15" s="256"/>
      <c r="BC15" s="19">
        <f t="shared" si="1"/>
        <v>0</v>
      </c>
      <c r="BD15" s="19" t="str">
        <f t="shared" si="2"/>
        <v/>
      </c>
      <c r="BE15" s="19" t="str">
        <f t="shared" si="3"/>
        <v/>
      </c>
      <c r="BG15"/>
      <c r="BH15"/>
    </row>
    <row r="16" spans="1:60" ht="14.25" thickBot="1">
      <c r="B16" s="358" t="str">
        <f>名簿!P13</f>
        <v/>
      </c>
      <c r="C16" s="966"/>
      <c r="D16" s="966"/>
      <c r="E16" s="1262">
        <f>名簿!E13</f>
        <v>0</v>
      </c>
      <c r="F16" s="700" t="str">
        <f>名簿!CM13</f>
        <v/>
      </c>
      <c r="G16" s="358" t="str">
        <f>名簿!Z13</f>
        <v/>
      </c>
      <c r="H16" s="358" t="str">
        <f>名簿!CM13</f>
        <v/>
      </c>
      <c r="I16" s="359" t="str">
        <f>名簿!Y13</f>
        <v/>
      </c>
      <c r="J16" s="359" t="str">
        <f>名簿!CN13</f>
        <v/>
      </c>
      <c r="K16" s="1044">
        <f>名簿!CP13</f>
        <v>0</v>
      </c>
      <c r="L16" s="1045" t="str">
        <f>名簿!CU13</f>
        <v>00</v>
      </c>
      <c r="M16" s="358" t="str">
        <f>名簿!Q13</f>
        <v/>
      </c>
      <c r="N16" s="1256">
        <f>名簿!D13</f>
        <v>0</v>
      </c>
      <c r="O16" s="363"/>
      <c r="P16" s="292" t="str">
        <f t="shared" si="4"/>
        <v/>
      </c>
      <c r="Q16" s="623" t="str">
        <f>IF(O16="","",HLOOKUP(O16,名簿!$AH$3:$CH$118,11,FALSE))</f>
        <v/>
      </c>
      <c r="R16" s="1143"/>
      <c r="S16" s="984" t="str">
        <f t="shared" si="5"/>
        <v/>
      </c>
      <c r="T16" s="985" t="str">
        <f t="shared" si="6"/>
        <v/>
      </c>
      <c r="U16" s="363"/>
      <c r="V16" s="292" t="str">
        <f t="shared" si="7"/>
        <v/>
      </c>
      <c r="W16" s="623" t="str">
        <f>IF(U16="","",HLOOKUP(U16,名簿!$AH$3:$CH$118,11,FALSE))</f>
        <v/>
      </c>
      <c r="X16" s="1145"/>
      <c r="Y16" s="984" t="str">
        <f t="shared" si="8"/>
        <v/>
      </c>
      <c r="Z16" s="985" t="str">
        <f t="shared" si="9"/>
        <v/>
      </c>
      <c r="AA16" s="706" t="str">
        <f>IF(X16="","",IF(I16=1,VLOOKUP(X16,男子種目コード!$J$2:$K$30,2,FALSE),IF(I16=2,VLOOKUP(X16,女子種目コード!$J$2:$K$28,2,FALSE))))</f>
        <v/>
      </c>
      <c r="AB16" s="956"/>
      <c r="AC16" s="972"/>
      <c r="AD16" s="358" t="str">
        <f>IF(AC16="","",IF(I16=1,VLOOKUP(AC16,男子種目コード!$J$2:$K$30,2,FALSE),IF(I16=2,VLOOKUP(AC16,女子種目コード!$J$2:$K$28,2,FALSE))))</f>
        <v/>
      </c>
      <c r="AE16" s="956"/>
      <c r="AF16" s="972"/>
      <c r="AG16" s="358" t="str">
        <f>IF(AF16="","",IF(I16=1,VLOOKUP(AF16,男子種目コード!$J$2:$K$30,2,FALSE),IF(I16=2,VLOOKUP(AF16,女子種目コード!$J$2:$K$28,2,FALSE))))</f>
        <v/>
      </c>
      <c r="AH16" s="957"/>
      <c r="AI16" s="20"/>
      <c r="AJ16" s="20"/>
      <c r="AK16" s="19"/>
      <c r="AL16" s="11" t="s">
        <v>345</v>
      </c>
      <c r="AM16" s="989" t="str">
        <f t="shared" si="10"/>
        <v/>
      </c>
      <c r="AN16" s="57" t="str">
        <f t="shared" si="11"/>
        <v/>
      </c>
      <c r="AO16" s="712" t="s">
        <v>1176</v>
      </c>
      <c r="AP16" s="1020">
        <f>COUNTIF($P$7:$P$116,16)+COUNTIF($V$7:$V$116,16)</f>
        <v>0</v>
      </c>
      <c r="AQ16">
        <v>16</v>
      </c>
      <c r="AR16" s="1485" t="s">
        <v>409</v>
      </c>
      <c r="AS16" s="1486"/>
      <c r="AU16" s="712" t="s">
        <v>1176</v>
      </c>
      <c r="AV16" s="573" t="s">
        <v>1183</v>
      </c>
      <c r="AX16" s="370">
        <f t="shared" si="0"/>
        <v>0</v>
      </c>
      <c r="AY16" s="256"/>
      <c r="AZ16" s="256"/>
      <c r="BA16" s="256"/>
      <c r="BB16" s="256"/>
      <c r="BC16" s="19">
        <f t="shared" si="1"/>
        <v>0</v>
      </c>
      <c r="BD16" s="19" t="str">
        <f t="shared" si="2"/>
        <v/>
      </c>
      <c r="BE16" s="19" t="str">
        <f t="shared" si="3"/>
        <v/>
      </c>
      <c r="BG16"/>
      <c r="BH16"/>
    </row>
    <row r="17" spans="2:60">
      <c r="B17" s="358" t="str">
        <f>名簿!P14</f>
        <v/>
      </c>
      <c r="C17" s="966"/>
      <c r="D17" s="966"/>
      <c r="E17" s="1262">
        <f>名簿!E14</f>
        <v>0</v>
      </c>
      <c r="F17" s="700" t="str">
        <f>名簿!CM14</f>
        <v/>
      </c>
      <c r="G17" s="358" t="str">
        <f>名簿!Z14</f>
        <v/>
      </c>
      <c r="H17" s="358" t="str">
        <f>名簿!CM14</f>
        <v/>
      </c>
      <c r="I17" s="359" t="str">
        <f>名簿!Y14</f>
        <v/>
      </c>
      <c r="J17" s="359" t="str">
        <f>名簿!CN14</f>
        <v/>
      </c>
      <c r="K17" s="1044">
        <f>名簿!CP14</f>
        <v>0</v>
      </c>
      <c r="L17" s="1045" t="str">
        <f>名簿!CU14</f>
        <v>00</v>
      </c>
      <c r="M17" s="358" t="str">
        <f>名簿!Q14</f>
        <v/>
      </c>
      <c r="N17" s="1256">
        <f>名簿!D14</f>
        <v>0</v>
      </c>
      <c r="O17" s="363"/>
      <c r="P17" s="292" t="str">
        <f t="shared" si="4"/>
        <v/>
      </c>
      <c r="Q17" s="623" t="str">
        <f>IF(O17="","",HLOOKUP(O17,名簿!$AH$3:$CH$118,12,FALSE))</f>
        <v/>
      </c>
      <c r="R17" s="1143"/>
      <c r="S17" s="984" t="str">
        <f t="shared" si="5"/>
        <v/>
      </c>
      <c r="T17" s="985" t="str">
        <f t="shared" si="6"/>
        <v/>
      </c>
      <c r="U17" s="363"/>
      <c r="V17" s="292" t="str">
        <f t="shared" si="7"/>
        <v/>
      </c>
      <c r="W17" s="623" t="str">
        <f>IF(U17="","",HLOOKUP(U17,名簿!$AH$3:$CH$118,12,FALSE))</f>
        <v/>
      </c>
      <c r="X17" s="1145"/>
      <c r="Y17" s="984" t="str">
        <f t="shared" si="8"/>
        <v/>
      </c>
      <c r="Z17" s="985" t="str">
        <f t="shared" si="9"/>
        <v/>
      </c>
      <c r="AA17" s="706" t="str">
        <f>IF(X17="","",IF(I17=1,VLOOKUP(X17,男子種目コード!$J$2:$K$30,2,FALSE),IF(I17=2,VLOOKUP(X17,女子種目コード!$J$2:$K$28,2,FALSE))))</f>
        <v/>
      </c>
      <c r="AB17" s="956"/>
      <c r="AC17" s="972"/>
      <c r="AD17" s="358" t="str">
        <f>IF(AC17="","",IF(I17=1,VLOOKUP(AC17,男子種目コード!$J$2:$K$30,2,FALSE),IF(I17=2,VLOOKUP(AC17,女子種目コード!$J$2:$K$28,2,FALSE))))</f>
        <v/>
      </c>
      <c r="AE17" s="956"/>
      <c r="AF17" s="972"/>
      <c r="AG17" s="358" t="str">
        <f>IF(AF17="","",IF(I17=1,VLOOKUP(AF17,男子種目コード!$J$2:$K$30,2,FALSE),IF(I17=2,VLOOKUP(AF17,女子種目コード!$J$2:$K$28,2,FALSE))))</f>
        <v/>
      </c>
      <c r="AH17" s="957"/>
      <c r="AI17" s="20"/>
      <c r="AJ17" s="20"/>
      <c r="AK17" s="19"/>
      <c r="AL17" s="11" t="s">
        <v>355</v>
      </c>
      <c r="AM17" s="989" t="str">
        <f t="shared" si="10"/>
        <v/>
      </c>
      <c r="AN17" s="57" t="str">
        <f t="shared" si="11"/>
        <v/>
      </c>
      <c r="AO17" s="712" t="s">
        <v>1177</v>
      </c>
      <c r="AP17" s="1020">
        <f>COUNTIF($P$7:$P$116,17)+COUNTIF($V$7:$V$116,17)</f>
        <v>0</v>
      </c>
      <c r="AQ17">
        <v>17</v>
      </c>
      <c r="AR17" s="996">
        <v>100</v>
      </c>
      <c r="AS17" s="997" t="s">
        <v>1199</v>
      </c>
      <c r="AU17" s="712" t="s">
        <v>1177</v>
      </c>
      <c r="AV17" s="573" t="s">
        <v>1177</v>
      </c>
      <c r="AX17" s="370">
        <f t="shared" si="0"/>
        <v>0</v>
      </c>
      <c r="AY17" s="256"/>
      <c r="AZ17" s="256"/>
      <c r="BA17" s="256"/>
      <c r="BB17" s="256"/>
      <c r="BC17" s="19">
        <f t="shared" si="1"/>
        <v>0</v>
      </c>
      <c r="BD17" s="19" t="str">
        <f t="shared" si="2"/>
        <v/>
      </c>
      <c r="BE17" s="19" t="str">
        <f t="shared" si="3"/>
        <v/>
      </c>
      <c r="BG17"/>
      <c r="BH17"/>
    </row>
    <row r="18" spans="2:60">
      <c r="B18" s="358" t="str">
        <f>名簿!P15</f>
        <v/>
      </c>
      <c r="C18" s="966"/>
      <c r="D18" s="966"/>
      <c r="E18" s="1262">
        <f>名簿!E15</f>
        <v>0</v>
      </c>
      <c r="F18" s="700" t="str">
        <f>名簿!CM15</f>
        <v/>
      </c>
      <c r="G18" s="358" t="str">
        <f>名簿!Z15</f>
        <v/>
      </c>
      <c r="H18" s="358" t="str">
        <f>名簿!CM15</f>
        <v/>
      </c>
      <c r="I18" s="359" t="str">
        <f>名簿!Y15</f>
        <v/>
      </c>
      <c r="J18" s="359" t="str">
        <f>名簿!CN15</f>
        <v/>
      </c>
      <c r="K18" s="1044">
        <f>名簿!CP15</f>
        <v>0</v>
      </c>
      <c r="L18" s="1045" t="str">
        <f>名簿!CU15</f>
        <v>00</v>
      </c>
      <c r="M18" s="358" t="str">
        <f>名簿!Q15</f>
        <v/>
      </c>
      <c r="N18" s="1256">
        <f>名簿!D15</f>
        <v>0</v>
      </c>
      <c r="O18" s="363"/>
      <c r="P18" s="292" t="str">
        <f t="shared" si="4"/>
        <v/>
      </c>
      <c r="Q18" s="623" t="str">
        <f>IF(O18="","",HLOOKUP(O18,名簿!$AH$3:$CH$118,13,FALSE))</f>
        <v/>
      </c>
      <c r="R18" s="1143"/>
      <c r="S18" s="984" t="str">
        <f t="shared" si="5"/>
        <v/>
      </c>
      <c r="T18" s="985" t="str">
        <f t="shared" si="6"/>
        <v/>
      </c>
      <c r="U18" s="363"/>
      <c r="V18" s="292" t="str">
        <f t="shared" si="7"/>
        <v/>
      </c>
      <c r="W18" s="623" t="str">
        <f>IF(U18="","",HLOOKUP(U18,名簿!$AH$3:$CH$118,13,FALSE))</f>
        <v/>
      </c>
      <c r="X18" s="1145"/>
      <c r="Y18" s="984" t="str">
        <f t="shared" si="8"/>
        <v/>
      </c>
      <c r="Z18" s="985" t="str">
        <f t="shared" si="9"/>
        <v/>
      </c>
      <c r="AA18" s="706" t="str">
        <f>IF(X18="","",IF(I18=1,VLOOKUP(X18,男子種目コード!$J$2:$K$30,2,FALSE),IF(I18=2,VLOOKUP(X18,女子種目コード!$J$2:$K$28,2,FALSE))))</f>
        <v/>
      </c>
      <c r="AB18" s="956"/>
      <c r="AC18" s="972"/>
      <c r="AD18" s="358" t="str">
        <f>IF(AC18="","",IF(I18=1,VLOOKUP(AC18,男子種目コード!$J$2:$K$30,2,FALSE),IF(I18=2,VLOOKUP(AC18,女子種目コード!$J$2:$K$28,2,FALSE))))</f>
        <v/>
      </c>
      <c r="AE18" s="956"/>
      <c r="AF18" s="972"/>
      <c r="AG18" s="358" t="str">
        <f>IF(AF18="","",IF(I18=1,VLOOKUP(AF18,男子種目コード!$J$2:$K$30,2,FALSE),IF(I18=2,VLOOKUP(AF18,女子種目コード!$J$2:$K$28,2,FALSE))))</f>
        <v/>
      </c>
      <c r="AH18" s="957"/>
      <c r="AI18" s="20"/>
      <c r="AJ18" s="20"/>
      <c r="AK18" s="19"/>
      <c r="AL18" s="11" t="s">
        <v>346</v>
      </c>
      <c r="AM18" s="989" t="str">
        <f t="shared" si="10"/>
        <v/>
      </c>
      <c r="AN18" s="57" t="str">
        <f t="shared" si="11"/>
        <v/>
      </c>
      <c r="AO18" s="712" t="s">
        <v>1181</v>
      </c>
      <c r="AP18" s="1020">
        <f>COUNTIF($P$7:$P$116,25)+COUNTIF($V$7:$V$116,25)</f>
        <v>0</v>
      </c>
      <c r="AQ18">
        <v>25</v>
      </c>
      <c r="AR18" s="998">
        <v>1500</v>
      </c>
      <c r="AS18" s="999" t="s">
        <v>797</v>
      </c>
      <c r="AU18" s="712" t="s">
        <v>1181</v>
      </c>
      <c r="AV18" s="573" t="s">
        <v>1181</v>
      </c>
      <c r="AX18" s="370">
        <f t="shared" si="0"/>
        <v>0</v>
      </c>
      <c r="AY18" s="256"/>
      <c r="AZ18" s="256"/>
      <c r="BA18" s="256"/>
      <c r="BB18" s="256"/>
      <c r="BC18" s="19">
        <f t="shared" si="1"/>
        <v>0</v>
      </c>
      <c r="BD18" s="19" t="str">
        <f t="shared" si="2"/>
        <v/>
      </c>
      <c r="BE18" s="19" t="str">
        <f t="shared" si="3"/>
        <v/>
      </c>
      <c r="BG18"/>
      <c r="BH18"/>
    </row>
    <row r="19" spans="2:60">
      <c r="B19" s="358" t="str">
        <f>名簿!P16</f>
        <v/>
      </c>
      <c r="C19" s="966"/>
      <c r="D19" s="966"/>
      <c r="E19" s="1262">
        <f>名簿!E16</f>
        <v>0</v>
      </c>
      <c r="F19" s="700" t="str">
        <f>名簿!CM16</f>
        <v/>
      </c>
      <c r="G19" s="358" t="str">
        <f>名簿!Z16</f>
        <v/>
      </c>
      <c r="H19" s="358" t="str">
        <f>名簿!CM16</f>
        <v/>
      </c>
      <c r="I19" s="359" t="str">
        <f>名簿!Y16</f>
        <v/>
      </c>
      <c r="J19" s="359" t="str">
        <f>名簿!CN16</f>
        <v/>
      </c>
      <c r="K19" s="1044">
        <f>名簿!CP16</f>
        <v>0</v>
      </c>
      <c r="L19" s="1045" t="str">
        <f>名簿!CU16</f>
        <v>00</v>
      </c>
      <c r="M19" s="358" t="str">
        <f>名簿!Q16</f>
        <v/>
      </c>
      <c r="N19" s="1256">
        <f>名簿!D16</f>
        <v>0</v>
      </c>
      <c r="O19" s="363"/>
      <c r="P19" s="292" t="str">
        <f t="shared" si="4"/>
        <v/>
      </c>
      <c r="Q19" s="623" t="str">
        <f>IF(O19="","",HLOOKUP(O19,名簿!$AH$3:$CH$118,14,FALSE))</f>
        <v/>
      </c>
      <c r="R19" s="1143"/>
      <c r="S19" s="984" t="str">
        <f t="shared" si="5"/>
        <v/>
      </c>
      <c r="T19" s="985" t="str">
        <f t="shared" si="6"/>
        <v/>
      </c>
      <c r="U19" s="363"/>
      <c r="V19" s="292" t="str">
        <f t="shared" si="7"/>
        <v/>
      </c>
      <c r="W19" s="623" t="str">
        <f>IF(U19="","",HLOOKUP(U19,名簿!$AH$3:$CH$118,14,FALSE))</f>
        <v/>
      </c>
      <c r="X19" s="1145"/>
      <c r="Y19" s="984" t="str">
        <f t="shared" si="8"/>
        <v/>
      </c>
      <c r="Z19" s="985" t="str">
        <f t="shared" si="9"/>
        <v/>
      </c>
      <c r="AA19" s="706" t="str">
        <f>IF(X19="","",IF(I19=1,VLOOKUP(X19,男子種目コード!$J$2:$K$30,2,FALSE),IF(I19=2,VLOOKUP(X19,女子種目コード!$J$2:$K$28,2,FALSE))))</f>
        <v/>
      </c>
      <c r="AB19" s="956"/>
      <c r="AC19" s="972"/>
      <c r="AD19" s="358" t="str">
        <f>IF(AC19="","",IF(I19=1,VLOOKUP(AC19,男子種目コード!$J$2:$K$30,2,FALSE),IF(I19=2,VLOOKUP(AC19,女子種目コード!$J$2:$K$28,2,FALSE))))</f>
        <v/>
      </c>
      <c r="AE19" s="956"/>
      <c r="AF19" s="972"/>
      <c r="AG19" s="358" t="str">
        <f>IF(AF19="","",IF(I19=1,VLOOKUP(AF19,男子種目コード!$J$2:$K$30,2,FALSE),IF(I19=2,VLOOKUP(AF19,女子種目コード!$J$2:$K$28,2,FALSE))))</f>
        <v/>
      </c>
      <c r="AH19" s="957"/>
      <c r="AI19" s="20"/>
      <c r="AJ19" s="20"/>
      <c r="AK19" s="19"/>
      <c r="AL19" s="79" t="s">
        <v>219</v>
      </c>
      <c r="AM19" s="989" t="str">
        <f t="shared" si="10"/>
        <v/>
      </c>
      <c r="AN19" s="57" t="str">
        <f t="shared" si="11"/>
        <v/>
      </c>
      <c r="AO19" s="712" t="s">
        <v>1178</v>
      </c>
      <c r="AP19" s="1020">
        <f>COUNTIF($P$7:$P$116,18)+COUNTIF($V$7:$V$116,18)</f>
        <v>0</v>
      </c>
      <c r="AQ19">
        <v>18</v>
      </c>
      <c r="AR19" s="998" t="s">
        <v>619</v>
      </c>
      <c r="AS19" s="999" t="s">
        <v>1200</v>
      </c>
      <c r="AU19" s="712" t="s">
        <v>1189</v>
      </c>
      <c r="AV19" s="573" t="s">
        <v>1191</v>
      </c>
      <c r="AX19" s="370">
        <f t="shared" si="0"/>
        <v>0</v>
      </c>
      <c r="AY19" s="256"/>
      <c r="AZ19" s="256"/>
      <c r="BA19" s="256"/>
      <c r="BB19" s="256"/>
      <c r="BC19" s="19">
        <f t="shared" si="1"/>
        <v>0</v>
      </c>
      <c r="BD19" s="19" t="str">
        <f t="shared" si="2"/>
        <v/>
      </c>
      <c r="BE19" s="19" t="str">
        <f t="shared" si="3"/>
        <v/>
      </c>
      <c r="BG19"/>
      <c r="BH19"/>
    </row>
    <row r="20" spans="2:60">
      <c r="B20" s="358" t="str">
        <f>名簿!P17</f>
        <v/>
      </c>
      <c r="C20" s="966"/>
      <c r="D20" s="966"/>
      <c r="E20" s="1262">
        <f>名簿!E17</f>
        <v>0</v>
      </c>
      <c r="F20" s="700" t="str">
        <f>名簿!CM17</f>
        <v/>
      </c>
      <c r="G20" s="358" t="str">
        <f>名簿!Z17</f>
        <v/>
      </c>
      <c r="H20" s="358" t="str">
        <f>名簿!CM17</f>
        <v/>
      </c>
      <c r="I20" s="359" t="str">
        <f>名簿!Y17</f>
        <v/>
      </c>
      <c r="J20" s="359" t="str">
        <f>名簿!CN17</f>
        <v/>
      </c>
      <c r="K20" s="1044">
        <f>名簿!CP17</f>
        <v>0</v>
      </c>
      <c r="L20" s="1045" t="str">
        <f>名簿!CU17</f>
        <v>00</v>
      </c>
      <c r="M20" s="358" t="str">
        <f>名簿!Q17</f>
        <v/>
      </c>
      <c r="N20" s="1256">
        <f>名簿!D17</f>
        <v>0</v>
      </c>
      <c r="O20" s="363"/>
      <c r="P20" s="292" t="str">
        <f t="shared" si="4"/>
        <v/>
      </c>
      <c r="Q20" s="623" t="str">
        <f>IF(O20="","",HLOOKUP(O20,名簿!$AH$3:$CH$118,15,FALSE))</f>
        <v/>
      </c>
      <c r="R20" s="1143"/>
      <c r="S20" s="984" t="str">
        <f t="shared" si="5"/>
        <v/>
      </c>
      <c r="T20" s="985" t="str">
        <f t="shared" si="6"/>
        <v/>
      </c>
      <c r="U20" s="363"/>
      <c r="V20" s="292" t="str">
        <f t="shared" si="7"/>
        <v/>
      </c>
      <c r="W20" s="623" t="str">
        <f>IF(U20="","",HLOOKUP(U20,名簿!$AH$3:$CH$118,15,FALSE))</f>
        <v/>
      </c>
      <c r="X20" s="1145"/>
      <c r="Y20" s="984" t="str">
        <f t="shared" si="8"/>
        <v/>
      </c>
      <c r="Z20" s="985" t="str">
        <f t="shared" si="9"/>
        <v/>
      </c>
      <c r="AA20" s="706" t="str">
        <f>IF(X20="","",IF(I20=1,VLOOKUP(X20,男子種目コード!$J$2:$K$30,2,FALSE),IF(I20=2,VLOOKUP(X20,女子種目コード!$J$2:$K$28,2,FALSE))))</f>
        <v/>
      </c>
      <c r="AB20" s="956"/>
      <c r="AC20" s="972"/>
      <c r="AD20" s="358" t="str">
        <f>IF(AC20="","",IF(I20=1,VLOOKUP(AC20,男子種目コード!$J$2:$K$30,2,FALSE),IF(I20=2,VLOOKUP(AC20,女子種目コード!$J$2:$K$28,2,FALSE))))</f>
        <v/>
      </c>
      <c r="AE20" s="956"/>
      <c r="AF20" s="972"/>
      <c r="AG20" s="358" t="str">
        <f>IF(AF20="","",IF(I20=1,VLOOKUP(AF20,男子種目コード!$J$2:$K$30,2,FALSE),IF(I20=2,VLOOKUP(AF20,女子種目コード!$J$2:$K$28,2,FALSE))))</f>
        <v/>
      </c>
      <c r="AH20" s="957"/>
      <c r="AI20" s="20"/>
      <c r="AJ20" s="20"/>
      <c r="AK20" s="19"/>
      <c r="AL20" s="11" t="s">
        <v>347</v>
      </c>
      <c r="AM20" s="989" t="str">
        <f t="shared" si="10"/>
        <v/>
      </c>
      <c r="AN20" s="57" t="str">
        <f t="shared" si="11"/>
        <v/>
      </c>
      <c r="AO20" s="712" t="s">
        <v>1180</v>
      </c>
      <c r="AP20" s="1020">
        <f>COUNTIF($P$7:$P$116,24)+COUNTIF($V$7:$V$116,24)</f>
        <v>0</v>
      </c>
      <c r="AQ20">
        <v>24</v>
      </c>
      <c r="AR20" s="998" t="s">
        <v>180</v>
      </c>
      <c r="AS20" s="999" t="s">
        <v>835</v>
      </c>
      <c r="AU20" s="712" t="s">
        <v>1186</v>
      </c>
      <c r="AV20" s="573" t="s">
        <v>1185</v>
      </c>
      <c r="AX20" s="370">
        <f t="shared" si="0"/>
        <v>0</v>
      </c>
      <c r="AY20" s="256"/>
      <c r="AZ20" s="256"/>
      <c r="BA20" s="256"/>
      <c r="BB20" s="256"/>
      <c r="BC20" s="19">
        <f t="shared" si="1"/>
        <v>0</v>
      </c>
      <c r="BD20" s="19" t="str">
        <f t="shared" si="2"/>
        <v/>
      </c>
      <c r="BE20" s="19" t="str">
        <f t="shared" si="3"/>
        <v/>
      </c>
      <c r="BG20"/>
      <c r="BH20"/>
    </row>
    <row r="21" spans="2:60">
      <c r="B21" s="358" t="str">
        <f>名簿!P18</f>
        <v/>
      </c>
      <c r="C21" s="966"/>
      <c r="D21" s="966"/>
      <c r="E21" s="1262">
        <f>名簿!E18</f>
        <v>0</v>
      </c>
      <c r="F21" s="700" t="str">
        <f>名簿!CM18</f>
        <v/>
      </c>
      <c r="G21" s="358" t="str">
        <f>名簿!Z18</f>
        <v/>
      </c>
      <c r="H21" s="358" t="str">
        <f>名簿!CM18</f>
        <v/>
      </c>
      <c r="I21" s="359" t="str">
        <f>名簿!Y18</f>
        <v/>
      </c>
      <c r="J21" s="359" t="str">
        <f>名簿!CN18</f>
        <v/>
      </c>
      <c r="K21" s="1044">
        <f>名簿!CP18</f>
        <v>0</v>
      </c>
      <c r="L21" s="1045" t="str">
        <f>名簿!CU18</f>
        <v>00</v>
      </c>
      <c r="M21" s="358" t="str">
        <f>名簿!Q18</f>
        <v/>
      </c>
      <c r="N21" s="1256">
        <f>名簿!D18</f>
        <v>0</v>
      </c>
      <c r="O21" s="363"/>
      <c r="P21" s="292" t="str">
        <f t="shared" si="4"/>
        <v/>
      </c>
      <c r="Q21" s="623" t="str">
        <f>IF(O21="","",HLOOKUP(O21,名簿!$AH$3:$CH$118,16,FALSE))</f>
        <v/>
      </c>
      <c r="R21" s="1143"/>
      <c r="S21" s="984" t="str">
        <f t="shared" si="5"/>
        <v/>
      </c>
      <c r="T21" s="985" t="str">
        <f t="shared" si="6"/>
        <v/>
      </c>
      <c r="U21" s="363"/>
      <c r="V21" s="292" t="str">
        <f t="shared" si="7"/>
        <v/>
      </c>
      <c r="W21" s="623" t="str">
        <f>IF(U21="","",HLOOKUP(U21,名簿!$AH$3:$CH$118,16,FALSE))</f>
        <v/>
      </c>
      <c r="X21" s="1145"/>
      <c r="Y21" s="984" t="str">
        <f t="shared" si="8"/>
        <v/>
      </c>
      <c r="Z21" s="985" t="str">
        <f t="shared" si="9"/>
        <v/>
      </c>
      <c r="AA21" s="706" t="str">
        <f>IF(X21="","",IF(I21=1,VLOOKUP(X21,男子種目コード!$J$2:$K$30,2,FALSE),IF(I21=2,VLOOKUP(X21,女子種目コード!$J$2:$K$28,2,FALSE))))</f>
        <v/>
      </c>
      <c r="AB21" s="956"/>
      <c r="AC21" s="972"/>
      <c r="AD21" s="358" t="str">
        <f>IF(AC21="","",IF(I21=1,VLOOKUP(AC21,男子種目コード!$J$2:$K$30,2,FALSE),IF(I21=2,VLOOKUP(AC21,女子種目コード!$J$2:$K$28,2,FALSE))))</f>
        <v/>
      </c>
      <c r="AE21" s="956"/>
      <c r="AF21" s="972"/>
      <c r="AG21" s="358" t="str">
        <f>IF(AF21="","",IF(I21=1,VLOOKUP(AF21,男子種目コード!$J$2:$K$30,2,FALSE),IF(I21=2,VLOOKUP(AF21,女子種目コード!$J$2:$K$28,2,FALSE))))</f>
        <v/>
      </c>
      <c r="AH21" s="957"/>
      <c r="AI21" s="20"/>
      <c r="AJ21" s="20"/>
      <c r="AK21" s="19"/>
      <c r="AL21" s="79" t="s">
        <v>220</v>
      </c>
      <c r="AM21" s="989" t="str">
        <f t="shared" si="10"/>
        <v/>
      </c>
      <c r="AN21" s="57" t="str">
        <f t="shared" si="11"/>
        <v/>
      </c>
      <c r="AO21" s="712" t="s">
        <v>1179</v>
      </c>
      <c r="AP21" s="1020">
        <f>COUNTIF($P$7:$P$116,20)+COUNTIF($V$7:$V$116,20)</f>
        <v>0</v>
      </c>
      <c r="AQ21">
        <v>20</v>
      </c>
      <c r="AR21" s="1491" t="s">
        <v>185</v>
      </c>
      <c r="AS21" s="999" t="s">
        <v>1201</v>
      </c>
      <c r="AU21" s="712" t="s">
        <v>1178</v>
      </c>
      <c r="AV21" s="573" t="s">
        <v>1178</v>
      </c>
      <c r="AX21" s="370">
        <f t="shared" si="0"/>
        <v>0</v>
      </c>
      <c r="AY21" s="256"/>
      <c r="AZ21" s="256"/>
      <c r="BA21" s="256"/>
      <c r="BB21" s="256"/>
      <c r="BC21" s="19">
        <f t="shared" si="1"/>
        <v>0</v>
      </c>
      <c r="BD21" s="19" t="str">
        <f t="shared" si="2"/>
        <v/>
      </c>
      <c r="BE21" s="19" t="str">
        <f t="shared" si="3"/>
        <v/>
      </c>
      <c r="BG21"/>
      <c r="BH21"/>
    </row>
    <row r="22" spans="2:60">
      <c r="B22" s="358" t="str">
        <f>名簿!P19</f>
        <v/>
      </c>
      <c r="C22" s="966"/>
      <c r="D22" s="966"/>
      <c r="E22" s="1262">
        <f>名簿!E19</f>
        <v>0</v>
      </c>
      <c r="F22" s="700" t="str">
        <f>名簿!CM19</f>
        <v/>
      </c>
      <c r="G22" s="358" t="str">
        <f>名簿!Z19</f>
        <v/>
      </c>
      <c r="H22" s="358" t="str">
        <f>名簿!CM19</f>
        <v/>
      </c>
      <c r="I22" s="359" t="str">
        <f>名簿!Y19</f>
        <v/>
      </c>
      <c r="J22" s="359" t="str">
        <f>名簿!CN19</f>
        <v/>
      </c>
      <c r="K22" s="1044">
        <f>名簿!CP19</f>
        <v>0</v>
      </c>
      <c r="L22" s="1045" t="str">
        <f>名簿!CU19</f>
        <v>00</v>
      </c>
      <c r="M22" s="358" t="str">
        <f>名簿!Q19</f>
        <v/>
      </c>
      <c r="N22" s="1256">
        <f>名簿!D19</f>
        <v>0</v>
      </c>
      <c r="O22" s="363"/>
      <c r="P22" s="292" t="str">
        <f t="shared" si="4"/>
        <v/>
      </c>
      <c r="Q22" s="623" t="str">
        <f>IF(O22="","",HLOOKUP(O22,名簿!$AH$3:$CH$118,17,FALSE))</f>
        <v/>
      </c>
      <c r="R22" s="1143"/>
      <c r="S22" s="984" t="str">
        <f t="shared" si="5"/>
        <v/>
      </c>
      <c r="T22" s="985" t="str">
        <f t="shared" si="6"/>
        <v/>
      </c>
      <c r="U22" s="363"/>
      <c r="V22" s="292" t="str">
        <f t="shared" si="7"/>
        <v/>
      </c>
      <c r="W22" s="623" t="str">
        <f>IF(U22="","",HLOOKUP(U22,名簿!$AH$3:$CH$118,17,FALSE))</f>
        <v/>
      </c>
      <c r="X22" s="1145"/>
      <c r="Y22" s="984" t="str">
        <f t="shared" si="8"/>
        <v/>
      </c>
      <c r="Z22" s="985" t="str">
        <f t="shared" si="9"/>
        <v/>
      </c>
      <c r="AA22" s="706" t="str">
        <f>IF(X22="","",IF(I22=1,VLOOKUP(X22,男子種目コード!$J$2:$K$30,2,FALSE),IF(I22=2,VLOOKUP(X22,女子種目コード!$J$2:$K$28,2,FALSE))))</f>
        <v/>
      </c>
      <c r="AB22" s="956"/>
      <c r="AC22" s="972"/>
      <c r="AD22" s="358" t="str">
        <f>IF(AC22="","",IF(I22=1,VLOOKUP(AC22,男子種目コード!$J$2:$K$30,2,FALSE),IF(I22=2,VLOOKUP(AC22,女子種目コード!$J$2:$K$28,2,FALSE))))</f>
        <v/>
      </c>
      <c r="AE22" s="956"/>
      <c r="AF22" s="972"/>
      <c r="AG22" s="358" t="str">
        <f>IF(AF22="","",IF(I22=1,VLOOKUP(AF22,男子種目コード!$J$2:$K$30,2,FALSE),IF(I22=2,VLOOKUP(AF22,女子種目コード!$J$2:$K$28,2,FALSE))))</f>
        <v/>
      </c>
      <c r="AH22" s="957"/>
      <c r="AI22" s="20"/>
      <c r="AJ22" s="20"/>
      <c r="AK22" s="19"/>
      <c r="AL22" s="11" t="s">
        <v>348</v>
      </c>
      <c r="AM22" s="989" t="str">
        <f t="shared" si="10"/>
        <v/>
      </c>
      <c r="AN22" s="57" t="str">
        <f t="shared" si="11"/>
        <v/>
      </c>
      <c r="AO22" s="712" t="s">
        <v>1189</v>
      </c>
      <c r="AP22" s="1020">
        <f>COUNTIF($P$7:$P$116,22)+COUNTIF($V$7:$V$116,22)</f>
        <v>0</v>
      </c>
      <c r="AQ22">
        <v>22</v>
      </c>
      <c r="AR22" s="1492"/>
      <c r="AS22" s="999" t="s">
        <v>1202</v>
      </c>
      <c r="AU22" s="712" t="s">
        <v>1180</v>
      </c>
      <c r="AV22" s="573" t="s">
        <v>1184</v>
      </c>
      <c r="AX22" s="370">
        <f t="shared" si="0"/>
        <v>0</v>
      </c>
      <c r="AY22" s="256"/>
      <c r="AZ22" s="256"/>
      <c r="BA22" s="256"/>
      <c r="BB22" s="256"/>
      <c r="BC22" s="19">
        <f t="shared" si="1"/>
        <v>0</v>
      </c>
      <c r="BD22" s="19" t="str">
        <f t="shared" si="2"/>
        <v/>
      </c>
      <c r="BE22" s="19" t="str">
        <f t="shared" si="3"/>
        <v/>
      </c>
      <c r="BG22"/>
      <c r="BH22"/>
    </row>
    <row r="23" spans="2:60">
      <c r="B23" s="358" t="str">
        <f>名簿!P20</f>
        <v/>
      </c>
      <c r="C23" s="966"/>
      <c r="D23" s="966"/>
      <c r="E23" s="1262">
        <f>名簿!E20</f>
        <v>0</v>
      </c>
      <c r="F23" s="700" t="str">
        <f>名簿!CM20</f>
        <v/>
      </c>
      <c r="G23" s="358" t="str">
        <f>名簿!Z20</f>
        <v/>
      </c>
      <c r="H23" s="358" t="str">
        <f>名簿!CM20</f>
        <v/>
      </c>
      <c r="I23" s="359" t="str">
        <f>名簿!Y20</f>
        <v/>
      </c>
      <c r="J23" s="359" t="str">
        <f>名簿!CN20</f>
        <v/>
      </c>
      <c r="K23" s="1044">
        <f>名簿!CP20</f>
        <v>0</v>
      </c>
      <c r="L23" s="1045" t="str">
        <f>名簿!CU20</f>
        <v>00</v>
      </c>
      <c r="M23" s="358" t="str">
        <f>名簿!Q20</f>
        <v/>
      </c>
      <c r="N23" s="1256">
        <f>名簿!D20</f>
        <v>0</v>
      </c>
      <c r="O23" s="363"/>
      <c r="P23" s="292" t="str">
        <f t="shared" si="4"/>
        <v/>
      </c>
      <c r="Q23" s="623" t="str">
        <f>IF(O23="","",HLOOKUP(O23,名簿!$AH$3:$CH$118,18,FALSE))</f>
        <v/>
      </c>
      <c r="R23" s="1143"/>
      <c r="S23" s="984" t="str">
        <f t="shared" si="5"/>
        <v/>
      </c>
      <c r="T23" s="985" t="str">
        <f t="shared" si="6"/>
        <v/>
      </c>
      <c r="U23" s="363"/>
      <c r="V23" s="292" t="str">
        <f t="shared" si="7"/>
        <v/>
      </c>
      <c r="W23" s="623" t="str">
        <f>IF(U23="","",HLOOKUP(U23,名簿!$AH$3:$CH$118,18,FALSE))</f>
        <v/>
      </c>
      <c r="X23" s="1145"/>
      <c r="Y23" s="984" t="str">
        <f t="shared" si="8"/>
        <v/>
      </c>
      <c r="Z23" s="985" t="str">
        <f t="shared" si="9"/>
        <v/>
      </c>
      <c r="AA23" s="706" t="str">
        <f>IF(X23="","",IF(I23=1,VLOOKUP(X23,男子種目コード!$J$2:$K$30,2,FALSE),IF(I23=2,VLOOKUP(X23,女子種目コード!$J$2:$K$28,2,FALSE))))</f>
        <v/>
      </c>
      <c r="AB23" s="956"/>
      <c r="AC23" s="972"/>
      <c r="AD23" s="358" t="str">
        <f>IF(AC23="","",IF(I23=1,VLOOKUP(AC23,男子種目コード!$J$2:$K$30,2,FALSE),IF(I23=2,VLOOKUP(AC23,女子種目コード!$J$2:$K$28,2,FALSE))))</f>
        <v/>
      </c>
      <c r="AE23" s="956"/>
      <c r="AF23" s="972"/>
      <c r="AG23" s="358" t="str">
        <f>IF(AF23="","",IF(I23=1,VLOOKUP(AF23,男子種目コード!$J$2:$K$30,2,FALSE),IF(I23=2,VLOOKUP(AF23,女子種目コード!$J$2:$K$28,2,FALSE))))</f>
        <v/>
      </c>
      <c r="AH23" s="957"/>
      <c r="AI23" s="20"/>
      <c r="AJ23" s="20"/>
      <c r="AK23" s="19"/>
      <c r="AL23" s="11" t="s">
        <v>349</v>
      </c>
      <c r="AM23" s="989" t="str">
        <f t="shared" si="10"/>
        <v/>
      </c>
      <c r="AN23" s="57" t="str">
        <f t="shared" si="11"/>
        <v/>
      </c>
      <c r="AO23" s="712" t="s">
        <v>1186</v>
      </c>
      <c r="AP23" s="1020">
        <f>COUNTIF($P$7:$P$116,23)+COUNTIF($V$7:$V$116,23)</f>
        <v>0</v>
      </c>
      <c r="AQ23">
        <v>23</v>
      </c>
      <c r="AR23" s="998" t="s">
        <v>183</v>
      </c>
      <c r="AS23" s="999" t="s">
        <v>836</v>
      </c>
      <c r="AU23" s="712" t="s">
        <v>1179</v>
      </c>
      <c r="AV23" s="573" t="s">
        <v>1179</v>
      </c>
      <c r="AX23" s="370">
        <f t="shared" si="0"/>
        <v>0</v>
      </c>
      <c r="AY23" s="256"/>
      <c r="AZ23" s="256"/>
      <c r="BA23" s="256"/>
      <c r="BB23" s="256"/>
      <c r="BC23" s="19">
        <f t="shared" si="1"/>
        <v>0</v>
      </c>
      <c r="BD23" s="19" t="str">
        <f t="shared" si="2"/>
        <v/>
      </c>
      <c r="BE23" s="19" t="str">
        <f t="shared" si="3"/>
        <v/>
      </c>
      <c r="BG23"/>
      <c r="BH23"/>
    </row>
    <row r="24" spans="2:60" ht="14.25" thickBot="1">
      <c r="B24" s="358" t="str">
        <f>名簿!P21</f>
        <v/>
      </c>
      <c r="C24" s="966"/>
      <c r="D24" s="966"/>
      <c r="E24" s="1262">
        <f>名簿!E21</f>
        <v>0</v>
      </c>
      <c r="F24" s="700" t="str">
        <f>名簿!CM21</f>
        <v/>
      </c>
      <c r="G24" s="358" t="str">
        <f>名簿!Z21</f>
        <v/>
      </c>
      <c r="H24" s="358" t="str">
        <f>名簿!CM21</f>
        <v/>
      </c>
      <c r="I24" s="359" t="str">
        <f>名簿!Y21</f>
        <v/>
      </c>
      <c r="J24" s="359" t="str">
        <f>名簿!CN21</f>
        <v/>
      </c>
      <c r="K24" s="1044">
        <f>名簿!CP21</f>
        <v>0</v>
      </c>
      <c r="L24" s="1045" t="str">
        <f>名簿!CU21</f>
        <v>00</v>
      </c>
      <c r="M24" s="358" t="str">
        <f>名簿!Q21</f>
        <v/>
      </c>
      <c r="N24" s="1256">
        <f>名簿!D21</f>
        <v>0</v>
      </c>
      <c r="O24" s="363"/>
      <c r="P24" s="292" t="str">
        <f t="shared" si="4"/>
        <v/>
      </c>
      <c r="Q24" s="623" t="str">
        <f>IF(O24="","",HLOOKUP(O24,名簿!$AH$3:$CH$118,19,FALSE))</f>
        <v/>
      </c>
      <c r="R24" s="1143"/>
      <c r="S24" s="984" t="str">
        <f t="shared" si="5"/>
        <v/>
      </c>
      <c r="T24" s="985" t="str">
        <f t="shared" si="6"/>
        <v/>
      </c>
      <c r="U24" s="363"/>
      <c r="V24" s="292" t="str">
        <f t="shared" si="7"/>
        <v/>
      </c>
      <c r="W24" s="623" t="str">
        <f>IF(U24="","",HLOOKUP(U24,名簿!$AH$3:$CH$118,19,FALSE))</f>
        <v/>
      </c>
      <c r="X24" s="1145"/>
      <c r="Y24" s="984" t="str">
        <f t="shared" si="8"/>
        <v/>
      </c>
      <c r="Z24" s="985" t="str">
        <f t="shared" si="9"/>
        <v/>
      </c>
      <c r="AA24" s="706" t="str">
        <f>IF(X24="","",IF(I24=1,VLOOKUP(X24,男子種目コード!$J$2:$K$30,2,FALSE),IF(I24=2,VLOOKUP(X24,女子種目コード!$J$2:$K$28,2,FALSE))))</f>
        <v/>
      </c>
      <c r="AB24" s="956"/>
      <c r="AC24" s="972"/>
      <c r="AD24" s="358" t="str">
        <f>IF(AC24="","",IF(I24=1,VLOOKUP(AC24,男子種目コード!$J$2:$K$30,2,FALSE),IF(I24=2,VLOOKUP(AC24,女子種目コード!$J$2:$K$28,2,FALSE))))</f>
        <v/>
      </c>
      <c r="AE24" s="956"/>
      <c r="AF24" s="972"/>
      <c r="AG24" s="358" t="str">
        <f>IF(AF24="","",IF(I24=1,VLOOKUP(AF24,男子種目コード!$J$2:$K$30,2,FALSE),IF(I24=2,VLOOKUP(AF24,女子種目コード!$J$2:$K$28,2,FALSE))))</f>
        <v/>
      </c>
      <c r="AH24" s="957"/>
      <c r="AI24" s="20"/>
      <c r="AJ24" s="20"/>
      <c r="AK24" s="19"/>
      <c r="AL24" s="11" t="s">
        <v>221</v>
      </c>
      <c r="AM24" s="989" t="str">
        <f t="shared" si="10"/>
        <v/>
      </c>
      <c r="AN24" s="57" t="str">
        <f t="shared" si="11"/>
        <v/>
      </c>
      <c r="AO24" s="995" t="s">
        <v>450</v>
      </c>
      <c r="AP24" s="1021">
        <f>SUM(AP8:AP23)</f>
        <v>0</v>
      </c>
      <c r="AQ24" s="478"/>
      <c r="AR24" s="1000" t="s">
        <v>614</v>
      </c>
      <c r="AS24" s="1001" t="s">
        <v>674</v>
      </c>
      <c r="AU24" s="712" t="s">
        <v>1186</v>
      </c>
      <c r="AV24" s="573" t="s">
        <v>1185</v>
      </c>
      <c r="AX24" s="370">
        <f t="shared" si="0"/>
        <v>0</v>
      </c>
      <c r="AY24" s="256"/>
      <c r="AZ24" s="256"/>
      <c r="BA24" s="256"/>
      <c r="BB24" s="256"/>
      <c r="BC24" s="19">
        <f t="shared" si="1"/>
        <v>0</v>
      </c>
      <c r="BD24" s="19" t="str">
        <f t="shared" si="2"/>
        <v/>
      </c>
      <c r="BE24" s="19" t="str">
        <f t="shared" si="3"/>
        <v/>
      </c>
    </row>
    <row r="25" spans="2:60" ht="14.25" thickBot="1">
      <c r="B25" s="358" t="str">
        <f>名簿!P22</f>
        <v/>
      </c>
      <c r="C25" s="966"/>
      <c r="D25" s="966"/>
      <c r="E25" s="1262">
        <f>名簿!E22</f>
        <v>0</v>
      </c>
      <c r="F25" s="700" t="str">
        <f>名簿!CM22</f>
        <v/>
      </c>
      <c r="G25" s="358" t="str">
        <f>名簿!Z22</f>
        <v/>
      </c>
      <c r="H25" s="358" t="str">
        <f>名簿!CM22</f>
        <v/>
      </c>
      <c r="I25" s="359" t="str">
        <f>名簿!Y22</f>
        <v/>
      </c>
      <c r="J25" s="359" t="str">
        <f>名簿!CN22</f>
        <v/>
      </c>
      <c r="K25" s="1044">
        <f>名簿!CP22</f>
        <v>0</v>
      </c>
      <c r="L25" s="1045" t="str">
        <f>名簿!CU22</f>
        <v>00</v>
      </c>
      <c r="M25" s="358" t="str">
        <f>名簿!Q22</f>
        <v/>
      </c>
      <c r="N25" s="1256">
        <f>名簿!D22</f>
        <v>0</v>
      </c>
      <c r="O25" s="363"/>
      <c r="P25" s="292" t="str">
        <f t="shared" si="4"/>
        <v/>
      </c>
      <c r="Q25" s="623" t="str">
        <f>IF(O25="","",HLOOKUP(O25,名簿!$AH$3:$CH$118,20,FALSE))</f>
        <v/>
      </c>
      <c r="R25" s="1143"/>
      <c r="S25" s="984" t="str">
        <f t="shared" si="5"/>
        <v/>
      </c>
      <c r="T25" s="985" t="str">
        <f t="shared" si="6"/>
        <v/>
      </c>
      <c r="U25" s="363"/>
      <c r="V25" s="292" t="str">
        <f t="shared" si="7"/>
        <v/>
      </c>
      <c r="W25" s="623" t="str">
        <f>IF(U25="","",HLOOKUP(U25,名簿!$AH$3:$CH$118,20,FALSE))</f>
        <v/>
      </c>
      <c r="X25" s="1145"/>
      <c r="Y25" s="984" t="str">
        <f t="shared" si="8"/>
        <v/>
      </c>
      <c r="Z25" s="985" t="str">
        <f t="shared" si="9"/>
        <v/>
      </c>
      <c r="AA25" s="706" t="str">
        <f>IF(X25="","",IF(I25=1,VLOOKUP(X25,男子種目コード!$J$2:$K$30,2,FALSE),IF(I25=2,VLOOKUP(X25,女子種目コード!$J$2:$K$28,2,FALSE))))</f>
        <v/>
      </c>
      <c r="AB25" s="956"/>
      <c r="AC25" s="972"/>
      <c r="AD25" s="358" t="str">
        <f>IF(AC25="","",IF(I25=1,VLOOKUP(AC25,男子種目コード!$J$2:$K$30,2,FALSE),IF(I25=2,VLOOKUP(AC25,女子種目コード!$J$2:$K$28,2,FALSE))))</f>
        <v/>
      </c>
      <c r="AE25" s="956"/>
      <c r="AF25" s="972"/>
      <c r="AG25" s="358" t="str">
        <f>IF(AF25="","",IF(I25=1,VLOOKUP(AF25,男子種目コード!$J$2:$K$30,2,FALSE),IF(I25=2,VLOOKUP(AF25,女子種目コード!$J$2:$K$28,2,FALSE))))</f>
        <v/>
      </c>
      <c r="AH25" s="957"/>
      <c r="AI25" s="20"/>
      <c r="AJ25" s="20"/>
      <c r="AK25" s="19"/>
      <c r="AL25" s="11" t="s">
        <v>223</v>
      </c>
      <c r="AM25" s="989" t="str">
        <f t="shared" si="10"/>
        <v/>
      </c>
      <c r="AN25" s="57" t="str">
        <f t="shared" si="11"/>
        <v/>
      </c>
      <c r="AO25" s="1480" t="s">
        <v>275</v>
      </c>
      <c r="AP25" s="1481"/>
      <c r="AQ25" s="478"/>
      <c r="AR25" s="1485" t="s">
        <v>410</v>
      </c>
      <c r="AS25" s="1486"/>
      <c r="AU25" s="712"/>
      <c r="AV25" s="11"/>
      <c r="AX25" s="370">
        <f t="shared" si="0"/>
        <v>0</v>
      </c>
      <c r="AY25" s="256"/>
      <c r="AZ25" s="256"/>
      <c r="BA25" s="256"/>
      <c r="BB25" s="256"/>
      <c r="BC25" s="19">
        <f t="shared" si="1"/>
        <v>0</v>
      </c>
      <c r="BD25" s="19" t="str">
        <f t="shared" si="2"/>
        <v/>
      </c>
      <c r="BE25" s="19" t="str">
        <f t="shared" si="3"/>
        <v/>
      </c>
    </row>
    <row r="26" spans="2:60">
      <c r="B26" s="358" t="str">
        <f>名簿!P23</f>
        <v/>
      </c>
      <c r="C26" s="966"/>
      <c r="D26" s="966"/>
      <c r="E26" s="1262">
        <f>名簿!E23</f>
        <v>0</v>
      </c>
      <c r="F26" s="700" t="str">
        <f>名簿!CM23</f>
        <v/>
      </c>
      <c r="G26" s="358" t="str">
        <f>名簿!Z23</f>
        <v/>
      </c>
      <c r="H26" s="358" t="str">
        <f>名簿!CM23</f>
        <v/>
      </c>
      <c r="I26" s="359" t="str">
        <f>名簿!Y23</f>
        <v/>
      </c>
      <c r="J26" s="359" t="str">
        <f>名簿!CN23</f>
        <v/>
      </c>
      <c r="K26" s="1044">
        <f>名簿!CP23</f>
        <v>0</v>
      </c>
      <c r="L26" s="1045" t="str">
        <f>名簿!CU23</f>
        <v>00</v>
      </c>
      <c r="M26" s="358" t="str">
        <f>名簿!Q23</f>
        <v/>
      </c>
      <c r="N26" s="1256">
        <f>名簿!D23</f>
        <v>0</v>
      </c>
      <c r="O26" s="363"/>
      <c r="P26" s="292" t="str">
        <f t="shared" si="4"/>
        <v/>
      </c>
      <c r="Q26" s="623" t="str">
        <f>IF(O26="","",HLOOKUP(O26,名簿!$AH$3:$CH$118,21,FALSE))</f>
        <v/>
      </c>
      <c r="R26" s="1143"/>
      <c r="S26" s="984" t="str">
        <f t="shared" si="5"/>
        <v/>
      </c>
      <c r="T26" s="985" t="str">
        <f t="shared" si="6"/>
        <v/>
      </c>
      <c r="U26" s="363"/>
      <c r="V26" s="292" t="str">
        <f t="shared" si="7"/>
        <v/>
      </c>
      <c r="W26" s="623" t="str">
        <f>IF(U26="","",HLOOKUP(U26,名簿!$AH$3:$CH$118,21,FALSE))</f>
        <v/>
      </c>
      <c r="X26" s="1145"/>
      <c r="Y26" s="984" t="str">
        <f t="shared" si="8"/>
        <v/>
      </c>
      <c r="Z26" s="985" t="str">
        <f t="shared" si="9"/>
        <v/>
      </c>
      <c r="AA26" s="706" t="str">
        <f>IF(X26="","",IF(I26=1,VLOOKUP(X26,男子種目コード!$J$2:$K$30,2,FALSE),IF(I26=2,VLOOKUP(X26,女子種目コード!$J$2:$K$28,2,FALSE))))</f>
        <v/>
      </c>
      <c r="AB26" s="956"/>
      <c r="AC26" s="972"/>
      <c r="AD26" s="358" t="str">
        <f>IF(AC26="","",IF(I26=1,VLOOKUP(AC26,男子種目コード!$J$2:$K$30,2,FALSE),IF(I26=2,VLOOKUP(AC26,女子種目コード!$J$2:$K$28,2,FALSE))))</f>
        <v/>
      </c>
      <c r="AE26" s="956"/>
      <c r="AF26" s="972"/>
      <c r="AG26" s="358" t="str">
        <f>IF(AF26="","",IF(I26=1,VLOOKUP(AF26,男子種目コード!$J$2:$K$30,2,FALSE),IF(I26=2,VLOOKUP(AF26,女子種目コード!$J$2:$K$28,2,FALSE))))</f>
        <v/>
      </c>
      <c r="AH26" s="957"/>
      <c r="AI26" s="20"/>
      <c r="AJ26" s="20"/>
      <c r="AK26" s="19"/>
      <c r="AL26" s="11" t="s">
        <v>350</v>
      </c>
      <c r="AM26" s="989" t="str">
        <f t="shared" si="10"/>
        <v/>
      </c>
      <c r="AN26" s="57" t="str">
        <f t="shared" si="11"/>
        <v/>
      </c>
      <c r="AO26" s="713" t="s">
        <v>1168</v>
      </c>
      <c r="AP26" s="1019">
        <f>COUNTIF($P$7:$P$116,35)+COUNTIF($V$7:$V$116,35)</f>
        <v>0</v>
      </c>
      <c r="AQ26">
        <v>35</v>
      </c>
      <c r="AR26" s="996">
        <v>100</v>
      </c>
      <c r="AS26" s="997" t="s">
        <v>613</v>
      </c>
      <c r="AU26" s="11"/>
      <c r="AV26" s="22"/>
      <c r="AX26" s="370">
        <f t="shared" si="0"/>
        <v>0</v>
      </c>
      <c r="AY26" s="256"/>
      <c r="AZ26" s="256"/>
      <c r="BA26" s="256"/>
      <c r="BB26" s="256"/>
      <c r="BC26" s="19">
        <f t="shared" si="1"/>
        <v>0</v>
      </c>
      <c r="BD26" s="19" t="str">
        <f t="shared" si="2"/>
        <v/>
      </c>
      <c r="BE26" s="19" t="str">
        <f t="shared" si="3"/>
        <v/>
      </c>
      <c r="BG26"/>
      <c r="BH26"/>
    </row>
    <row r="27" spans="2:60">
      <c r="B27" s="358" t="str">
        <f>名簿!P24</f>
        <v/>
      </c>
      <c r="C27" s="966"/>
      <c r="D27" s="966"/>
      <c r="E27" s="1262">
        <f>名簿!E24</f>
        <v>0</v>
      </c>
      <c r="F27" s="700" t="str">
        <f>名簿!CM24</f>
        <v/>
      </c>
      <c r="G27" s="358" t="str">
        <f>名簿!Z24</f>
        <v/>
      </c>
      <c r="H27" s="358" t="str">
        <f>名簿!CM24</f>
        <v/>
      </c>
      <c r="I27" s="359" t="str">
        <f>名簿!Y24</f>
        <v/>
      </c>
      <c r="J27" s="359" t="str">
        <f>名簿!CN24</f>
        <v/>
      </c>
      <c r="K27" s="1044">
        <f>名簿!CP24</f>
        <v>0</v>
      </c>
      <c r="L27" s="1045" t="str">
        <f>名簿!CU24</f>
        <v>00</v>
      </c>
      <c r="M27" s="358" t="str">
        <f>名簿!Q24</f>
        <v/>
      </c>
      <c r="N27" s="1256">
        <f>名簿!D24</f>
        <v>0</v>
      </c>
      <c r="O27" s="363"/>
      <c r="P27" s="292" t="str">
        <f t="shared" si="4"/>
        <v/>
      </c>
      <c r="Q27" s="623" t="str">
        <f>IF(O27="","",HLOOKUP(O27,名簿!$AH$3:$CH$118,22,FALSE))</f>
        <v/>
      </c>
      <c r="R27" s="1143"/>
      <c r="S27" s="984" t="str">
        <f t="shared" si="5"/>
        <v/>
      </c>
      <c r="T27" s="985" t="str">
        <f t="shared" si="6"/>
        <v/>
      </c>
      <c r="U27" s="363"/>
      <c r="V27" s="292" t="str">
        <f t="shared" si="7"/>
        <v/>
      </c>
      <c r="W27" s="623" t="str">
        <f>IF(U27="","",HLOOKUP(U27,名簿!$AH$3:$CH$118,22,FALSE))</f>
        <v/>
      </c>
      <c r="X27" s="1145"/>
      <c r="Y27" s="984" t="str">
        <f t="shared" si="8"/>
        <v/>
      </c>
      <c r="Z27" s="985" t="str">
        <f t="shared" si="9"/>
        <v/>
      </c>
      <c r="AA27" s="706" t="str">
        <f>IF(X27="","",IF(I27=1,VLOOKUP(X27,男子種目コード!$J$2:$K$30,2,FALSE),IF(I27=2,VLOOKUP(X27,女子種目コード!$J$2:$K$28,2,FALSE))))</f>
        <v/>
      </c>
      <c r="AB27" s="956"/>
      <c r="AC27" s="972"/>
      <c r="AD27" s="358" t="str">
        <f>IF(AC27="","",IF(I27=1,VLOOKUP(AC27,男子種目コード!$J$2:$K$30,2,FALSE),IF(I27=2,VLOOKUP(AC27,女子種目コード!$J$2:$K$28,2,FALSE))))</f>
        <v/>
      </c>
      <c r="AE27" s="956"/>
      <c r="AF27" s="972"/>
      <c r="AG27" s="358" t="str">
        <f>IF(AF27="","",IF(I27=1,VLOOKUP(AF27,男子種目コード!$J$2:$K$30,2,FALSE),IF(I27=2,VLOOKUP(AF27,女子種目コード!$J$2:$K$28,2,FALSE))))</f>
        <v/>
      </c>
      <c r="AH27" s="957"/>
      <c r="AI27" s="20"/>
      <c r="AJ27" s="20"/>
      <c r="AK27" s="19"/>
      <c r="AL27" s="79" t="s">
        <v>356</v>
      </c>
      <c r="AM27" s="989" t="str">
        <f t="shared" si="10"/>
        <v/>
      </c>
      <c r="AN27" s="57" t="str">
        <f t="shared" si="11"/>
        <v/>
      </c>
      <c r="AO27" s="573" t="s">
        <v>1169</v>
      </c>
      <c r="AP27" s="1020">
        <f>COUNTIF($P$7:$P$116,36)+COUNTIF($V$7:$V$116,36)</f>
        <v>0</v>
      </c>
      <c r="AQ27">
        <v>36</v>
      </c>
      <c r="AR27" s="998">
        <v>1500</v>
      </c>
      <c r="AS27" s="999" t="s">
        <v>624</v>
      </c>
      <c r="AU27" s="79"/>
      <c r="AV27" s="11"/>
      <c r="AX27" s="370">
        <f t="shared" si="0"/>
        <v>0</v>
      </c>
      <c r="AY27" s="256"/>
      <c r="AZ27" s="256"/>
      <c r="BA27" s="256"/>
      <c r="BB27" s="256"/>
      <c r="BC27" s="19">
        <f t="shared" si="1"/>
        <v>0</v>
      </c>
      <c r="BD27" s="19" t="str">
        <f t="shared" si="2"/>
        <v/>
      </c>
      <c r="BE27" s="19" t="str">
        <f t="shared" si="3"/>
        <v/>
      </c>
      <c r="BG27"/>
      <c r="BH27"/>
    </row>
    <row r="28" spans="2:60">
      <c r="B28" s="358" t="str">
        <f>名簿!P25</f>
        <v/>
      </c>
      <c r="C28" s="966"/>
      <c r="D28" s="966"/>
      <c r="E28" s="1262">
        <f>名簿!E25</f>
        <v>0</v>
      </c>
      <c r="F28" s="700" t="str">
        <f>名簿!CM25</f>
        <v/>
      </c>
      <c r="G28" s="358" t="str">
        <f>名簿!Z25</f>
        <v/>
      </c>
      <c r="H28" s="358" t="str">
        <f>名簿!CM25</f>
        <v/>
      </c>
      <c r="I28" s="359" t="str">
        <f>名簿!Y25</f>
        <v/>
      </c>
      <c r="J28" s="359" t="str">
        <f>名簿!CN25</f>
        <v/>
      </c>
      <c r="K28" s="1044">
        <f>名簿!CP25</f>
        <v>0</v>
      </c>
      <c r="L28" s="1045" t="str">
        <f>名簿!CU25</f>
        <v>00</v>
      </c>
      <c r="M28" s="358" t="str">
        <f>名簿!Q25</f>
        <v/>
      </c>
      <c r="N28" s="1256">
        <f>名簿!D25</f>
        <v>0</v>
      </c>
      <c r="O28" s="363"/>
      <c r="P28" s="292" t="str">
        <f t="shared" si="4"/>
        <v/>
      </c>
      <c r="Q28" s="623" t="str">
        <f>IF(O28="","",HLOOKUP(O28,名簿!$AH$3:$CH$118,23,FALSE))</f>
        <v/>
      </c>
      <c r="R28" s="1143"/>
      <c r="S28" s="984" t="str">
        <f t="shared" si="5"/>
        <v/>
      </c>
      <c r="T28" s="985" t="str">
        <f t="shared" si="6"/>
        <v/>
      </c>
      <c r="U28" s="363"/>
      <c r="V28" s="292" t="str">
        <f t="shared" si="7"/>
        <v/>
      </c>
      <c r="W28" s="623" t="str">
        <f>IF(U28="","",HLOOKUP(U28,名簿!$AH$3:$CH$118,23,FALSE))</f>
        <v/>
      </c>
      <c r="X28" s="1145"/>
      <c r="Y28" s="984" t="str">
        <f t="shared" si="8"/>
        <v/>
      </c>
      <c r="Z28" s="985" t="str">
        <f t="shared" si="9"/>
        <v/>
      </c>
      <c r="AA28" s="706" t="str">
        <f>IF(X28="","",IF(I28=1,VLOOKUP(X28,男子種目コード!$J$2:$K$30,2,FALSE),IF(I28=2,VLOOKUP(X28,女子種目コード!$J$2:$K$28,2,FALSE))))</f>
        <v/>
      </c>
      <c r="AB28" s="956"/>
      <c r="AC28" s="972"/>
      <c r="AD28" s="358" t="str">
        <f>IF(AC28="","",IF(I28=1,VLOOKUP(AC28,男子種目コード!$J$2:$K$30,2,FALSE),IF(I28=2,VLOOKUP(AC28,女子種目コード!$J$2:$K$28,2,FALSE))))</f>
        <v/>
      </c>
      <c r="AE28" s="956"/>
      <c r="AF28" s="972"/>
      <c r="AG28" s="358" t="str">
        <f>IF(AF28="","",IF(I28=1,VLOOKUP(AF28,男子種目コード!$J$2:$K$30,2,FALSE),IF(I28=2,VLOOKUP(AF28,女子種目コード!$J$2:$K$28,2,FALSE))))</f>
        <v/>
      </c>
      <c r="AH28" s="957"/>
      <c r="AI28" s="20"/>
      <c r="AJ28" s="20"/>
      <c r="AK28" s="19"/>
      <c r="AL28" s="11"/>
      <c r="AM28" s="989" t="str">
        <f t="shared" si="10"/>
        <v/>
      </c>
      <c r="AN28" s="57" t="str">
        <f t="shared" si="11"/>
        <v/>
      </c>
      <c r="AO28" s="573" t="s">
        <v>1170</v>
      </c>
      <c r="AP28" s="1020">
        <f>COUNTIF($P$7:$P$116,37)+COUNTIF($V$7:$V$116,37)</f>
        <v>0</v>
      </c>
      <c r="AQ28">
        <v>37</v>
      </c>
      <c r="AR28" s="998" t="s">
        <v>180</v>
      </c>
      <c r="AS28" s="999" t="s">
        <v>852</v>
      </c>
      <c r="AU28" s="11"/>
      <c r="AV28" s="79"/>
      <c r="AX28" s="370">
        <f t="shared" si="0"/>
        <v>0</v>
      </c>
      <c r="AY28" s="256"/>
      <c r="AZ28" s="256"/>
      <c r="BA28" s="256"/>
      <c r="BB28" s="256"/>
      <c r="BC28" s="19">
        <f t="shared" si="1"/>
        <v>0</v>
      </c>
      <c r="BD28" s="19" t="str">
        <f t="shared" si="2"/>
        <v/>
      </c>
      <c r="BE28" s="19" t="str">
        <f t="shared" si="3"/>
        <v/>
      </c>
      <c r="BG28"/>
      <c r="BH28"/>
    </row>
    <row r="29" spans="2:60" ht="14.25" thickBot="1">
      <c r="B29" s="358" t="str">
        <f>名簿!P26</f>
        <v/>
      </c>
      <c r="C29" s="966"/>
      <c r="D29" s="966"/>
      <c r="E29" s="1262">
        <f>名簿!E26</f>
        <v>0</v>
      </c>
      <c r="F29" s="700" t="str">
        <f>名簿!CM26</f>
        <v/>
      </c>
      <c r="G29" s="358" t="str">
        <f>名簿!Z26</f>
        <v/>
      </c>
      <c r="H29" s="358" t="str">
        <f>名簿!CM26</f>
        <v/>
      </c>
      <c r="I29" s="359" t="str">
        <f>名簿!Y26</f>
        <v/>
      </c>
      <c r="J29" s="359" t="str">
        <f>名簿!CN26</f>
        <v/>
      </c>
      <c r="K29" s="1044">
        <f>名簿!CP26</f>
        <v>0</v>
      </c>
      <c r="L29" s="1045" t="str">
        <f>名簿!CU26</f>
        <v>00</v>
      </c>
      <c r="M29" s="358" t="str">
        <f>名簿!Q26</f>
        <v/>
      </c>
      <c r="N29" s="1256">
        <f>名簿!D26</f>
        <v>0</v>
      </c>
      <c r="O29" s="363"/>
      <c r="P29" s="292" t="str">
        <f t="shared" si="4"/>
        <v/>
      </c>
      <c r="Q29" s="623" t="str">
        <f>IF(O29="","",HLOOKUP(O29,名簿!$AH$3:$CH$118,24,FALSE))</f>
        <v/>
      </c>
      <c r="R29" s="1143"/>
      <c r="S29" s="984" t="str">
        <f t="shared" si="5"/>
        <v/>
      </c>
      <c r="T29" s="985" t="str">
        <f t="shared" si="6"/>
        <v/>
      </c>
      <c r="U29" s="363"/>
      <c r="V29" s="292" t="str">
        <f t="shared" si="7"/>
        <v/>
      </c>
      <c r="W29" s="623" t="str">
        <f>IF(U29="","",HLOOKUP(U29,名簿!$AH$3:$CH$118,24,FALSE))</f>
        <v/>
      </c>
      <c r="X29" s="1145"/>
      <c r="Y29" s="984" t="str">
        <f t="shared" si="8"/>
        <v/>
      </c>
      <c r="Z29" s="985" t="str">
        <f t="shared" si="9"/>
        <v/>
      </c>
      <c r="AA29" s="706" t="str">
        <f>IF(X29="","",IF(I29=1,VLOOKUP(X29,男子種目コード!$J$2:$K$30,2,FALSE),IF(I29=2,VLOOKUP(X29,女子種目コード!$J$2:$K$28,2,FALSE))))</f>
        <v/>
      </c>
      <c r="AB29" s="956"/>
      <c r="AC29" s="972"/>
      <c r="AD29" s="358" t="str">
        <f>IF(AC29="","",IF(I29=1,VLOOKUP(AC29,男子種目コード!$J$2:$K$30,2,FALSE),IF(I29=2,VLOOKUP(AC29,女子種目コード!$J$2:$K$28,2,FALSE))))</f>
        <v/>
      </c>
      <c r="AE29" s="956"/>
      <c r="AF29" s="972"/>
      <c r="AG29" s="358" t="str">
        <f>IF(AF29="","",IF(I29=1,VLOOKUP(AF29,男子種目コード!$J$2:$K$30,2,FALSE),IF(I29=2,VLOOKUP(AF29,女子種目コード!$J$2:$K$28,2,FALSE))))</f>
        <v/>
      </c>
      <c r="AH29" s="957"/>
      <c r="AI29" s="20"/>
      <c r="AJ29" s="20"/>
      <c r="AK29" s="19"/>
      <c r="AL29" s="11"/>
      <c r="AM29" s="989" t="str">
        <f t="shared" si="10"/>
        <v/>
      </c>
      <c r="AN29" s="57" t="str">
        <f t="shared" si="11"/>
        <v/>
      </c>
      <c r="AO29" s="573" t="s">
        <v>1182</v>
      </c>
      <c r="AP29" s="1020">
        <f>COUNTIF($P$7:$P$116,38)+COUNTIF($V$7:$V$116,38)</f>
        <v>0</v>
      </c>
      <c r="AQ29">
        <v>38</v>
      </c>
      <c r="AR29" s="1000" t="s">
        <v>262</v>
      </c>
      <c r="AS29" s="1001" t="s">
        <v>615</v>
      </c>
      <c r="AU29" s="11"/>
      <c r="AV29" s="11"/>
      <c r="AX29" s="370">
        <f t="shared" si="0"/>
        <v>0</v>
      </c>
      <c r="AY29" s="256"/>
      <c r="AZ29" s="256"/>
      <c r="BA29" s="256"/>
      <c r="BB29" s="256"/>
      <c r="BC29" s="19">
        <f t="shared" si="1"/>
        <v>0</v>
      </c>
      <c r="BD29" s="19" t="str">
        <f t="shared" si="2"/>
        <v/>
      </c>
      <c r="BE29" s="19" t="str">
        <f t="shared" si="3"/>
        <v/>
      </c>
      <c r="BG29"/>
      <c r="BH29"/>
    </row>
    <row r="30" spans="2:60" ht="14.25" thickBot="1">
      <c r="B30" s="358" t="str">
        <f>名簿!P27</f>
        <v/>
      </c>
      <c r="C30" s="966"/>
      <c r="D30" s="966"/>
      <c r="E30" s="1262">
        <f>名簿!E27</f>
        <v>0</v>
      </c>
      <c r="F30" s="700" t="str">
        <f>名簿!CM27</f>
        <v/>
      </c>
      <c r="G30" s="358" t="str">
        <f>名簿!Z27</f>
        <v/>
      </c>
      <c r="H30" s="358" t="str">
        <f>名簿!CM27</f>
        <v/>
      </c>
      <c r="I30" s="359" t="str">
        <f>名簿!Y27</f>
        <v/>
      </c>
      <c r="J30" s="359" t="str">
        <f>名簿!CN27</f>
        <v/>
      </c>
      <c r="K30" s="1044">
        <f>名簿!CP27</f>
        <v>0</v>
      </c>
      <c r="L30" s="1045" t="str">
        <f>名簿!CU27</f>
        <v>00</v>
      </c>
      <c r="M30" s="358" t="str">
        <f>名簿!Q27</f>
        <v/>
      </c>
      <c r="N30" s="1256">
        <f>名簿!D27</f>
        <v>0</v>
      </c>
      <c r="O30" s="363"/>
      <c r="P30" s="292" t="str">
        <f t="shared" si="4"/>
        <v/>
      </c>
      <c r="Q30" s="623" t="str">
        <f>IF(O30="","",HLOOKUP(O30,名簿!$AH$3:$CH$118,25,FALSE))</f>
        <v/>
      </c>
      <c r="R30" s="1143"/>
      <c r="S30" s="984" t="str">
        <f t="shared" si="5"/>
        <v/>
      </c>
      <c r="T30" s="985" t="str">
        <f t="shared" si="6"/>
        <v/>
      </c>
      <c r="U30" s="363"/>
      <c r="V30" s="292" t="str">
        <f t="shared" si="7"/>
        <v/>
      </c>
      <c r="W30" s="623" t="str">
        <f>IF(U30="","",HLOOKUP(U30,名簿!$AH$3:$CH$118,25,FALSE))</f>
        <v/>
      </c>
      <c r="X30" s="1145"/>
      <c r="Y30" s="984" t="str">
        <f t="shared" si="8"/>
        <v/>
      </c>
      <c r="Z30" s="985" t="str">
        <f t="shared" si="9"/>
        <v/>
      </c>
      <c r="AA30" s="706" t="str">
        <f>IF(X30="","",IF(I30=1,VLOOKUP(X30,男子種目コード!$J$2:$K$30,2,FALSE),IF(I30=2,VLOOKUP(X30,女子種目コード!$J$2:$K$28,2,FALSE))))</f>
        <v/>
      </c>
      <c r="AB30" s="956"/>
      <c r="AC30" s="972"/>
      <c r="AD30" s="358" t="str">
        <f>IF(AC30="","",IF(I30=1,VLOOKUP(AC30,男子種目コード!$J$2:$K$30,2,FALSE),IF(I30=2,VLOOKUP(AC30,女子種目コード!$J$2:$K$28,2,FALSE))))</f>
        <v/>
      </c>
      <c r="AE30" s="956"/>
      <c r="AF30" s="972"/>
      <c r="AG30" s="358" t="str">
        <f>IF(AF30="","",IF(I30=1,VLOOKUP(AF30,男子種目コード!$J$2:$K$30,2,FALSE),IF(I30=2,VLOOKUP(AF30,女子種目コード!$J$2:$K$28,2,FALSE))))</f>
        <v/>
      </c>
      <c r="AH30" s="957"/>
      <c r="AI30" s="20"/>
      <c r="AJ30" s="20"/>
      <c r="AK30" s="19"/>
      <c r="AL30" s="11"/>
      <c r="AM30" s="989" t="str">
        <f t="shared" si="10"/>
        <v/>
      </c>
      <c r="AN30" s="57" t="str">
        <f t="shared" si="11"/>
        <v/>
      </c>
      <c r="AO30" s="573" t="s">
        <v>1172</v>
      </c>
      <c r="AP30" s="1020">
        <f>COUNTIF($P$7:$P$116,39)+COUNTIF($V$7:$V$116,39)</f>
        <v>0</v>
      </c>
      <c r="AQ30">
        <v>39</v>
      </c>
      <c r="AR30" s="1482" t="s">
        <v>412</v>
      </c>
      <c r="AS30" s="1483"/>
      <c r="AU30" s="11"/>
      <c r="AV30" s="11"/>
      <c r="AX30" s="370">
        <f t="shared" si="0"/>
        <v>0</v>
      </c>
      <c r="AY30" s="256"/>
      <c r="AZ30" s="256"/>
      <c r="BA30" s="256"/>
      <c r="BB30" s="256"/>
      <c r="BC30" s="19">
        <f t="shared" si="1"/>
        <v>0</v>
      </c>
      <c r="BD30" s="19" t="str">
        <f t="shared" si="2"/>
        <v/>
      </c>
      <c r="BE30" s="19" t="str">
        <f t="shared" si="3"/>
        <v/>
      </c>
      <c r="BG30"/>
      <c r="BH30"/>
    </row>
    <row r="31" spans="2:60">
      <c r="B31" s="358" t="str">
        <f>名簿!P28</f>
        <v/>
      </c>
      <c r="C31" s="966"/>
      <c r="D31" s="966"/>
      <c r="E31" s="1262">
        <f>名簿!E28</f>
        <v>0</v>
      </c>
      <c r="F31" s="700" t="str">
        <f>名簿!CM28</f>
        <v/>
      </c>
      <c r="G31" s="358" t="str">
        <f>名簿!Z28</f>
        <v/>
      </c>
      <c r="H31" s="358" t="str">
        <f>名簿!CM28</f>
        <v/>
      </c>
      <c r="I31" s="359" t="str">
        <f>名簿!Y28</f>
        <v/>
      </c>
      <c r="J31" s="359" t="str">
        <f>名簿!CN28</f>
        <v/>
      </c>
      <c r="K31" s="1044">
        <f>名簿!CP28</f>
        <v>0</v>
      </c>
      <c r="L31" s="1045" t="str">
        <f>名簿!CU28</f>
        <v>00</v>
      </c>
      <c r="M31" s="358" t="str">
        <f>名簿!Q28</f>
        <v/>
      </c>
      <c r="N31" s="1256">
        <f>名簿!D28</f>
        <v>0</v>
      </c>
      <c r="O31" s="363"/>
      <c r="P31" s="292" t="str">
        <f t="shared" si="4"/>
        <v/>
      </c>
      <c r="Q31" s="623" t="str">
        <f>IF(O31="","",HLOOKUP(O31,名簿!$AH$3:$CH$118,26,FALSE))</f>
        <v/>
      </c>
      <c r="R31" s="1143"/>
      <c r="S31" s="984" t="str">
        <f t="shared" si="5"/>
        <v/>
      </c>
      <c r="T31" s="985" t="str">
        <f t="shared" si="6"/>
        <v/>
      </c>
      <c r="U31" s="363"/>
      <c r="V31" s="292" t="str">
        <f t="shared" si="7"/>
        <v/>
      </c>
      <c r="W31" s="623" t="str">
        <f>IF(U31="","",HLOOKUP(U31,名簿!$AH$3:$CH$118,26,FALSE))</f>
        <v/>
      </c>
      <c r="X31" s="1145"/>
      <c r="Y31" s="984" t="str">
        <f t="shared" si="8"/>
        <v/>
      </c>
      <c r="Z31" s="985" t="str">
        <f t="shared" si="9"/>
        <v/>
      </c>
      <c r="AA31" s="706" t="str">
        <f>IF(X31="","",IF(I31=1,VLOOKUP(X31,男子種目コード!$J$2:$K$30,2,FALSE),IF(I31=2,VLOOKUP(X31,女子種目コード!$J$2:$K$28,2,FALSE))))</f>
        <v/>
      </c>
      <c r="AB31" s="956"/>
      <c r="AC31" s="972"/>
      <c r="AD31" s="358" t="str">
        <f>IF(AC31="","",IF(I31=1,VLOOKUP(AC31,男子種目コード!$J$2:$K$30,2,FALSE),IF(I31=2,VLOOKUP(AC31,女子種目コード!$J$2:$K$28,2,FALSE))))</f>
        <v/>
      </c>
      <c r="AE31" s="956"/>
      <c r="AF31" s="972"/>
      <c r="AG31" s="358" t="str">
        <f>IF(AF31="","",IF(I31=1,VLOOKUP(AF31,男子種目コード!$J$2:$K$30,2,FALSE),IF(I31=2,VLOOKUP(AF31,女子種目コード!$J$2:$K$28,2,FALSE))))</f>
        <v/>
      </c>
      <c r="AH31" s="957"/>
      <c r="AI31" s="20"/>
      <c r="AJ31" s="20"/>
      <c r="AK31" s="19"/>
      <c r="AL31" s="11"/>
      <c r="AM31" s="989" t="str">
        <f t="shared" si="10"/>
        <v/>
      </c>
      <c r="AN31" s="57" t="str">
        <f t="shared" si="11"/>
        <v/>
      </c>
      <c r="AO31" s="573" t="s">
        <v>1173</v>
      </c>
      <c r="AP31" s="1020">
        <f>COUNTIF($P$7:$P$116,53)+COUNTIF($V$7:$V$116,53)</f>
        <v>0</v>
      </c>
      <c r="AQ31">
        <v>53</v>
      </c>
      <c r="AR31" s="996">
        <v>100</v>
      </c>
      <c r="AS31" s="997" t="s">
        <v>1203</v>
      </c>
      <c r="AU31" s="11"/>
      <c r="AV31" s="11"/>
      <c r="AX31" s="370">
        <f t="shared" si="0"/>
        <v>0</v>
      </c>
      <c r="AY31" s="256"/>
      <c r="AZ31" s="256"/>
      <c r="BA31" s="256"/>
      <c r="BB31" s="256"/>
      <c r="BC31" s="19">
        <f t="shared" si="1"/>
        <v>0</v>
      </c>
      <c r="BD31" s="19" t="str">
        <f t="shared" si="2"/>
        <v/>
      </c>
      <c r="BE31" s="19" t="str">
        <f t="shared" si="3"/>
        <v/>
      </c>
      <c r="BG31"/>
      <c r="BH31"/>
    </row>
    <row r="32" spans="2:60">
      <c r="B32" s="358" t="str">
        <f>名簿!P29</f>
        <v/>
      </c>
      <c r="C32" s="966"/>
      <c r="D32" s="966"/>
      <c r="E32" s="1262">
        <f>名簿!E29</f>
        <v>0</v>
      </c>
      <c r="F32" s="700" t="str">
        <f>名簿!CM29</f>
        <v/>
      </c>
      <c r="G32" s="358" t="str">
        <f>名簿!Z29</f>
        <v/>
      </c>
      <c r="H32" s="358" t="str">
        <f>名簿!CM29</f>
        <v/>
      </c>
      <c r="I32" s="359" t="str">
        <f>名簿!Y29</f>
        <v/>
      </c>
      <c r="J32" s="359" t="str">
        <f>名簿!CN29</f>
        <v/>
      </c>
      <c r="K32" s="1044">
        <f>名簿!CP29</f>
        <v>0</v>
      </c>
      <c r="L32" s="1045" t="str">
        <f>名簿!CU29</f>
        <v>00</v>
      </c>
      <c r="M32" s="358" t="str">
        <f>名簿!Q29</f>
        <v/>
      </c>
      <c r="N32" s="1256">
        <f>名簿!D29</f>
        <v>0</v>
      </c>
      <c r="O32" s="363"/>
      <c r="P32" s="292" t="str">
        <f t="shared" si="4"/>
        <v/>
      </c>
      <c r="Q32" s="623" t="str">
        <f>IF(O32="","",HLOOKUP(O32,名簿!$AH$3:$CH$118,27,FALSE))</f>
        <v/>
      </c>
      <c r="R32" s="1143"/>
      <c r="S32" s="984" t="str">
        <f t="shared" si="5"/>
        <v/>
      </c>
      <c r="T32" s="985" t="str">
        <f t="shared" si="6"/>
        <v/>
      </c>
      <c r="U32" s="363"/>
      <c r="V32" s="292" t="str">
        <f t="shared" si="7"/>
        <v/>
      </c>
      <c r="W32" s="623" t="str">
        <f>IF(U32="","",HLOOKUP(U32,名簿!$AH$3:$CH$118,27,FALSE))</f>
        <v/>
      </c>
      <c r="X32" s="1145"/>
      <c r="Y32" s="984" t="str">
        <f t="shared" si="8"/>
        <v/>
      </c>
      <c r="Z32" s="985" t="str">
        <f t="shared" si="9"/>
        <v/>
      </c>
      <c r="AA32" s="706" t="str">
        <f>IF(X32="","",IF(I32=1,VLOOKUP(X32,男子種目コード!$J$2:$K$30,2,FALSE),IF(I32=2,VLOOKUP(X32,女子種目コード!$J$2:$K$28,2,FALSE))))</f>
        <v/>
      </c>
      <c r="AB32" s="956"/>
      <c r="AC32" s="972"/>
      <c r="AD32" s="358" t="str">
        <f>IF(AC32="","",IF(I32=1,VLOOKUP(AC32,男子種目コード!$J$2:$K$30,2,FALSE),IF(I32=2,VLOOKUP(AC32,女子種目コード!$J$2:$K$28,2,FALSE))))</f>
        <v/>
      </c>
      <c r="AE32" s="956"/>
      <c r="AF32" s="972"/>
      <c r="AG32" s="358" t="str">
        <f>IF(AF32="","",IF(I32=1,VLOOKUP(AF32,男子種目コード!$J$2:$K$30,2,FALSE),IF(I32=2,VLOOKUP(AF32,女子種目コード!$J$2:$K$28,2,FALSE))))</f>
        <v/>
      </c>
      <c r="AH32" s="957"/>
      <c r="AI32" s="20"/>
      <c r="AJ32" s="20"/>
      <c r="AK32" s="19"/>
      <c r="AL32" s="11"/>
      <c r="AM32" s="989" t="str">
        <f t="shared" si="10"/>
        <v/>
      </c>
      <c r="AN32" s="57" t="str">
        <f t="shared" si="11"/>
        <v/>
      </c>
      <c r="AO32" s="573" t="s">
        <v>1174</v>
      </c>
      <c r="AP32" s="1020">
        <f>COUNTIF($P$7:$P$116,40)+COUNTIF($V$7:$V$116,40)</f>
        <v>0</v>
      </c>
      <c r="AQ32">
        <v>40</v>
      </c>
      <c r="AR32" s="998">
        <v>200</v>
      </c>
      <c r="AS32" s="999" t="s">
        <v>1204</v>
      </c>
      <c r="AU32" s="11"/>
      <c r="AV32" s="11"/>
      <c r="AX32" s="370">
        <f t="shared" si="0"/>
        <v>0</v>
      </c>
      <c r="AY32" s="256"/>
      <c r="AZ32" s="256"/>
      <c r="BA32" s="256"/>
      <c r="BB32" s="256"/>
      <c r="BC32" s="19">
        <f t="shared" si="1"/>
        <v>0</v>
      </c>
      <c r="BD32" s="19" t="str">
        <f t="shared" si="2"/>
        <v/>
      </c>
      <c r="BE32" s="19" t="str">
        <f t="shared" si="3"/>
        <v/>
      </c>
      <c r="BG32"/>
      <c r="BH32"/>
    </row>
    <row r="33" spans="2:60">
      <c r="B33" s="358" t="str">
        <f>名簿!P30</f>
        <v/>
      </c>
      <c r="C33" s="966"/>
      <c r="D33" s="966"/>
      <c r="E33" s="1262">
        <f>名簿!E30</f>
        <v>0</v>
      </c>
      <c r="F33" s="700" t="str">
        <f>名簿!CM30</f>
        <v/>
      </c>
      <c r="G33" s="358" t="str">
        <f>名簿!Z30</f>
        <v/>
      </c>
      <c r="H33" s="358" t="str">
        <f>名簿!CM30</f>
        <v/>
      </c>
      <c r="I33" s="359" t="str">
        <f>名簿!Y30</f>
        <v/>
      </c>
      <c r="J33" s="359" t="str">
        <f>名簿!CN30</f>
        <v/>
      </c>
      <c r="K33" s="1044">
        <f>名簿!CP30</f>
        <v>0</v>
      </c>
      <c r="L33" s="1045" t="str">
        <f>名簿!CU30</f>
        <v>00</v>
      </c>
      <c r="M33" s="358" t="str">
        <f>名簿!Q30</f>
        <v/>
      </c>
      <c r="N33" s="1256">
        <f>名簿!D30</f>
        <v>0</v>
      </c>
      <c r="O33" s="363"/>
      <c r="P33" s="292" t="str">
        <f t="shared" si="4"/>
        <v/>
      </c>
      <c r="Q33" s="623" t="str">
        <f>IF(O33="","",HLOOKUP(O33,名簿!$AH$3:$CH$118,28,FALSE))</f>
        <v/>
      </c>
      <c r="R33" s="1143"/>
      <c r="S33" s="984" t="str">
        <f t="shared" si="5"/>
        <v/>
      </c>
      <c r="T33" s="985" t="str">
        <f t="shared" si="6"/>
        <v/>
      </c>
      <c r="U33" s="363"/>
      <c r="V33" s="292" t="str">
        <f t="shared" si="7"/>
        <v/>
      </c>
      <c r="W33" s="623" t="str">
        <f>IF(U33="","",HLOOKUP(U33,名簿!$AH$3:$CH$118,28,FALSE))</f>
        <v/>
      </c>
      <c r="X33" s="1145"/>
      <c r="Y33" s="984" t="str">
        <f t="shared" si="8"/>
        <v/>
      </c>
      <c r="Z33" s="985" t="str">
        <f t="shared" si="9"/>
        <v/>
      </c>
      <c r="AA33" s="706"/>
      <c r="AB33" s="956"/>
      <c r="AC33" s="972"/>
      <c r="AD33" s="358"/>
      <c r="AE33" s="956"/>
      <c r="AF33" s="972"/>
      <c r="AG33" s="358"/>
      <c r="AH33" s="957"/>
      <c r="AI33" s="20"/>
      <c r="AJ33" s="20"/>
      <c r="AK33" s="19"/>
      <c r="AL33" s="11"/>
      <c r="AM33" s="989" t="str">
        <f t="shared" si="10"/>
        <v/>
      </c>
      <c r="AN33" s="57" t="str">
        <f t="shared" si="11"/>
        <v/>
      </c>
      <c r="AO33" s="573" t="s">
        <v>1175</v>
      </c>
      <c r="AP33" s="1020">
        <f>COUNTIF($P$7:$P$116,41)+COUNTIF($V$7:$V$116,41)</f>
        <v>0</v>
      </c>
      <c r="AQ33">
        <v>41</v>
      </c>
      <c r="AR33" s="998">
        <v>3000</v>
      </c>
      <c r="AS33" s="999" t="s">
        <v>620</v>
      </c>
      <c r="AU33" s="11"/>
      <c r="AV33" s="11"/>
      <c r="AX33" s="370">
        <f t="shared" si="0"/>
        <v>0</v>
      </c>
      <c r="AY33" s="256"/>
      <c r="AZ33" s="256"/>
      <c r="BA33" s="256"/>
      <c r="BB33" s="256"/>
      <c r="BC33" s="19">
        <f t="shared" si="1"/>
        <v>0</v>
      </c>
      <c r="BD33" s="19" t="str">
        <f t="shared" si="2"/>
        <v/>
      </c>
      <c r="BE33" s="19" t="str">
        <f t="shared" si="3"/>
        <v/>
      </c>
      <c r="BG33"/>
      <c r="BH33"/>
    </row>
    <row r="34" spans="2:60">
      <c r="B34" s="358" t="str">
        <f>名簿!P31</f>
        <v/>
      </c>
      <c r="C34" s="966"/>
      <c r="D34" s="966"/>
      <c r="E34" s="1262">
        <f>名簿!E31</f>
        <v>0</v>
      </c>
      <c r="F34" s="700" t="str">
        <f>名簿!CM31</f>
        <v/>
      </c>
      <c r="G34" s="358" t="str">
        <f>名簿!Z31</f>
        <v/>
      </c>
      <c r="H34" s="358" t="str">
        <f>名簿!CM31</f>
        <v/>
      </c>
      <c r="I34" s="359" t="str">
        <f>名簿!Y31</f>
        <v/>
      </c>
      <c r="J34" s="359" t="str">
        <f>名簿!CN31</f>
        <v/>
      </c>
      <c r="K34" s="1044">
        <f>名簿!CP31</f>
        <v>0</v>
      </c>
      <c r="L34" s="1045" t="str">
        <f>名簿!CU31</f>
        <v>00</v>
      </c>
      <c r="M34" s="358" t="str">
        <f>名簿!Q31</f>
        <v/>
      </c>
      <c r="N34" s="1256">
        <f>名簿!D31</f>
        <v>0</v>
      </c>
      <c r="O34" s="363"/>
      <c r="P34" s="292" t="str">
        <f t="shared" si="4"/>
        <v/>
      </c>
      <c r="Q34" s="623" t="str">
        <f>IF(O34="","",HLOOKUP(O34,名簿!$AH$3:$CH$118,29,FALSE))</f>
        <v/>
      </c>
      <c r="R34" s="1143"/>
      <c r="S34" s="984" t="str">
        <f t="shared" si="5"/>
        <v/>
      </c>
      <c r="T34" s="985" t="str">
        <f t="shared" si="6"/>
        <v/>
      </c>
      <c r="U34" s="363"/>
      <c r="V34" s="292" t="str">
        <f t="shared" si="7"/>
        <v/>
      </c>
      <c r="W34" s="623" t="str">
        <f>IF(U34="","",HLOOKUP(U34,名簿!$AH$3:$CH$118,29,FALSE))</f>
        <v/>
      </c>
      <c r="X34" s="1145"/>
      <c r="Y34" s="984" t="str">
        <f t="shared" si="8"/>
        <v/>
      </c>
      <c r="Z34" s="985" t="str">
        <f t="shared" si="9"/>
        <v/>
      </c>
      <c r="AA34" s="706"/>
      <c r="AB34" s="956"/>
      <c r="AC34" s="972"/>
      <c r="AD34" s="358"/>
      <c r="AE34" s="956"/>
      <c r="AF34" s="972"/>
      <c r="AG34" s="358"/>
      <c r="AH34" s="957"/>
      <c r="AI34" s="20"/>
      <c r="AJ34" s="20"/>
      <c r="AK34" s="19"/>
      <c r="AL34" s="11"/>
      <c r="AM34" s="989" t="str">
        <f t="shared" si="10"/>
        <v/>
      </c>
      <c r="AN34" s="57" t="str">
        <f t="shared" si="11"/>
        <v/>
      </c>
      <c r="AO34" s="573" t="s">
        <v>1183</v>
      </c>
      <c r="AP34" s="1020">
        <f>COUNTIF($P$7:$P$116,42)+COUNTIF($V$7:$V$116,42)</f>
        <v>0</v>
      </c>
      <c r="AQ34">
        <v>42</v>
      </c>
      <c r="AR34" s="998" t="s">
        <v>621</v>
      </c>
      <c r="AS34" s="999" t="s">
        <v>1205</v>
      </c>
      <c r="AU34" s="11"/>
      <c r="AV34" s="11"/>
      <c r="AX34" s="370">
        <f t="shared" si="0"/>
        <v>0</v>
      </c>
      <c r="AY34" s="256"/>
      <c r="AZ34" s="256"/>
      <c r="BA34" s="256"/>
      <c r="BB34" s="256"/>
      <c r="BC34" s="19">
        <f t="shared" si="1"/>
        <v>0</v>
      </c>
      <c r="BD34" s="19" t="str">
        <f t="shared" si="2"/>
        <v/>
      </c>
      <c r="BE34" s="19" t="str">
        <f t="shared" si="3"/>
        <v/>
      </c>
      <c r="BG34"/>
      <c r="BH34"/>
    </row>
    <row r="35" spans="2:60">
      <c r="B35" s="358" t="str">
        <f>名簿!P32</f>
        <v/>
      </c>
      <c r="C35" s="966"/>
      <c r="D35" s="966"/>
      <c r="E35" s="1262">
        <f>名簿!E32</f>
        <v>0</v>
      </c>
      <c r="F35" s="700" t="str">
        <f>名簿!CM32</f>
        <v/>
      </c>
      <c r="G35" s="358" t="str">
        <f>名簿!Z32</f>
        <v/>
      </c>
      <c r="H35" s="358" t="str">
        <f>名簿!CM32</f>
        <v/>
      </c>
      <c r="I35" s="359" t="str">
        <f>名簿!Y32</f>
        <v/>
      </c>
      <c r="J35" s="359" t="str">
        <f>名簿!CN32</f>
        <v/>
      </c>
      <c r="K35" s="1044">
        <f>名簿!CP32</f>
        <v>0</v>
      </c>
      <c r="L35" s="1045" t="str">
        <f>名簿!CU32</f>
        <v>00</v>
      </c>
      <c r="M35" s="358" t="str">
        <f>名簿!Q32</f>
        <v/>
      </c>
      <c r="N35" s="1256">
        <f>名簿!D32</f>
        <v>0</v>
      </c>
      <c r="O35" s="363"/>
      <c r="P35" s="292" t="str">
        <f t="shared" si="4"/>
        <v/>
      </c>
      <c r="Q35" s="623" t="str">
        <f>IF(O35="","",HLOOKUP(O35,名簿!$AH$3:$CH$118,30,FALSE))</f>
        <v/>
      </c>
      <c r="R35" s="1143"/>
      <c r="S35" s="984" t="str">
        <f t="shared" si="5"/>
        <v/>
      </c>
      <c r="T35" s="985" t="str">
        <f t="shared" si="6"/>
        <v/>
      </c>
      <c r="U35" s="363"/>
      <c r="V35" s="292" t="str">
        <f t="shared" si="7"/>
        <v/>
      </c>
      <c r="W35" s="623" t="str">
        <f>IF(U35="","",HLOOKUP(U35,名簿!$AH$3:$CH$118,30,FALSE))</f>
        <v/>
      </c>
      <c r="X35" s="1145"/>
      <c r="Y35" s="984" t="str">
        <f t="shared" si="8"/>
        <v/>
      </c>
      <c r="Z35" s="985" t="str">
        <f t="shared" si="9"/>
        <v/>
      </c>
      <c r="AA35" s="706" t="str">
        <f>IF(X35="","",IF(I35=1,VLOOKUP(X35,男子種目コード!$J$2:$K$30,2,FALSE),IF(I35=2,VLOOKUP(X35,女子種目コード!$J$2:$K$28,2,FALSE))))</f>
        <v/>
      </c>
      <c r="AB35" s="956"/>
      <c r="AC35" s="972"/>
      <c r="AD35" s="358" t="str">
        <f>IF(AC35="","",IF(I35=1,VLOOKUP(AC35,男子種目コード!$J$2:$K$30,2,FALSE),IF(I35=2,VLOOKUP(AC35,女子種目コード!$J$2:$K$28,2,FALSE))))</f>
        <v/>
      </c>
      <c r="AE35" s="956"/>
      <c r="AF35" s="972"/>
      <c r="AG35" s="358" t="str">
        <f>IF(AF35="","",IF(I35=1,VLOOKUP(AF35,男子種目コード!$J$2:$K$30,2,FALSE),IF(I35=2,VLOOKUP(AF35,女子種目コード!$J$2:$K$28,2,FALSE))))</f>
        <v/>
      </c>
      <c r="AH35" s="957"/>
      <c r="AI35" s="20"/>
      <c r="AJ35" s="20"/>
      <c r="AK35" s="19"/>
      <c r="AL35" s="11"/>
      <c r="AM35" s="989" t="str">
        <f t="shared" si="10"/>
        <v/>
      </c>
      <c r="AN35" s="57" t="str">
        <f t="shared" si="11"/>
        <v/>
      </c>
      <c r="AO35" s="573" t="s">
        <v>1177</v>
      </c>
      <c r="AP35" s="1020">
        <f>COUNTIF($P$7:$P$116,44)+COUNTIF($V$7:$V$116,44)</f>
        <v>0</v>
      </c>
      <c r="AQ35">
        <v>44</v>
      </c>
      <c r="AR35" s="998" t="s">
        <v>404</v>
      </c>
      <c r="AS35" s="999" t="s">
        <v>853</v>
      </c>
      <c r="AU35" s="11"/>
      <c r="AV35" s="11"/>
      <c r="AX35" s="370">
        <f t="shared" si="0"/>
        <v>0</v>
      </c>
      <c r="AY35" s="256"/>
      <c r="AZ35" s="256"/>
      <c r="BA35" s="256"/>
      <c r="BB35" s="256"/>
      <c r="BC35" s="19">
        <f t="shared" si="1"/>
        <v>0</v>
      </c>
      <c r="BD35" s="19" t="str">
        <f t="shared" si="2"/>
        <v/>
      </c>
      <c r="BE35" s="19" t="str">
        <f t="shared" si="3"/>
        <v/>
      </c>
      <c r="BG35"/>
      <c r="BH35"/>
    </row>
    <row r="36" spans="2:60">
      <c r="B36" s="358" t="str">
        <f>名簿!P33</f>
        <v/>
      </c>
      <c r="C36" s="966"/>
      <c r="D36" s="966"/>
      <c r="E36" s="1262">
        <f>名簿!E33</f>
        <v>0</v>
      </c>
      <c r="F36" s="700" t="str">
        <f>名簿!CM33</f>
        <v/>
      </c>
      <c r="G36" s="358" t="str">
        <f>名簿!Z33</f>
        <v/>
      </c>
      <c r="H36" s="358" t="str">
        <f>名簿!CM33</f>
        <v/>
      </c>
      <c r="I36" s="359" t="str">
        <f>名簿!Y33</f>
        <v/>
      </c>
      <c r="J36" s="359" t="str">
        <f>名簿!CN33</f>
        <v/>
      </c>
      <c r="K36" s="1044">
        <f>名簿!CP33</f>
        <v>0</v>
      </c>
      <c r="L36" s="1045" t="str">
        <f>名簿!CU33</f>
        <v>00</v>
      </c>
      <c r="M36" s="358" t="str">
        <f>名簿!Q33</f>
        <v/>
      </c>
      <c r="N36" s="1256">
        <f>名簿!D33</f>
        <v>0</v>
      </c>
      <c r="O36" s="363"/>
      <c r="P36" s="292" t="str">
        <f t="shared" si="4"/>
        <v/>
      </c>
      <c r="Q36" s="623" t="str">
        <f>IF(O36="","",HLOOKUP(O36,名簿!$AH$3:$CH$118,31,FALSE))</f>
        <v/>
      </c>
      <c r="R36" s="1143"/>
      <c r="S36" s="984" t="str">
        <f t="shared" si="5"/>
        <v/>
      </c>
      <c r="T36" s="985" t="str">
        <f t="shared" si="6"/>
        <v/>
      </c>
      <c r="U36" s="363"/>
      <c r="V36" s="292" t="str">
        <f t="shared" si="7"/>
        <v/>
      </c>
      <c r="W36" s="623" t="str">
        <f>IF(U36="","",HLOOKUP(U36,名簿!$AH$3:$CH$118,31,FALSE))</f>
        <v/>
      </c>
      <c r="X36" s="1145"/>
      <c r="Y36" s="984" t="str">
        <f t="shared" si="8"/>
        <v/>
      </c>
      <c r="Z36" s="985" t="str">
        <f t="shared" si="9"/>
        <v/>
      </c>
      <c r="AA36" s="706" t="str">
        <f>IF(X36="","",IF(I36=1,VLOOKUP(X36,男子種目コード!$J$2:$K$30,2,FALSE),IF(I36=2,VLOOKUP(X36,女子種目コード!$J$2:$K$28,2,FALSE))))</f>
        <v/>
      </c>
      <c r="AB36" s="956"/>
      <c r="AC36" s="972"/>
      <c r="AD36" s="358" t="str">
        <f>IF(AC36="","",IF(I36=1,VLOOKUP(AC36,男子種目コード!$J$2:$K$30,2,FALSE),IF(I36=2,VLOOKUP(AC36,女子種目コード!$J$2:$K$28,2,FALSE))))</f>
        <v/>
      </c>
      <c r="AE36" s="956"/>
      <c r="AF36" s="972"/>
      <c r="AG36" s="358" t="str">
        <f>IF(AF36="","",IF(I36=1,VLOOKUP(AF36,男子種目コード!$J$2:$K$30,2,FALSE),IF(I36=2,VLOOKUP(AF36,女子種目コード!$J$2:$K$28,2,FALSE))))</f>
        <v/>
      </c>
      <c r="AH36" s="957"/>
      <c r="AI36" s="20"/>
      <c r="AJ36" s="20"/>
      <c r="AK36" s="19"/>
      <c r="AL36" s="79"/>
      <c r="AM36" s="989" t="str">
        <f t="shared" si="10"/>
        <v/>
      </c>
      <c r="AN36" s="57" t="str">
        <f t="shared" si="11"/>
        <v/>
      </c>
      <c r="AO36" s="573" t="s">
        <v>1181</v>
      </c>
      <c r="AP36" s="1020">
        <f>COUNTIF($P$7:$P$116,45)+COUNTIF($V$7:$V$116,45)</f>
        <v>0</v>
      </c>
      <c r="AQ36">
        <v>45</v>
      </c>
      <c r="AR36" s="1491" t="s">
        <v>185</v>
      </c>
      <c r="AS36" s="999" t="s">
        <v>1206</v>
      </c>
      <c r="AU36" s="79"/>
      <c r="AV36" s="11"/>
      <c r="AX36" s="370">
        <f t="shared" si="0"/>
        <v>0</v>
      </c>
      <c r="AY36" s="256"/>
      <c r="AZ36" s="256"/>
      <c r="BA36" s="256"/>
      <c r="BB36" s="256"/>
      <c r="BC36" s="19">
        <f t="shared" si="1"/>
        <v>0</v>
      </c>
      <c r="BD36" s="19" t="str">
        <f t="shared" si="2"/>
        <v/>
      </c>
      <c r="BE36" s="19" t="str">
        <f t="shared" si="3"/>
        <v/>
      </c>
      <c r="BG36"/>
      <c r="BH36"/>
    </row>
    <row r="37" spans="2:60">
      <c r="B37" s="358" t="str">
        <f>名簿!P34</f>
        <v/>
      </c>
      <c r="C37" s="966"/>
      <c r="D37" s="966"/>
      <c r="E37" s="1262">
        <f>名簿!E34</f>
        <v>0</v>
      </c>
      <c r="F37" s="700" t="str">
        <f>名簿!CM34</f>
        <v/>
      </c>
      <c r="G37" s="358" t="str">
        <f>名簿!Z34</f>
        <v/>
      </c>
      <c r="H37" s="358" t="str">
        <f>名簿!CM34</f>
        <v/>
      </c>
      <c r="I37" s="359" t="str">
        <f>名簿!Y34</f>
        <v/>
      </c>
      <c r="J37" s="359" t="str">
        <f>名簿!CN34</f>
        <v/>
      </c>
      <c r="K37" s="1044">
        <f>名簿!CP34</f>
        <v>0</v>
      </c>
      <c r="L37" s="1045" t="str">
        <f>名簿!CU34</f>
        <v>00</v>
      </c>
      <c r="M37" s="358" t="str">
        <f>名簿!Q34</f>
        <v/>
      </c>
      <c r="N37" s="1256">
        <f>名簿!D34</f>
        <v>0</v>
      </c>
      <c r="O37" s="363"/>
      <c r="P37" s="292" t="str">
        <f t="shared" si="4"/>
        <v/>
      </c>
      <c r="Q37" s="623" t="str">
        <f>IF(O37="","",HLOOKUP(O37,名簿!$AH$3:$CH$118,32,FALSE))</f>
        <v/>
      </c>
      <c r="R37" s="1143"/>
      <c r="S37" s="984" t="str">
        <f t="shared" si="5"/>
        <v/>
      </c>
      <c r="T37" s="985" t="str">
        <f t="shared" si="6"/>
        <v/>
      </c>
      <c r="U37" s="363"/>
      <c r="V37" s="292" t="str">
        <f t="shared" si="7"/>
        <v/>
      </c>
      <c r="W37" s="623" t="str">
        <f>IF(U37="","",HLOOKUP(U37,名簿!$AH$3:$CH$118,32,FALSE))</f>
        <v/>
      </c>
      <c r="X37" s="1145"/>
      <c r="Y37" s="984" t="str">
        <f t="shared" si="8"/>
        <v/>
      </c>
      <c r="Z37" s="985" t="str">
        <f t="shared" si="9"/>
        <v/>
      </c>
      <c r="AA37" s="706" t="str">
        <f>IF(X37="","",IF(I37=1,VLOOKUP(X37,男子種目コード!$J$2:$K$30,2,FALSE),IF(I37=2,VLOOKUP(X37,女子種目コード!$J$2:$K$28,2,FALSE))))</f>
        <v/>
      </c>
      <c r="AB37" s="956"/>
      <c r="AC37" s="972"/>
      <c r="AD37" s="358" t="str">
        <f>IF(AC37="","",IF(I37=1,VLOOKUP(AC37,男子種目コード!$J$2:$K$30,2,FALSE),IF(I37=2,VLOOKUP(AC37,女子種目コード!$J$2:$K$28,2,FALSE))))</f>
        <v/>
      </c>
      <c r="AE37" s="956"/>
      <c r="AF37" s="972"/>
      <c r="AG37" s="358" t="str">
        <f>IF(AF37="","",IF(I37=1,VLOOKUP(AF37,男子種目コード!$J$2:$K$30,2,FALSE),IF(I37=2,VLOOKUP(AF37,女子種目コード!$J$2:$K$28,2,FALSE))))</f>
        <v/>
      </c>
      <c r="AH37" s="957"/>
      <c r="AI37" s="20"/>
      <c r="AJ37" s="20"/>
      <c r="AK37" s="19"/>
      <c r="AL37" s="79"/>
      <c r="AM37" s="989" t="str">
        <f t="shared" si="10"/>
        <v/>
      </c>
      <c r="AN37" s="57" t="str">
        <f t="shared" si="11"/>
        <v/>
      </c>
      <c r="AO37" s="573" t="s">
        <v>1178</v>
      </c>
      <c r="AP37" s="1020">
        <f>COUNTIF($P$7:$P$116,46)+COUNTIF($V$7:$V$116,46)</f>
        <v>0</v>
      </c>
      <c r="AQ37">
        <v>46</v>
      </c>
      <c r="AR37" s="1492"/>
      <c r="AS37" s="999" t="s">
        <v>1207</v>
      </c>
      <c r="AU37" s="79"/>
      <c r="AV37" s="79"/>
      <c r="AX37" s="370">
        <f t="shared" si="0"/>
        <v>0</v>
      </c>
      <c r="AY37" s="256"/>
      <c r="AZ37" s="256"/>
      <c r="BA37" s="256"/>
      <c r="BB37" s="256"/>
      <c r="BC37" s="19">
        <f t="shared" si="1"/>
        <v>0</v>
      </c>
      <c r="BD37" s="19" t="str">
        <f t="shared" si="2"/>
        <v/>
      </c>
      <c r="BE37" s="19" t="str">
        <f t="shared" si="3"/>
        <v/>
      </c>
      <c r="BG37"/>
      <c r="BH37"/>
    </row>
    <row r="38" spans="2:60">
      <c r="B38" s="358" t="str">
        <f>名簿!P35</f>
        <v/>
      </c>
      <c r="C38" s="966"/>
      <c r="D38" s="966"/>
      <c r="E38" s="1262">
        <f>名簿!E35</f>
        <v>0</v>
      </c>
      <c r="F38" s="700" t="str">
        <f>名簿!CM35</f>
        <v/>
      </c>
      <c r="G38" s="358" t="str">
        <f>名簿!Z35</f>
        <v/>
      </c>
      <c r="H38" s="358" t="str">
        <f>名簿!CM35</f>
        <v/>
      </c>
      <c r="I38" s="359" t="str">
        <f>名簿!Y35</f>
        <v/>
      </c>
      <c r="J38" s="359" t="str">
        <f>名簿!CN35</f>
        <v/>
      </c>
      <c r="K38" s="1044">
        <f>名簿!CP35</f>
        <v>0</v>
      </c>
      <c r="L38" s="1045" t="str">
        <f>名簿!CU35</f>
        <v>00</v>
      </c>
      <c r="M38" s="358" t="str">
        <f>名簿!Q35</f>
        <v/>
      </c>
      <c r="N38" s="1256">
        <f>名簿!D35</f>
        <v>0</v>
      </c>
      <c r="O38" s="363"/>
      <c r="P38" s="292" t="str">
        <f t="shared" si="4"/>
        <v/>
      </c>
      <c r="Q38" s="623" t="str">
        <f>IF(O38="","",HLOOKUP(O38,名簿!$AH$3:$CH$118,33,FALSE))</f>
        <v/>
      </c>
      <c r="R38" s="1143"/>
      <c r="S38" s="984" t="str">
        <f t="shared" si="5"/>
        <v/>
      </c>
      <c r="T38" s="985" t="str">
        <f t="shared" si="6"/>
        <v/>
      </c>
      <c r="U38" s="363"/>
      <c r="V38" s="292" t="str">
        <f t="shared" si="7"/>
        <v/>
      </c>
      <c r="W38" s="623" t="str">
        <f>IF(U38="","",HLOOKUP(U38,名簿!$AH$3:$CH$118,33,FALSE))</f>
        <v/>
      </c>
      <c r="X38" s="1145"/>
      <c r="Y38" s="984" t="str">
        <f t="shared" si="8"/>
        <v/>
      </c>
      <c r="Z38" s="985" t="str">
        <f t="shared" si="9"/>
        <v/>
      </c>
      <c r="AA38" s="706" t="str">
        <f>IF(X38="","",IF(I38=1,VLOOKUP(X38,男子種目コード!$J$2:$K$30,2,FALSE),IF(I38=2,VLOOKUP(X38,女子種目コード!$J$2:$K$28,2,FALSE))))</f>
        <v/>
      </c>
      <c r="AB38" s="956"/>
      <c r="AC38" s="972"/>
      <c r="AD38" s="358" t="str">
        <f>IF(AC38="","",IF(I38=1,VLOOKUP(AC38,男子種目コード!$J$2:$K$30,2,FALSE),IF(I38=2,VLOOKUP(AC38,女子種目コード!$J$2:$K$28,2,FALSE))))</f>
        <v/>
      </c>
      <c r="AE38" s="956"/>
      <c r="AF38" s="972"/>
      <c r="AG38" s="358" t="str">
        <f>IF(AF38="","",IF(I38=1,VLOOKUP(AF38,男子種目コード!$J$2:$K$30,2,FALSE),IF(I38=2,VLOOKUP(AF38,女子種目コード!$J$2:$K$28,2,FALSE))))</f>
        <v/>
      </c>
      <c r="AH38" s="957"/>
      <c r="AI38" s="20"/>
      <c r="AJ38" s="20"/>
      <c r="AK38" s="19"/>
      <c r="AL38" s="79"/>
      <c r="AM38" s="989" t="str">
        <f t="shared" si="10"/>
        <v/>
      </c>
      <c r="AN38" s="57" t="str">
        <f t="shared" si="11"/>
        <v/>
      </c>
      <c r="AO38" s="573" t="s">
        <v>1184</v>
      </c>
      <c r="AP38" s="1020">
        <f>COUNTIF($P$7:$P$116,52)+COUNTIF($V$7:$V$116,52)</f>
        <v>0</v>
      </c>
      <c r="AQ38">
        <v>52</v>
      </c>
      <c r="AR38" s="998" t="s">
        <v>183</v>
      </c>
      <c r="AS38" s="999" t="s">
        <v>798</v>
      </c>
      <c r="AU38" s="79"/>
      <c r="AV38" s="79"/>
      <c r="AX38" s="370">
        <f t="shared" si="0"/>
        <v>0</v>
      </c>
      <c r="AY38" s="256"/>
      <c r="AZ38" s="256"/>
      <c r="BA38" s="256"/>
      <c r="BB38" s="256"/>
      <c r="BC38" s="19">
        <f t="shared" si="1"/>
        <v>0</v>
      </c>
      <c r="BD38" s="19" t="str">
        <f t="shared" si="2"/>
        <v/>
      </c>
      <c r="BE38" s="19" t="str">
        <f t="shared" si="3"/>
        <v/>
      </c>
      <c r="BG38"/>
      <c r="BH38"/>
    </row>
    <row r="39" spans="2:60" ht="14.25" thickBot="1">
      <c r="B39" s="358" t="str">
        <f>名簿!P36</f>
        <v/>
      </c>
      <c r="C39" s="966"/>
      <c r="D39" s="966"/>
      <c r="E39" s="1262">
        <f>名簿!E36</f>
        <v>0</v>
      </c>
      <c r="F39" s="700" t="str">
        <f>名簿!CM36</f>
        <v/>
      </c>
      <c r="G39" s="358" t="str">
        <f>名簿!Z36</f>
        <v/>
      </c>
      <c r="H39" s="358" t="str">
        <f>名簿!CM36</f>
        <v/>
      </c>
      <c r="I39" s="359" t="str">
        <f>名簿!Y36</f>
        <v/>
      </c>
      <c r="J39" s="359" t="str">
        <f>名簿!CN36</f>
        <v/>
      </c>
      <c r="K39" s="1044">
        <f>名簿!CP36</f>
        <v>0</v>
      </c>
      <c r="L39" s="1045" t="str">
        <f>名簿!CU36</f>
        <v>00</v>
      </c>
      <c r="M39" s="358" t="str">
        <f>名簿!Q36</f>
        <v/>
      </c>
      <c r="N39" s="1256">
        <f>名簿!D36</f>
        <v>0</v>
      </c>
      <c r="O39" s="363"/>
      <c r="P39" s="292" t="str">
        <f t="shared" si="4"/>
        <v/>
      </c>
      <c r="Q39" s="623" t="str">
        <f>IF(O39="","",HLOOKUP(O39,名簿!$AH$3:$CH$118,34,FALSE))</f>
        <v/>
      </c>
      <c r="R39" s="1143"/>
      <c r="S39" s="984" t="str">
        <f t="shared" si="5"/>
        <v/>
      </c>
      <c r="T39" s="985" t="str">
        <f t="shared" si="6"/>
        <v/>
      </c>
      <c r="U39" s="363"/>
      <c r="V39" s="292" t="str">
        <f t="shared" si="7"/>
        <v/>
      </c>
      <c r="W39" s="623" t="str">
        <f>IF(U39="","",HLOOKUP(U39,名簿!$AH$3:$CH$118,34,FALSE))</f>
        <v/>
      </c>
      <c r="X39" s="1145"/>
      <c r="Y39" s="984" t="str">
        <f t="shared" si="8"/>
        <v/>
      </c>
      <c r="Z39" s="985" t="str">
        <f t="shared" si="9"/>
        <v/>
      </c>
      <c r="AA39" s="706" t="str">
        <f>IF(X39="","",IF(I39=1,VLOOKUP(X39,男子種目コード!$J$2:$K$30,2,FALSE),IF(I39=2,VLOOKUP(X39,女子種目コード!$J$2:$K$28,2,FALSE))))</f>
        <v/>
      </c>
      <c r="AB39" s="956"/>
      <c r="AC39" s="972"/>
      <c r="AD39" s="358" t="str">
        <f>IF(AC39="","",IF(I39=1,VLOOKUP(AC39,男子種目コード!$J$2:$K$30,2,FALSE),IF(I39=2,VLOOKUP(AC39,女子種目コード!$J$2:$K$28,2,FALSE))))</f>
        <v/>
      </c>
      <c r="AE39" s="956"/>
      <c r="AF39" s="972"/>
      <c r="AG39" s="358" t="str">
        <f>IF(AF39="","",IF(I39=1,VLOOKUP(AF39,男子種目コード!$J$2:$K$30,2,FALSE),IF(I39=2,VLOOKUP(AF39,女子種目コード!$J$2:$K$28,2,FALSE))))</f>
        <v/>
      </c>
      <c r="AH39" s="957"/>
      <c r="AI39" s="20"/>
      <c r="AJ39" s="20"/>
      <c r="AK39" s="19"/>
      <c r="AL39" s="79"/>
      <c r="AM39" s="989" t="str">
        <f t="shared" si="10"/>
        <v/>
      </c>
      <c r="AN39" s="57" t="str">
        <f t="shared" si="11"/>
        <v/>
      </c>
      <c r="AO39" s="573" t="s">
        <v>1179</v>
      </c>
      <c r="AP39" s="1020">
        <f>COUNTIF($P$7:$P$116,48)+COUNTIF($V$7:$V$116,48)</f>
        <v>0</v>
      </c>
      <c r="AQ39">
        <v>48</v>
      </c>
      <c r="AR39" s="1003" t="s">
        <v>622</v>
      </c>
      <c r="AS39" s="1001" t="s">
        <v>836</v>
      </c>
      <c r="AU39" s="79"/>
      <c r="AV39" s="79"/>
      <c r="AX39" s="370">
        <f t="shared" ref="AX39:AX70" si="12">IF(OR(AM39=1,U39=""),0,1)</f>
        <v>0</v>
      </c>
      <c r="AY39" s="256"/>
      <c r="AZ39" s="256"/>
      <c r="BA39" s="256"/>
      <c r="BB39" s="256"/>
      <c r="BC39" s="19">
        <f t="shared" ref="BC39:BC70" si="13">COUNT(P39,V39,AA39)</f>
        <v>0</v>
      </c>
      <c r="BD39" s="19" t="str">
        <f t="shared" ref="BD39:BD70" si="14">IF(I39=1,BC39,"")</f>
        <v/>
      </c>
      <c r="BE39" s="19" t="str">
        <f t="shared" ref="BE39:BE70" si="15">IF(I39=2,BC39,"")</f>
        <v/>
      </c>
      <c r="BG39"/>
      <c r="BH39"/>
    </row>
    <row r="40" spans="2:60" ht="14.25" thickBot="1">
      <c r="B40" s="358" t="str">
        <f>名簿!P37</f>
        <v/>
      </c>
      <c r="C40" s="966"/>
      <c r="D40" s="966"/>
      <c r="E40" s="1262">
        <f>名簿!E37</f>
        <v>0</v>
      </c>
      <c r="F40" s="700" t="str">
        <f>名簿!CM37</f>
        <v/>
      </c>
      <c r="G40" s="358" t="str">
        <f>名簿!Z37</f>
        <v/>
      </c>
      <c r="H40" s="358" t="str">
        <f>名簿!CM37</f>
        <v/>
      </c>
      <c r="I40" s="359" t="str">
        <f>名簿!Y37</f>
        <v/>
      </c>
      <c r="J40" s="359" t="str">
        <f>名簿!CN37</f>
        <v/>
      </c>
      <c r="K40" s="1044">
        <f>名簿!CP37</f>
        <v>0</v>
      </c>
      <c r="L40" s="1045" t="str">
        <f>名簿!CU37</f>
        <v>00</v>
      </c>
      <c r="M40" s="358" t="str">
        <f>名簿!Q37</f>
        <v/>
      </c>
      <c r="N40" s="1256">
        <f>名簿!D37</f>
        <v>0</v>
      </c>
      <c r="O40" s="363"/>
      <c r="P40" s="292" t="str">
        <f t="shared" si="4"/>
        <v/>
      </c>
      <c r="Q40" s="623" t="str">
        <f>IF(O40="","",HLOOKUP(O40,名簿!$AH$3:$CH$118,35,FALSE))</f>
        <v/>
      </c>
      <c r="R40" s="1143"/>
      <c r="S40" s="984" t="str">
        <f t="shared" si="5"/>
        <v/>
      </c>
      <c r="T40" s="985" t="str">
        <f t="shared" si="6"/>
        <v/>
      </c>
      <c r="U40" s="363"/>
      <c r="V40" s="292" t="str">
        <f t="shared" si="7"/>
        <v/>
      </c>
      <c r="W40" s="623" t="str">
        <f>IF(U40="","",HLOOKUP(U40,名簿!$AH$3:$CH$118,35,FALSE))</f>
        <v/>
      </c>
      <c r="X40" s="1145"/>
      <c r="Y40" s="984" t="str">
        <f t="shared" si="8"/>
        <v/>
      </c>
      <c r="Z40" s="985" t="str">
        <f t="shared" si="9"/>
        <v/>
      </c>
      <c r="AA40" s="706" t="str">
        <f>IF(X40="","",IF(I40=1,VLOOKUP(X40,男子種目コード!$J$2:$K$30,2,FALSE),IF(I40=2,VLOOKUP(X40,女子種目コード!$J$2:$K$28,2,FALSE))))</f>
        <v/>
      </c>
      <c r="AB40" s="956"/>
      <c r="AC40" s="972"/>
      <c r="AD40" s="358" t="str">
        <f>IF(AC40="","",IF(I40=1,VLOOKUP(AC40,男子種目コード!$J$2:$K$30,2,FALSE),IF(I40=2,VLOOKUP(AC40,女子種目コード!$J$2:$K$28,2,FALSE))))</f>
        <v/>
      </c>
      <c r="AE40" s="956"/>
      <c r="AF40" s="972"/>
      <c r="AG40" s="358" t="str">
        <f>IF(AF40="","",IF(I40=1,VLOOKUP(AF40,男子種目コード!$J$2:$K$30,2,FALSE),IF(I40=2,VLOOKUP(AF40,女子種目コード!$J$2:$K$28,2,FALSE))))</f>
        <v/>
      </c>
      <c r="AH40" s="957"/>
      <c r="AI40" s="20"/>
      <c r="AJ40" s="20"/>
      <c r="AK40" s="19"/>
      <c r="AL40" s="79"/>
      <c r="AM40" s="989" t="str">
        <f t="shared" si="10"/>
        <v/>
      </c>
      <c r="AN40" s="57" t="str">
        <f t="shared" si="11"/>
        <v/>
      </c>
      <c r="AO40" s="573" t="s">
        <v>1191</v>
      </c>
      <c r="AP40" s="1020">
        <f>COUNTIF($P$7:$P$116,50)+COUNTIF($V$7:$V$116,50)</f>
        <v>0</v>
      </c>
      <c r="AQ40">
        <v>50</v>
      </c>
      <c r="AR40" s="1482" t="s">
        <v>413</v>
      </c>
      <c r="AS40" s="1483"/>
      <c r="AU40" s="79"/>
      <c r="AV40" s="79"/>
      <c r="AX40" s="370">
        <f t="shared" si="12"/>
        <v>0</v>
      </c>
      <c r="AY40" s="256"/>
      <c r="AZ40" s="256"/>
      <c r="BA40" s="256"/>
      <c r="BB40" s="256"/>
      <c r="BC40" s="19">
        <f t="shared" si="13"/>
        <v>0</v>
      </c>
      <c r="BD40" s="19" t="str">
        <f t="shared" si="14"/>
        <v/>
      </c>
      <c r="BE40" s="19" t="str">
        <f t="shared" si="15"/>
        <v/>
      </c>
      <c r="BG40"/>
      <c r="BH40"/>
    </row>
    <row r="41" spans="2:60">
      <c r="B41" s="358" t="str">
        <f>名簿!P38</f>
        <v/>
      </c>
      <c r="C41" s="966"/>
      <c r="D41" s="966"/>
      <c r="E41" s="1262">
        <f>名簿!E38</f>
        <v>0</v>
      </c>
      <c r="F41" s="700" t="str">
        <f>名簿!CM38</f>
        <v/>
      </c>
      <c r="G41" s="358" t="str">
        <f>名簿!Z38</f>
        <v/>
      </c>
      <c r="H41" s="358" t="str">
        <f>名簿!CM38</f>
        <v/>
      </c>
      <c r="I41" s="359" t="str">
        <f>名簿!Y38</f>
        <v/>
      </c>
      <c r="J41" s="359" t="str">
        <f>名簿!CN38</f>
        <v/>
      </c>
      <c r="K41" s="1044">
        <f>名簿!CP38</f>
        <v>0</v>
      </c>
      <c r="L41" s="1045" t="str">
        <f>名簿!CU38</f>
        <v>00</v>
      </c>
      <c r="M41" s="358" t="str">
        <f>名簿!Q38</f>
        <v/>
      </c>
      <c r="N41" s="1256">
        <f>名簿!D38</f>
        <v>0</v>
      </c>
      <c r="O41" s="363"/>
      <c r="P41" s="292" t="str">
        <f t="shared" si="4"/>
        <v/>
      </c>
      <c r="Q41" s="623" t="str">
        <f>IF(O41="","",HLOOKUP(O41,名簿!$AH$3:$CH$118,36,FALSE))</f>
        <v/>
      </c>
      <c r="R41" s="1143"/>
      <c r="S41" s="984" t="str">
        <f t="shared" si="5"/>
        <v/>
      </c>
      <c r="T41" s="985" t="str">
        <f t="shared" si="6"/>
        <v/>
      </c>
      <c r="U41" s="363"/>
      <c r="V41" s="292" t="str">
        <f t="shared" si="7"/>
        <v/>
      </c>
      <c r="W41" s="623" t="str">
        <f>IF(U41="","",HLOOKUP(U41,名簿!$AH$3:$CH$118,36,FALSE))</f>
        <v/>
      </c>
      <c r="X41" s="1145"/>
      <c r="Y41" s="984" t="str">
        <f t="shared" si="8"/>
        <v/>
      </c>
      <c r="Z41" s="985" t="str">
        <f t="shared" si="9"/>
        <v/>
      </c>
      <c r="AA41" s="706" t="str">
        <f>IF(X41="","",IF(I41=1,VLOOKUP(X41,男子種目コード!$J$2:$K$30,2,FALSE),IF(I41=2,VLOOKUP(X41,女子種目コード!$J$2:$K$28,2,FALSE))))</f>
        <v/>
      </c>
      <c r="AB41" s="956"/>
      <c r="AC41" s="972"/>
      <c r="AD41" s="358" t="str">
        <f>IF(AC41="","",IF(I41=1,VLOOKUP(AC41,男子種目コード!$J$2:$K$30,2,FALSE),IF(I41=2,VLOOKUP(AC41,女子種目コード!$J$2:$K$28,2,FALSE))))</f>
        <v/>
      </c>
      <c r="AE41" s="956"/>
      <c r="AF41" s="972"/>
      <c r="AG41" s="358" t="str">
        <f>IF(AF41="","",IF(I41=1,VLOOKUP(AF41,男子種目コード!$J$2:$K$30,2,FALSE),IF(I41=2,VLOOKUP(AF41,女子種目コード!$J$2:$K$28,2,FALSE))))</f>
        <v/>
      </c>
      <c r="AH41" s="957"/>
      <c r="AI41" s="20"/>
      <c r="AJ41" s="20"/>
      <c r="AK41" s="19"/>
      <c r="AL41" s="11"/>
      <c r="AM41" s="989" t="str">
        <f t="shared" si="10"/>
        <v/>
      </c>
      <c r="AN41" s="57" t="str">
        <f t="shared" si="11"/>
        <v/>
      </c>
      <c r="AO41" s="573" t="s">
        <v>1185</v>
      </c>
      <c r="AP41" s="1020">
        <f>COUNTIF($P$7:$P$116,51)+COUNTIF($V$7:$V$116,51)</f>
        <v>0</v>
      </c>
      <c r="AQ41">
        <v>51</v>
      </c>
      <c r="AR41" s="996">
        <v>100</v>
      </c>
      <c r="AS41" s="997" t="s">
        <v>616</v>
      </c>
      <c r="AU41" s="11"/>
      <c r="AV41" s="79"/>
      <c r="AX41" s="370">
        <f t="shared" si="12"/>
        <v>0</v>
      </c>
      <c r="AY41" s="256"/>
      <c r="AZ41" s="256"/>
      <c r="BA41" s="256"/>
      <c r="BB41" s="256"/>
      <c r="BC41" s="19">
        <f t="shared" si="13"/>
        <v>0</v>
      </c>
      <c r="BD41" s="19" t="str">
        <f t="shared" si="14"/>
        <v/>
      </c>
      <c r="BE41" s="19" t="str">
        <f t="shared" si="15"/>
        <v/>
      </c>
      <c r="BG41"/>
      <c r="BH41"/>
    </row>
    <row r="42" spans="2:60" ht="14.25" thickBot="1">
      <c r="B42" s="358" t="str">
        <f>名簿!P39</f>
        <v/>
      </c>
      <c r="C42" s="966"/>
      <c r="D42" s="966"/>
      <c r="E42" s="1262">
        <f>名簿!E39</f>
        <v>0</v>
      </c>
      <c r="F42" s="700" t="str">
        <f>名簿!CM39</f>
        <v/>
      </c>
      <c r="G42" s="358" t="str">
        <f>名簿!Z39</f>
        <v/>
      </c>
      <c r="H42" s="358" t="str">
        <f>名簿!CM39</f>
        <v/>
      </c>
      <c r="I42" s="359" t="str">
        <f>名簿!Y39</f>
        <v/>
      </c>
      <c r="J42" s="359" t="str">
        <f>名簿!CN39</f>
        <v/>
      </c>
      <c r="K42" s="1044">
        <f>名簿!CP39</f>
        <v>0</v>
      </c>
      <c r="L42" s="1045" t="str">
        <f>名簿!CU39</f>
        <v>00</v>
      </c>
      <c r="M42" s="358" t="str">
        <f>名簿!Q39</f>
        <v/>
      </c>
      <c r="N42" s="1256">
        <f>名簿!D39</f>
        <v>0</v>
      </c>
      <c r="O42" s="363"/>
      <c r="P42" s="292" t="str">
        <f t="shared" si="4"/>
        <v/>
      </c>
      <c r="Q42" s="623" t="str">
        <f>IF(O42="","",HLOOKUP(O42,名簿!$AH$3:$CH$118,37,FALSE))</f>
        <v/>
      </c>
      <c r="R42" s="1143"/>
      <c r="S42" s="984" t="str">
        <f t="shared" si="5"/>
        <v/>
      </c>
      <c r="T42" s="985" t="str">
        <f t="shared" si="6"/>
        <v/>
      </c>
      <c r="U42" s="363"/>
      <c r="V42" s="292" t="str">
        <f t="shared" si="7"/>
        <v/>
      </c>
      <c r="W42" s="623" t="str">
        <f>IF(U42="","",HLOOKUP(U42,名簿!$AH$3:$CH$118,37,FALSE))</f>
        <v/>
      </c>
      <c r="X42" s="1145"/>
      <c r="Y42" s="984" t="str">
        <f t="shared" si="8"/>
        <v/>
      </c>
      <c r="Z42" s="985" t="str">
        <f t="shared" si="9"/>
        <v/>
      </c>
      <c r="AA42" s="706" t="str">
        <f>IF(X42="","",IF(I42=1,VLOOKUP(X42,男子種目コード!$J$2:$K$30,2,FALSE),IF(I42=2,VLOOKUP(X42,女子種目コード!$J$2:$K$28,2,FALSE))))</f>
        <v/>
      </c>
      <c r="AB42" s="956"/>
      <c r="AC42" s="972"/>
      <c r="AD42" s="358" t="str">
        <f>IF(AC42="","",IF(I42=1,VLOOKUP(AC42,男子種目コード!$J$2:$K$30,2,FALSE),IF(I42=2,VLOOKUP(AC42,女子種目コード!$J$2:$K$28,2,FALSE))))</f>
        <v/>
      </c>
      <c r="AE42" s="956"/>
      <c r="AF42" s="972"/>
      <c r="AG42" s="358" t="str">
        <f>IF(AF42="","",IF(I42=1,VLOOKUP(AF42,男子種目コード!$J$2:$K$30,2,FALSE),IF(I42=2,VLOOKUP(AF42,女子種目コード!$J$2:$K$28,2,FALSE))))</f>
        <v/>
      </c>
      <c r="AH42" s="957"/>
      <c r="AI42" s="20"/>
      <c r="AJ42" s="20"/>
      <c r="AK42" s="19"/>
      <c r="AL42" s="11"/>
      <c r="AM42" s="989" t="str">
        <f t="shared" si="10"/>
        <v/>
      </c>
      <c r="AN42" s="57" t="str">
        <f t="shared" si="11"/>
        <v/>
      </c>
      <c r="AO42" s="709" t="s">
        <v>450</v>
      </c>
      <c r="AP42" s="1022">
        <f>SUM(AP26:AP41)</f>
        <v>0</v>
      </c>
      <c r="AQ42" s="478"/>
      <c r="AR42" s="998">
        <v>1500</v>
      </c>
      <c r="AS42" s="999" t="s">
        <v>1208</v>
      </c>
      <c r="AU42" s="11"/>
      <c r="AV42" s="11"/>
      <c r="AX42" s="370">
        <f t="shared" si="12"/>
        <v>0</v>
      </c>
      <c r="AY42" s="256"/>
      <c r="AZ42" s="256"/>
      <c r="BA42" s="256"/>
      <c r="BB42" s="256"/>
      <c r="BC42" s="19">
        <f t="shared" si="13"/>
        <v>0</v>
      </c>
      <c r="BD42" s="19" t="str">
        <f t="shared" si="14"/>
        <v/>
      </c>
      <c r="BE42" s="19" t="str">
        <f t="shared" si="15"/>
        <v/>
      </c>
    </row>
    <row r="43" spans="2:60">
      <c r="B43" s="358" t="str">
        <f>名簿!P40</f>
        <v/>
      </c>
      <c r="C43" s="966"/>
      <c r="D43" s="966"/>
      <c r="E43" s="1262">
        <f>名簿!E40</f>
        <v>0</v>
      </c>
      <c r="F43" s="700" t="str">
        <f>名簿!CM40</f>
        <v/>
      </c>
      <c r="G43" s="358" t="str">
        <f>名簿!Z40</f>
        <v/>
      </c>
      <c r="H43" s="358" t="str">
        <f>名簿!CM40</f>
        <v/>
      </c>
      <c r="I43" s="359" t="str">
        <f>名簿!Y40</f>
        <v/>
      </c>
      <c r="J43" s="359" t="str">
        <f>名簿!CN40</f>
        <v/>
      </c>
      <c r="K43" s="1044">
        <f>名簿!CP40</f>
        <v>0</v>
      </c>
      <c r="L43" s="1045" t="str">
        <f>名簿!CU40</f>
        <v>00</v>
      </c>
      <c r="M43" s="358" t="str">
        <f>名簿!Q40</f>
        <v/>
      </c>
      <c r="N43" s="1256">
        <f>名簿!D40</f>
        <v>0</v>
      </c>
      <c r="O43" s="363"/>
      <c r="P43" s="292" t="str">
        <f t="shared" si="4"/>
        <v/>
      </c>
      <c r="Q43" s="623" t="str">
        <f>IF(O43="","",HLOOKUP(O43,名簿!$AH$3:$CH$118,38,FALSE))</f>
        <v/>
      </c>
      <c r="R43" s="1143"/>
      <c r="S43" s="984" t="str">
        <f t="shared" si="5"/>
        <v/>
      </c>
      <c r="T43" s="985" t="str">
        <f t="shared" si="6"/>
        <v/>
      </c>
      <c r="U43" s="363"/>
      <c r="V43" s="292" t="str">
        <f t="shared" si="7"/>
        <v/>
      </c>
      <c r="W43" s="623" t="str">
        <f>IF(U43="","",HLOOKUP(U43,名簿!$AH$3:$CH$118,38,FALSE))</f>
        <v/>
      </c>
      <c r="X43" s="1145"/>
      <c r="Y43" s="984" t="str">
        <f t="shared" si="8"/>
        <v/>
      </c>
      <c r="Z43" s="985" t="str">
        <f t="shared" si="9"/>
        <v/>
      </c>
      <c r="AA43" s="706" t="str">
        <f>IF(X43="","",IF(I43=1,VLOOKUP(X43,男子種目コード!$J$2:$K$30,2,FALSE),IF(I43=2,VLOOKUP(X43,女子種目コード!$J$2:$K$28,2,FALSE))))</f>
        <v/>
      </c>
      <c r="AB43" s="956"/>
      <c r="AC43" s="972"/>
      <c r="AD43" s="358" t="str">
        <f>IF(AC43="","",IF(I43=1,VLOOKUP(AC43,男子種目コード!$J$2:$K$30,2,FALSE),IF(I43=2,VLOOKUP(AC43,女子種目コード!$J$2:$K$28,2,FALSE))))</f>
        <v/>
      </c>
      <c r="AE43" s="956"/>
      <c r="AF43" s="972"/>
      <c r="AG43" s="358" t="str">
        <f>IF(AF43="","",IF(I43=1,VLOOKUP(AF43,男子種目コード!$J$2:$K$30,2,FALSE),IF(I43=2,VLOOKUP(AF43,女子種目コード!$J$2:$K$28,2,FALSE))))</f>
        <v/>
      </c>
      <c r="AH43" s="957"/>
      <c r="AI43" s="20"/>
      <c r="AJ43" s="20"/>
      <c r="AK43" s="19"/>
      <c r="AL43" s="979"/>
      <c r="AM43" s="989" t="str">
        <f t="shared" si="10"/>
        <v/>
      </c>
      <c r="AN43" s="57" t="str">
        <f t="shared" si="11"/>
        <v/>
      </c>
      <c r="AO43" s="990"/>
      <c r="AP43" s="1007"/>
      <c r="AQ43" s="478"/>
      <c r="AR43" s="998" t="s">
        <v>623</v>
      </c>
      <c r="AS43" s="999" t="s">
        <v>854</v>
      </c>
      <c r="AU43" s="22"/>
      <c r="AV43" s="11"/>
      <c r="AX43" s="370">
        <f t="shared" si="12"/>
        <v>0</v>
      </c>
      <c r="AY43" s="256"/>
      <c r="AZ43" s="256"/>
      <c r="BA43" s="256"/>
      <c r="BB43" s="256"/>
      <c r="BC43" s="19">
        <f t="shared" si="13"/>
        <v>0</v>
      </c>
      <c r="BD43" s="19" t="str">
        <f t="shared" si="14"/>
        <v/>
      </c>
      <c r="BE43" s="19" t="str">
        <f t="shared" si="15"/>
        <v/>
      </c>
    </row>
    <row r="44" spans="2:60">
      <c r="B44" s="358" t="str">
        <f>名簿!P41</f>
        <v/>
      </c>
      <c r="C44" s="966"/>
      <c r="D44" s="966"/>
      <c r="E44" s="1262">
        <f>名簿!E41</f>
        <v>0</v>
      </c>
      <c r="F44" s="700" t="str">
        <f>名簿!CM41</f>
        <v/>
      </c>
      <c r="G44" s="358" t="str">
        <f>名簿!Z41</f>
        <v/>
      </c>
      <c r="H44" s="358" t="str">
        <f>名簿!CM41</f>
        <v/>
      </c>
      <c r="I44" s="359" t="str">
        <f>名簿!Y41</f>
        <v/>
      </c>
      <c r="J44" s="359" t="str">
        <f>名簿!CN41</f>
        <v/>
      </c>
      <c r="K44" s="1044">
        <f>名簿!CP41</f>
        <v>0</v>
      </c>
      <c r="L44" s="1045" t="str">
        <f>名簿!CU41</f>
        <v>00</v>
      </c>
      <c r="M44" s="358" t="str">
        <f>名簿!Q41</f>
        <v/>
      </c>
      <c r="N44" s="1256">
        <f>名簿!D41</f>
        <v>0</v>
      </c>
      <c r="O44" s="363"/>
      <c r="P44" s="292" t="str">
        <f t="shared" si="4"/>
        <v/>
      </c>
      <c r="Q44" s="623" t="str">
        <f>IF(O44="","",HLOOKUP(O44,名簿!$AH$3:$CH$118,39,FALSE))</f>
        <v/>
      </c>
      <c r="R44" s="1143"/>
      <c r="S44" s="984" t="str">
        <f t="shared" si="5"/>
        <v/>
      </c>
      <c r="T44" s="985" t="str">
        <f t="shared" si="6"/>
        <v/>
      </c>
      <c r="U44" s="363"/>
      <c r="V44" s="292" t="str">
        <f t="shared" si="7"/>
        <v/>
      </c>
      <c r="W44" s="623" t="str">
        <f>IF(U44="","",HLOOKUP(U44,名簿!$AH$3:$CH$118,39,FALSE))</f>
        <v/>
      </c>
      <c r="X44" s="1145"/>
      <c r="Y44" s="984" t="str">
        <f t="shared" si="8"/>
        <v/>
      </c>
      <c r="Z44" s="985" t="str">
        <f t="shared" si="9"/>
        <v/>
      </c>
      <c r="AA44" s="706" t="str">
        <f>IF(X44="","",IF(I44=1,VLOOKUP(X44,男子種目コード!$J$2:$K$30,2,FALSE),IF(I44=2,VLOOKUP(X44,女子種目コード!$J$2:$K$28,2,FALSE))))</f>
        <v/>
      </c>
      <c r="AB44" s="956"/>
      <c r="AC44" s="972"/>
      <c r="AD44" s="358" t="str">
        <f>IF(AC44="","",IF(I44=1,VLOOKUP(AC44,男子種目コード!$J$2:$K$30,2,FALSE),IF(I44=2,VLOOKUP(AC44,女子種目コード!$J$2:$K$28,2,FALSE))))</f>
        <v/>
      </c>
      <c r="AE44" s="956"/>
      <c r="AF44" s="972"/>
      <c r="AG44" s="358" t="str">
        <f>IF(AF44="","",IF(I44=1,VLOOKUP(AF44,男子種目コード!$J$2:$K$30,2,FALSE),IF(I44=2,VLOOKUP(AF44,女子種目コード!$J$2:$K$28,2,FALSE))))</f>
        <v/>
      </c>
      <c r="AH44" s="957"/>
      <c r="AI44" s="20"/>
      <c r="AJ44" s="20"/>
      <c r="AK44" s="19"/>
      <c r="AL44" s="979"/>
      <c r="AM44" s="989" t="str">
        <f t="shared" si="10"/>
        <v/>
      </c>
      <c r="AN44" s="57" t="str">
        <f t="shared" si="11"/>
        <v/>
      </c>
      <c r="AO44" s="1473"/>
      <c r="AP44" s="1473"/>
      <c r="AQ44" s="478"/>
      <c r="AR44" s="998" t="s">
        <v>180</v>
      </c>
      <c r="AS44" s="1004" t="s">
        <v>625</v>
      </c>
      <c r="AU44" s="22"/>
      <c r="AV44" s="22"/>
      <c r="AX44" s="370">
        <f t="shared" si="12"/>
        <v>0</v>
      </c>
      <c r="AY44" s="256"/>
      <c r="AZ44" s="256"/>
      <c r="BA44" s="256"/>
      <c r="BB44" s="256"/>
      <c r="BC44" s="19">
        <f t="shared" si="13"/>
        <v>0</v>
      </c>
      <c r="BD44" s="19" t="str">
        <f t="shared" si="14"/>
        <v/>
      </c>
      <c r="BE44" s="19" t="str">
        <f t="shared" si="15"/>
        <v/>
      </c>
    </row>
    <row r="45" spans="2:60">
      <c r="B45" s="358" t="str">
        <f>名簿!P42</f>
        <v/>
      </c>
      <c r="C45" s="966"/>
      <c r="D45" s="966"/>
      <c r="E45" s="1262">
        <f>名簿!E42</f>
        <v>0</v>
      </c>
      <c r="F45" s="700" t="str">
        <f>名簿!CM42</f>
        <v/>
      </c>
      <c r="G45" s="358" t="str">
        <f>名簿!Z42</f>
        <v/>
      </c>
      <c r="H45" s="358" t="str">
        <f>名簿!CM42</f>
        <v/>
      </c>
      <c r="I45" s="359" t="str">
        <f>名簿!Y42</f>
        <v/>
      </c>
      <c r="J45" s="359" t="str">
        <f>名簿!CN42</f>
        <v/>
      </c>
      <c r="K45" s="1044">
        <f>名簿!CP42</f>
        <v>0</v>
      </c>
      <c r="L45" s="1045" t="str">
        <f>名簿!CU42</f>
        <v>00</v>
      </c>
      <c r="M45" s="358" t="str">
        <f>名簿!Q42</f>
        <v/>
      </c>
      <c r="N45" s="1256">
        <f>名簿!D42</f>
        <v>0</v>
      </c>
      <c r="O45" s="363"/>
      <c r="P45" s="292" t="str">
        <f t="shared" si="4"/>
        <v/>
      </c>
      <c r="Q45" s="623" t="str">
        <f>IF(O45="","",HLOOKUP(O45,名簿!$AH$3:$CH$118,40,FALSE))</f>
        <v/>
      </c>
      <c r="R45" s="1143"/>
      <c r="S45" s="984" t="str">
        <f t="shared" si="5"/>
        <v/>
      </c>
      <c r="T45" s="985" t="str">
        <f t="shared" si="6"/>
        <v/>
      </c>
      <c r="U45" s="363"/>
      <c r="V45" s="292" t="str">
        <f t="shared" si="7"/>
        <v/>
      </c>
      <c r="W45" s="623" t="str">
        <f>IF(U45="","",HLOOKUP(U45,名簿!$AH$3:$CH$118,40,FALSE))</f>
        <v/>
      </c>
      <c r="X45" s="1145"/>
      <c r="Y45" s="984" t="str">
        <f t="shared" si="8"/>
        <v/>
      </c>
      <c r="Z45" s="985" t="str">
        <f t="shared" si="9"/>
        <v/>
      </c>
      <c r="AA45" s="706" t="str">
        <f>IF(X45="","",IF(I45=1,VLOOKUP(X45,男子種目コード!$J$2:$K$30,2,FALSE),IF(I45=2,VLOOKUP(X45,女子種目コード!$J$2:$K$28,2,FALSE))))</f>
        <v/>
      </c>
      <c r="AB45" s="956"/>
      <c r="AC45" s="972"/>
      <c r="AD45" s="358" t="str">
        <f>IF(AC45="","",IF(I45=1,VLOOKUP(AC45,男子種目コード!$J$2:$K$30,2,FALSE),IF(I45=2,VLOOKUP(AC45,女子種目コード!$J$2:$K$28,2,FALSE))))</f>
        <v/>
      </c>
      <c r="AE45" s="956"/>
      <c r="AF45" s="972"/>
      <c r="AG45" s="358" t="str">
        <f>IF(AF45="","",IF(I45=1,VLOOKUP(AF45,男子種目コード!$J$2:$K$30,2,FALSE),IF(I45=2,VLOOKUP(AF45,女子種目コード!$J$2:$K$28,2,FALSE))))</f>
        <v/>
      </c>
      <c r="AH45" s="957"/>
      <c r="AI45" s="20"/>
      <c r="AJ45" s="20"/>
      <c r="AK45" s="19"/>
      <c r="AL45" s="979"/>
      <c r="AM45" s="989" t="str">
        <f t="shared" si="10"/>
        <v/>
      </c>
      <c r="AN45" s="57" t="str">
        <f t="shared" si="11"/>
        <v/>
      </c>
      <c r="AO45" s="1473"/>
      <c r="AP45" s="1473"/>
      <c r="AQ45" s="478"/>
      <c r="AR45" s="998" t="s">
        <v>185</v>
      </c>
      <c r="AS45" s="1004" t="s">
        <v>837</v>
      </c>
      <c r="AU45" s="22"/>
      <c r="AV45" s="22"/>
      <c r="AX45" s="370">
        <f t="shared" si="12"/>
        <v>0</v>
      </c>
      <c r="AY45" s="256"/>
      <c r="AZ45" s="256"/>
      <c r="BA45" s="256"/>
      <c r="BB45" s="256"/>
      <c r="BC45" s="19">
        <f t="shared" si="13"/>
        <v>0</v>
      </c>
      <c r="BD45" s="19" t="str">
        <f t="shared" si="14"/>
        <v/>
      </c>
      <c r="BE45" s="19" t="str">
        <f t="shared" si="15"/>
        <v/>
      </c>
    </row>
    <row r="46" spans="2:60">
      <c r="B46" s="358" t="str">
        <f>名簿!P43</f>
        <v/>
      </c>
      <c r="C46" s="966"/>
      <c r="D46" s="966"/>
      <c r="E46" s="1262">
        <f>名簿!E43</f>
        <v>0</v>
      </c>
      <c r="F46" s="700" t="str">
        <f>名簿!CM43</f>
        <v/>
      </c>
      <c r="G46" s="358" t="str">
        <f>名簿!Z43</f>
        <v/>
      </c>
      <c r="H46" s="358" t="str">
        <f>名簿!CM43</f>
        <v/>
      </c>
      <c r="I46" s="359" t="str">
        <f>名簿!Y43</f>
        <v/>
      </c>
      <c r="J46" s="359" t="str">
        <f>名簿!CN43</f>
        <v/>
      </c>
      <c r="K46" s="1044">
        <f>名簿!CP43</f>
        <v>0</v>
      </c>
      <c r="L46" s="1045" t="str">
        <f>名簿!CU43</f>
        <v>00</v>
      </c>
      <c r="M46" s="358" t="str">
        <f>名簿!Q43</f>
        <v/>
      </c>
      <c r="N46" s="1256">
        <f>名簿!D43</f>
        <v>0</v>
      </c>
      <c r="O46" s="363"/>
      <c r="P46" s="292" t="str">
        <f t="shared" si="4"/>
        <v/>
      </c>
      <c r="Q46" s="623" t="str">
        <f>IF(O46="","",HLOOKUP(O46,名簿!$AH$3:$CH$118,41,FALSE))</f>
        <v/>
      </c>
      <c r="R46" s="1143"/>
      <c r="S46" s="984" t="str">
        <f t="shared" si="5"/>
        <v/>
      </c>
      <c r="T46" s="985" t="str">
        <f t="shared" si="6"/>
        <v/>
      </c>
      <c r="U46" s="363"/>
      <c r="V46" s="292" t="str">
        <f t="shared" si="7"/>
        <v/>
      </c>
      <c r="W46" s="623" t="str">
        <f>IF(U46="","",HLOOKUP(U46,名簿!$AH$3:$CH$118,41,FALSE))</f>
        <v/>
      </c>
      <c r="X46" s="1145"/>
      <c r="Y46" s="984" t="str">
        <f t="shared" si="8"/>
        <v/>
      </c>
      <c r="Z46" s="985" t="str">
        <f t="shared" si="9"/>
        <v/>
      </c>
      <c r="AA46" s="706" t="str">
        <f>IF(X46="","",IF(I46=1,VLOOKUP(X46,男子種目コード!$J$2:$K$30,2,FALSE),IF(I46=2,VLOOKUP(X46,女子種目コード!$J$2:$K$28,2,FALSE))))</f>
        <v/>
      </c>
      <c r="AB46" s="956"/>
      <c r="AC46" s="972"/>
      <c r="AD46" s="358" t="str">
        <f>IF(AC46="","",IF(I46=1,VLOOKUP(AC46,男子種目コード!$J$2:$K$30,2,FALSE),IF(I46=2,VLOOKUP(AC46,女子種目コード!$J$2:$K$28,2,FALSE))))</f>
        <v/>
      </c>
      <c r="AE46" s="956"/>
      <c r="AF46" s="972"/>
      <c r="AG46" s="358" t="str">
        <f>IF(AF46="","",IF(I46=1,VLOOKUP(AF46,男子種目コード!$J$2:$K$30,2,FALSE),IF(I46=2,VLOOKUP(AF46,女子種目コード!$J$2:$K$28,2,FALSE))))</f>
        <v/>
      </c>
      <c r="AH46" s="957"/>
      <c r="AI46" s="20"/>
      <c r="AJ46" s="20"/>
      <c r="AK46" s="19"/>
      <c r="AL46" s="979"/>
      <c r="AM46" s="989" t="str">
        <f t="shared" si="10"/>
        <v/>
      </c>
      <c r="AN46" s="57" t="str">
        <f t="shared" si="11"/>
        <v/>
      </c>
      <c r="AO46" s="991"/>
      <c r="AP46" s="482"/>
      <c r="AQ46" s="479"/>
      <c r="AR46" s="998" t="s">
        <v>183</v>
      </c>
      <c r="AS46" s="1004" t="s">
        <v>798</v>
      </c>
      <c r="AU46" s="22"/>
      <c r="AV46" s="22"/>
      <c r="AX46" s="370">
        <f t="shared" si="12"/>
        <v>0</v>
      </c>
      <c r="AY46" s="256"/>
      <c r="AZ46" s="256"/>
      <c r="BA46" s="256"/>
      <c r="BB46" s="256"/>
      <c r="BC46" s="19">
        <f t="shared" si="13"/>
        <v>0</v>
      </c>
      <c r="BD46" s="19" t="str">
        <f t="shared" si="14"/>
        <v/>
      </c>
      <c r="BE46" s="19" t="str">
        <f t="shared" si="15"/>
        <v/>
      </c>
    </row>
    <row r="47" spans="2:60" ht="14.25" thickBot="1">
      <c r="B47" s="358" t="str">
        <f>名簿!P44</f>
        <v/>
      </c>
      <c r="C47" s="966"/>
      <c r="D47" s="966"/>
      <c r="E47" s="1262">
        <f>名簿!E44</f>
        <v>0</v>
      </c>
      <c r="F47" s="700" t="str">
        <f>名簿!CM44</f>
        <v/>
      </c>
      <c r="G47" s="358" t="str">
        <f>名簿!Z44</f>
        <v/>
      </c>
      <c r="H47" s="358" t="str">
        <f>名簿!CM44</f>
        <v/>
      </c>
      <c r="I47" s="359" t="str">
        <f>名簿!Y44</f>
        <v/>
      </c>
      <c r="J47" s="359" t="str">
        <f>名簿!CN44</f>
        <v/>
      </c>
      <c r="K47" s="1044">
        <f>名簿!CP44</f>
        <v>0</v>
      </c>
      <c r="L47" s="1045" t="str">
        <f>名簿!CU44</f>
        <v>00</v>
      </c>
      <c r="M47" s="358" t="str">
        <f>名簿!Q44</f>
        <v/>
      </c>
      <c r="N47" s="1256">
        <f>名簿!D44</f>
        <v>0</v>
      </c>
      <c r="O47" s="363"/>
      <c r="P47" s="292" t="str">
        <f t="shared" si="4"/>
        <v/>
      </c>
      <c r="Q47" s="623" t="str">
        <f>IF(O47="","",HLOOKUP(O47,名簿!$AH$3:$CH$118,42,FALSE))</f>
        <v/>
      </c>
      <c r="R47" s="1143"/>
      <c r="S47" s="984" t="str">
        <f t="shared" si="5"/>
        <v/>
      </c>
      <c r="T47" s="985" t="str">
        <f t="shared" si="6"/>
        <v/>
      </c>
      <c r="U47" s="363"/>
      <c r="V47" s="292" t="str">
        <f t="shared" si="7"/>
        <v/>
      </c>
      <c r="W47" s="623" t="str">
        <f>IF(U47="","",HLOOKUP(U47,名簿!$AH$3:$CH$118,42,FALSE))</f>
        <v/>
      </c>
      <c r="X47" s="1145"/>
      <c r="Y47" s="984" t="str">
        <f t="shared" si="8"/>
        <v/>
      </c>
      <c r="Z47" s="985" t="str">
        <f t="shared" si="9"/>
        <v/>
      </c>
      <c r="AA47" s="706" t="str">
        <f>IF(X47="","",IF(I47=1,VLOOKUP(X47,男子種目コード!$J$2:$K$30,2,FALSE),IF(I47=2,VLOOKUP(X47,女子種目コード!$J$2:$K$28,2,FALSE))))</f>
        <v/>
      </c>
      <c r="AB47" s="956"/>
      <c r="AC47" s="972"/>
      <c r="AD47" s="358" t="str">
        <f>IF(AC47="","",IF(I47=1,VLOOKUP(AC47,男子種目コード!$J$2:$K$30,2,FALSE),IF(I47=2,VLOOKUP(AC47,女子種目コード!$J$2:$K$28,2,FALSE))))</f>
        <v/>
      </c>
      <c r="AE47" s="956"/>
      <c r="AF47" s="972"/>
      <c r="AG47" s="358" t="str">
        <f>IF(AF47="","",IF(I47=1,VLOOKUP(AF47,男子種目コード!$J$2:$K$30,2,FALSE),IF(I47=2,VLOOKUP(AF47,女子種目コード!$J$2:$K$28,2,FALSE))))</f>
        <v/>
      </c>
      <c r="AH47" s="957"/>
      <c r="AI47" s="20"/>
      <c r="AJ47" s="20"/>
      <c r="AK47" s="19"/>
      <c r="AL47" s="979"/>
      <c r="AM47" s="989" t="str">
        <f t="shared" si="10"/>
        <v/>
      </c>
      <c r="AN47" s="57" t="str">
        <f t="shared" si="11"/>
        <v/>
      </c>
      <c r="AO47" s="991"/>
      <c r="AP47" s="482"/>
      <c r="AQ47" s="480"/>
      <c r="AR47" s="1003" t="s">
        <v>266</v>
      </c>
      <c r="AS47" s="1005" t="s">
        <v>836</v>
      </c>
      <c r="AU47" s="22"/>
      <c r="AV47" s="22"/>
      <c r="AX47" s="370">
        <f t="shared" si="12"/>
        <v>0</v>
      </c>
      <c r="AY47" s="256"/>
      <c r="AZ47" s="256"/>
      <c r="BA47" s="256"/>
      <c r="BB47" s="256"/>
      <c r="BC47" s="19">
        <f t="shared" si="13"/>
        <v>0</v>
      </c>
      <c r="BD47" s="19" t="str">
        <f t="shared" si="14"/>
        <v/>
      </c>
      <c r="BE47" s="19" t="str">
        <f t="shared" si="15"/>
        <v/>
      </c>
    </row>
    <row r="48" spans="2:60" ht="14.25" thickBot="1">
      <c r="B48" s="358" t="str">
        <f>名簿!P45</f>
        <v/>
      </c>
      <c r="C48" s="966"/>
      <c r="D48" s="966"/>
      <c r="E48" s="1262">
        <f>名簿!E45</f>
        <v>0</v>
      </c>
      <c r="F48" s="700" t="str">
        <f>名簿!CM45</f>
        <v/>
      </c>
      <c r="G48" s="358" t="str">
        <f>名簿!Z45</f>
        <v/>
      </c>
      <c r="H48" s="358" t="str">
        <f>名簿!CM45</f>
        <v/>
      </c>
      <c r="I48" s="359" t="str">
        <f>名簿!Y45</f>
        <v/>
      </c>
      <c r="J48" s="359" t="str">
        <f>名簿!CN45</f>
        <v/>
      </c>
      <c r="K48" s="1044">
        <f>名簿!CP45</f>
        <v>0</v>
      </c>
      <c r="L48" s="1045" t="str">
        <f>名簿!CU45</f>
        <v>00</v>
      </c>
      <c r="M48" s="358" t="str">
        <f>名簿!Q45</f>
        <v/>
      </c>
      <c r="N48" s="1256">
        <f>名簿!D45</f>
        <v>0</v>
      </c>
      <c r="O48" s="363"/>
      <c r="P48" s="292" t="str">
        <f t="shared" si="4"/>
        <v/>
      </c>
      <c r="Q48" s="623" t="str">
        <f>IF(O48="","",HLOOKUP(O48,名簿!$AH$3:$CH$118,43,FALSE))</f>
        <v/>
      </c>
      <c r="R48" s="1143"/>
      <c r="S48" s="984" t="str">
        <f t="shared" si="5"/>
        <v/>
      </c>
      <c r="T48" s="985" t="str">
        <f t="shared" si="6"/>
        <v/>
      </c>
      <c r="U48" s="363"/>
      <c r="V48" s="292" t="str">
        <f t="shared" si="7"/>
        <v/>
      </c>
      <c r="W48" s="623" t="str">
        <f>IF(U48="","",HLOOKUP(U48,名簿!$AH$3:$CH$118,43,FALSE))</f>
        <v/>
      </c>
      <c r="X48" s="1145"/>
      <c r="Y48" s="984" t="str">
        <f t="shared" si="8"/>
        <v/>
      </c>
      <c r="Z48" s="985" t="str">
        <f t="shared" si="9"/>
        <v/>
      </c>
      <c r="AA48" s="706" t="str">
        <f>IF(X48="","",IF(I48=1,VLOOKUP(X48,男子種目コード!$J$2:$K$30,2,FALSE),IF(I48=2,VLOOKUP(X48,女子種目コード!$J$2:$K$28,2,FALSE))))</f>
        <v/>
      </c>
      <c r="AB48" s="956"/>
      <c r="AC48" s="972"/>
      <c r="AD48" s="358" t="str">
        <f>IF(AC48="","",IF(I48=1,VLOOKUP(AC48,男子種目コード!$J$2:$K$30,2,FALSE),IF(I48=2,VLOOKUP(AC48,女子種目コード!$J$2:$K$28,2,FALSE))))</f>
        <v/>
      </c>
      <c r="AE48" s="956"/>
      <c r="AF48" s="972"/>
      <c r="AG48" s="358" t="str">
        <f>IF(AF48="","",IF(I48=1,VLOOKUP(AF48,男子種目コード!$J$2:$K$30,2,FALSE),IF(I48=2,VLOOKUP(AF48,女子種目コード!$J$2:$K$28,2,FALSE))))</f>
        <v/>
      </c>
      <c r="AH48" s="957"/>
      <c r="AI48" s="20"/>
      <c r="AJ48" s="20"/>
      <c r="AK48" s="19"/>
      <c r="AL48" s="979"/>
      <c r="AM48" s="989" t="str">
        <f t="shared" si="10"/>
        <v/>
      </c>
      <c r="AN48" s="57" t="str">
        <f t="shared" si="11"/>
        <v/>
      </c>
      <c r="AO48" s="991"/>
      <c r="AP48" s="482"/>
      <c r="AQ48" s="481"/>
      <c r="AR48" s="1482" t="s">
        <v>414</v>
      </c>
      <c r="AS48" s="1483"/>
      <c r="AU48" s="22"/>
      <c r="AV48" s="22"/>
      <c r="AX48" s="370">
        <f t="shared" si="12"/>
        <v>0</v>
      </c>
      <c r="AY48" s="256"/>
      <c r="AZ48" s="256"/>
      <c r="BA48" s="256"/>
      <c r="BB48" s="256"/>
      <c r="BC48" s="19">
        <f t="shared" si="13"/>
        <v>0</v>
      </c>
      <c r="BD48" s="19" t="str">
        <f t="shared" si="14"/>
        <v/>
      </c>
      <c r="BE48" s="19" t="str">
        <f t="shared" si="15"/>
        <v/>
      </c>
    </row>
    <row r="49" spans="2:57">
      <c r="B49" s="358" t="str">
        <f>名簿!P46</f>
        <v/>
      </c>
      <c r="C49" s="966"/>
      <c r="D49" s="966"/>
      <c r="E49" s="1262">
        <f>名簿!E46</f>
        <v>0</v>
      </c>
      <c r="F49" s="700" t="str">
        <f>名簿!CM46</f>
        <v/>
      </c>
      <c r="G49" s="358" t="str">
        <f>名簿!Z46</f>
        <v/>
      </c>
      <c r="H49" s="358" t="str">
        <f>名簿!CM46</f>
        <v/>
      </c>
      <c r="I49" s="359" t="str">
        <f>名簿!Y46</f>
        <v/>
      </c>
      <c r="J49" s="359" t="str">
        <f>名簿!CN46</f>
        <v/>
      </c>
      <c r="K49" s="1044">
        <f>名簿!CP46</f>
        <v>0</v>
      </c>
      <c r="L49" s="1045" t="str">
        <f>名簿!CU46</f>
        <v>00</v>
      </c>
      <c r="M49" s="358" t="str">
        <f>名簿!Q46</f>
        <v/>
      </c>
      <c r="N49" s="1256">
        <f>名簿!D46</f>
        <v>0</v>
      </c>
      <c r="O49" s="363"/>
      <c r="P49" s="292" t="str">
        <f t="shared" si="4"/>
        <v/>
      </c>
      <c r="Q49" s="623" t="str">
        <f>IF(O49="","",HLOOKUP(O49,名簿!$AH$3:$CH$118,44,FALSE))</f>
        <v/>
      </c>
      <c r="R49" s="1143"/>
      <c r="S49" s="984" t="str">
        <f t="shared" si="5"/>
        <v/>
      </c>
      <c r="T49" s="985" t="str">
        <f t="shared" si="6"/>
        <v/>
      </c>
      <c r="U49" s="363"/>
      <c r="V49" s="292" t="str">
        <f t="shared" si="7"/>
        <v/>
      </c>
      <c r="W49" s="623" t="str">
        <f>IF(U49="","",HLOOKUP(U49,名簿!$AH$3:$CH$118,44,FALSE))</f>
        <v/>
      </c>
      <c r="X49" s="1145"/>
      <c r="Y49" s="984" t="str">
        <f t="shared" si="8"/>
        <v/>
      </c>
      <c r="Z49" s="985" t="str">
        <f t="shared" si="9"/>
        <v/>
      </c>
      <c r="AA49" s="706" t="str">
        <f>IF(X49="","",IF(I49=1,VLOOKUP(X49,男子種目コード!$J$2:$K$30,2,FALSE),IF(I49=2,VLOOKUP(X49,女子種目コード!$J$2:$K$28,2,FALSE))))</f>
        <v/>
      </c>
      <c r="AB49" s="956"/>
      <c r="AC49" s="972"/>
      <c r="AD49" s="358" t="str">
        <f>IF(AC49="","",IF(I49=1,VLOOKUP(AC49,男子種目コード!$J$2:$K$30,2,FALSE),IF(I49=2,VLOOKUP(AC49,女子種目コード!$J$2:$K$28,2,FALSE))))</f>
        <v/>
      </c>
      <c r="AE49" s="956"/>
      <c r="AF49" s="972"/>
      <c r="AG49" s="358" t="str">
        <f>IF(AF49="","",IF(I49=1,VLOOKUP(AF49,男子種目コード!$J$2:$K$30,2,FALSE),IF(I49=2,VLOOKUP(AF49,女子種目コード!$J$2:$K$28,2,FALSE))))</f>
        <v/>
      </c>
      <c r="AH49" s="957"/>
      <c r="AI49" s="20"/>
      <c r="AJ49" s="20"/>
      <c r="AK49" s="19"/>
      <c r="AL49" s="979"/>
      <c r="AM49" s="989" t="str">
        <f t="shared" si="10"/>
        <v/>
      </c>
      <c r="AN49" s="57" t="str">
        <f t="shared" si="11"/>
        <v/>
      </c>
      <c r="AO49" s="342"/>
      <c r="AP49" s="378"/>
      <c r="AQ49" s="481"/>
      <c r="AR49" s="996">
        <v>100</v>
      </c>
      <c r="AS49" s="997" t="s">
        <v>855</v>
      </c>
      <c r="AU49" s="22"/>
      <c r="AV49" s="22"/>
      <c r="AX49" s="370">
        <f t="shared" si="12"/>
        <v>0</v>
      </c>
      <c r="AY49" s="256"/>
      <c r="AZ49" s="256"/>
      <c r="BA49" s="256"/>
      <c r="BB49" s="256"/>
      <c r="BC49" s="19">
        <f t="shared" si="13"/>
        <v>0</v>
      </c>
      <c r="BD49" s="19" t="str">
        <f t="shared" si="14"/>
        <v/>
      </c>
      <c r="BE49" s="19" t="str">
        <f t="shared" si="15"/>
        <v/>
      </c>
    </row>
    <row r="50" spans="2:57">
      <c r="B50" s="358" t="str">
        <f>名簿!P47</f>
        <v/>
      </c>
      <c r="C50" s="966"/>
      <c r="D50" s="966"/>
      <c r="E50" s="1262">
        <f>名簿!E47</f>
        <v>0</v>
      </c>
      <c r="F50" s="700" t="str">
        <f>名簿!CM47</f>
        <v/>
      </c>
      <c r="G50" s="358" t="str">
        <f>名簿!Z47</f>
        <v/>
      </c>
      <c r="H50" s="358" t="str">
        <f>名簿!CM47</f>
        <v/>
      </c>
      <c r="I50" s="359" t="str">
        <f>名簿!Y47</f>
        <v/>
      </c>
      <c r="J50" s="359" t="str">
        <f>名簿!CN47</f>
        <v/>
      </c>
      <c r="K50" s="1044">
        <f>名簿!CP47</f>
        <v>0</v>
      </c>
      <c r="L50" s="1045" t="str">
        <f>名簿!CU47</f>
        <v>00</v>
      </c>
      <c r="M50" s="358" t="str">
        <f>名簿!Q47</f>
        <v/>
      </c>
      <c r="N50" s="1256">
        <f>名簿!D47</f>
        <v>0</v>
      </c>
      <c r="O50" s="363"/>
      <c r="P50" s="292" t="str">
        <f t="shared" si="4"/>
        <v/>
      </c>
      <c r="Q50" s="623" t="str">
        <f>IF(O50="","",HLOOKUP(O50,名簿!$AH$3:$CH$118,45,FALSE))</f>
        <v/>
      </c>
      <c r="R50" s="1143"/>
      <c r="S50" s="984" t="str">
        <f t="shared" si="5"/>
        <v/>
      </c>
      <c r="T50" s="985" t="str">
        <f t="shared" si="6"/>
        <v/>
      </c>
      <c r="U50" s="363"/>
      <c r="V50" s="292" t="str">
        <f t="shared" si="7"/>
        <v/>
      </c>
      <c r="W50" s="623" t="str">
        <f>IF(U50="","",HLOOKUP(U50,名簿!$AH$3:$CH$118,45,FALSE))</f>
        <v/>
      </c>
      <c r="X50" s="1145"/>
      <c r="Y50" s="984" t="str">
        <f t="shared" si="8"/>
        <v/>
      </c>
      <c r="Z50" s="985" t="str">
        <f t="shared" si="9"/>
        <v/>
      </c>
      <c r="AA50" s="706" t="str">
        <f>IF(X50="","",IF(I50=1,VLOOKUP(X50,男子種目コード!$J$2:$K$30,2,FALSE),IF(I50=2,VLOOKUP(X50,女子種目コード!$J$2:$K$28,2,FALSE))))</f>
        <v/>
      </c>
      <c r="AB50" s="956"/>
      <c r="AC50" s="972"/>
      <c r="AD50" s="358" t="str">
        <f>IF(AC50="","",IF(I50=1,VLOOKUP(AC50,男子種目コード!$J$2:$K$30,2,FALSE),IF(I50=2,VLOOKUP(AC50,女子種目コード!$J$2:$K$28,2,FALSE))))</f>
        <v/>
      </c>
      <c r="AE50" s="956"/>
      <c r="AF50" s="972"/>
      <c r="AG50" s="358" t="str">
        <f>IF(AF50="","",IF(I50=1,VLOOKUP(AF50,男子種目コード!$J$2:$K$30,2,FALSE),IF(I50=2,VLOOKUP(AF50,女子種目コード!$J$2:$K$28,2,FALSE))))</f>
        <v/>
      </c>
      <c r="AH50" s="957"/>
      <c r="AI50" s="20"/>
      <c r="AJ50" s="20"/>
      <c r="AK50" s="19"/>
      <c r="AL50" s="979"/>
      <c r="AM50" s="989" t="str">
        <f t="shared" si="10"/>
        <v/>
      </c>
      <c r="AN50" s="57" t="str">
        <f t="shared" si="11"/>
        <v/>
      </c>
      <c r="AO50" s="342"/>
      <c r="AP50" s="378"/>
      <c r="AQ50" s="480"/>
      <c r="AR50" s="998">
        <v>800</v>
      </c>
      <c r="AS50" s="999" t="s">
        <v>720</v>
      </c>
      <c r="AU50" s="22"/>
      <c r="AV50" s="22"/>
      <c r="AX50" s="370">
        <f t="shared" si="12"/>
        <v>0</v>
      </c>
      <c r="AY50" s="256"/>
      <c r="AZ50" s="256"/>
      <c r="BA50" s="256"/>
      <c r="BB50" s="256"/>
      <c r="BC50" s="19">
        <f t="shared" si="13"/>
        <v>0</v>
      </c>
      <c r="BD50" s="19" t="str">
        <f t="shared" si="14"/>
        <v/>
      </c>
      <c r="BE50" s="19" t="str">
        <f t="shared" si="15"/>
        <v/>
      </c>
    </row>
    <row r="51" spans="2:57">
      <c r="B51" s="358" t="str">
        <f>名簿!P48</f>
        <v/>
      </c>
      <c r="C51" s="966"/>
      <c r="D51" s="966"/>
      <c r="E51" s="1262">
        <f>名簿!E48</f>
        <v>0</v>
      </c>
      <c r="F51" s="700" t="str">
        <f>名簿!CM48</f>
        <v/>
      </c>
      <c r="G51" s="358" t="str">
        <f>名簿!Z48</f>
        <v/>
      </c>
      <c r="H51" s="358" t="str">
        <f>名簿!CM48</f>
        <v/>
      </c>
      <c r="I51" s="359" t="str">
        <f>名簿!Y48</f>
        <v/>
      </c>
      <c r="J51" s="359" t="str">
        <f>名簿!CN48</f>
        <v/>
      </c>
      <c r="K51" s="1044">
        <f>名簿!CP48</f>
        <v>0</v>
      </c>
      <c r="L51" s="1045" t="str">
        <f>名簿!CU48</f>
        <v>00</v>
      </c>
      <c r="M51" s="358" t="str">
        <f>名簿!Q48</f>
        <v/>
      </c>
      <c r="N51" s="1256">
        <f>名簿!D48</f>
        <v>0</v>
      </c>
      <c r="O51" s="363"/>
      <c r="P51" s="292" t="str">
        <f t="shared" si="4"/>
        <v/>
      </c>
      <c r="Q51" s="623" t="str">
        <f>IF(O51="","",HLOOKUP(O51,名簿!$AH$3:$CH$118,46,FALSE))</f>
        <v/>
      </c>
      <c r="R51" s="1143"/>
      <c r="S51" s="984" t="str">
        <f t="shared" si="5"/>
        <v/>
      </c>
      <c r="T51" s="985" t="str">
        <f t="shared" si="6"/>
        <v/>
      </c>
      <c r="U51" s="363"/>
      <c r="V51" s="292" t="str">
        <f t="shared" si="7"/>
        <v/>
      </c>
      <c r="W51" s="623" t="str">
        <f>IF(U51="","",HLOOKUP(U51,名簿!$AH$3:$CH$118,46,FALSE))</f>
        <v/>
      </c>
      <c r="X51" s="1145"/>
      <c r="Y51" s="984" t="str">
        <f t="shared" si="8"/>
        <v/>
      </c>
      <c r="Z51" s="985" t="str">
        <f t="shared" si="9"/>
        <v/>
      </c>
      <c r="AA51" s="706" t="str">
        <f>IF(X51="","",IF(I51=1,VLOOKUP(X51,男子種目コード!$J$2:$K$30,2,FALSE),IF(I51=2,VLOOKUP(X51,女子種目コード!$J$2:$K$28,2,FALSE))))</f>
        <v/>
      </c>
      <c r="AB51" s="956"/>
      <c r="AC51" s="972"/>
      <c r="AD51" s="358" t="str">
        <f>IF(AC51="","",IF(I51=1,VLOOKUP(AC51,男子種目コード!$J$2:$K$30,2,FALSE),IF(I51=2,VLOOKUP(AC51,女子種目コード!$J$2:$K$28,2,FALSE))))</f>
        <v/>
      </c>
      <c r="AE51" s="956"/>
      <c r="AF51" s="972"/>
      <c r="AG51" s="358" t="str">
        <f>IF(AF51="","",IF(I51=1,VLOOKUP(AF51,男子種目コード!$J$2:$K$30,2,FALSE),IF(I51=2,VLOOKUP(AF51,女子種目コード!$J$2:$K$28,2,FALSE))))</f>
        <v/>
      </c>
      <c r="AH51" s="957"/>
      <c r="AI51" s="20"/>
      <c r="AJ51" s="20"/>
      <c r="AK51" s="19"/>
      <c r="AL51" s="979"/>
      <c r="AM51" s="989" t="str">
        <f t="shared" si="10"/>
        <v/>
      </c>
      <c r="AN51" s="57" t="str">
        <f t="shared" si="11"/>
        <v/>
      </c>
      <c r="AO51" s="342"/>
      <c r="AP51" s="378"/>
      <c r="AQ51" s="481"/>
      <c r="AR51" s="1003" t="s">
        <v>180</v>
      </c>
      <c r="AS51" s="1005" t="s">
        <v>838</v>
      </c>
      <c r="AU51" s="22"/>
      <c r="AV51" s="22"/>
      <c r="AX51" s="370">
        <f t="shared" si="12"/>
        <v>0</v>
      </c>
      <c r="AY51" s="256"/>
      <c r="AZ51" s="256"/>
      <c r="BA51" s="256"/>
      <c r="BB51" s="256"/>
      <c r="BC51" s="19">
        <f t="shared" si="13"/>
        <v>0</v>
      </c>
      <c r="BD51" s="19" t="str">
        <f t="shared" si="14"/>
        <v/>
      </c>
      <c r="BE51" s="19" t="str">
        <f t="shared" si="15"/>
        <v/>
      </c>
    </row>
    <row r="52" spans="2:57" ht="14.25" thickBot="1">
      <c r="B52" s="358" t="str">
        <f>名簿!P49</f>
        <v/>
      </c>
      <c r="C52" s="966"/>
      <c r="D52" s="966"/>
      <c r="E52" s="1262">
        <f>名簿!E49</f>
        <v>0</v>
      </c>
      <c r="F52" s="700" t="str">
        <f>名簿!CM49</f>
        <v/>
      </c>
      <c r="G52" s="358" t="str">
        <f>名簿!Z49</f>
        <v/>
      </c>
      <c r="H52" s="358" t="str">
        <f>名簿!CM49</f>
        <v/>
      </c>
      <c r="I52" s="359" t="str">
        <f>名簿!Y49</f>
        <v/>
      </c>
      <c r="J52" s="359" t="str">
        <f>名簿!CN49</f>
        <v/>
      </c>
      <c r="K52" s="1044">
        <f>名簿!CP49</f>
        <v>0</v>
      </c>
      <c r="L52" s="1045" t="str">
        <f>名簿!CU49</f>
        <v>00</v>
      </c>
      <c r="M52" s="358" t="str">
        <f>名簿!Q49</f>
        <v/>
      </c>
      <c r="N52" s="1256">
        <f>名簿!D49</f>
        <v>0</v>
      </c>
      <c r="O52" s="363"/>
      <c r="P52" s="292" t="str">
        <f t="shared" si="4"/>
        <v/>
      </c>
      <c r="Q52" s="623" t="str">
        <f>IF(O52="","",HLOOKUP(O52,名簿!$AH$3:$CH$118,47,FALSE))</f>
        <v/>
      </c>
      <c r="R52" s="1143"/>
      <c r="S52" s="984" t="str">
        <f t="shared" si="5"/>
        <v/>
      </c>
      <c r="T52" s="985" t="str">
        <f t="shared" si="6"/>
        <v/>
      </c>
      <c r="U52" s="363"/>
      <c r="V52" s="292" t="str">
        <f t="shared" si="7"/>
        <v/>
      </c>
      <c r="W52" s="623" t="str">
        <f>IF(U52="","",HLOOKUP(U52,名簿!$AH$3:$CH$118,47,FALSE))</f>
        <v/>
      </c>
      <c r="X52" s="1145"/>
      <c r="Y52" s="984" t="str">
        <f t="shared" si="8"/>
        <v/>
      </c>
      <c r="Z52" s="985" t="str">
        <f t="shared" si="9"/>
        <v/>
      </c>
      <c r="AA52" s="706" t="str">
        <f>IF(X52="","",IF(I52=1,VLOOKUP(X52,男子種目コード!$J$2:$K$30,2,FALSE),IF(I52=2,VLOOKUP(X52,女子種目コード!$J$2:$K$28,2,FALSE))))</f>
        <v/>
      </c>
      <c r="AB52" s="956"/>
      <c r="AC52" s="972"/>
      <c r="AD52" s="358" t="str">
        <f>IF(AC52="","",IF(I52=1,VLOOKUP(AC52,男子種目コード!$J$2:$K$30,2,FALSE),IF(I52=2,VLOOKUP(AC52,女子種目コード!$J$2:$K$28,2,FALSE))))</f>
        <v/>
      </c>
      <c r="AE52" s="956"/>
      <c r="AF52" s="972"/>
      <c r="AG52" s="358" t="str">
        <f>IF(AF52="","",IF(I52=1,VLOOKUP(AF52,男子種目コード!$J$2:$K$30,2,FALSE),IF(I52=2,VLOOKUP(AF52,女子種目コード!$J$2:$K$28,2,FALSE))))</f>
        <v/>
      </c>
      <c r="AH52" s="957"/>
      <c r="AI52" s="20"/>
      <c r="AJ52" s="20"/>
      <c r="AK52" s="19"/>
      <c r="AL52" s="979"/>
      <c r="AM52" s="989" t="str">
        <f t="shared" si="10"/>
        <v/>
      </c>
      <c r="AN52" s="57" t="str">
        <f t="shared" si="11"/>
        <v/>
      </c>
      <c r="AO52" s="342"/>
      <c r="AP52" s="378"/>
      <c r="AQ52" s="378"/>
      <c r="AR52" s="1002" t="s">
        <v>262</v>
      </c>
      <c r="AS52" s="1006" t="s">
        <v>836</v>
      </c>
      <c r="AU52" s="22"/>
      <c r="AV52" s="22"/>
      <c r="AX52" s="370">
        <f t="shared" si="12"/>
        <v>0</v>
      </c>
      <c r="AY52" s="256"/>
      <c r="AZ52" s="256"/>
      <c r="BA52" s="256"/>
      <c r="BB52" s="256"/>
      <c r="BC52" s="19">
        <f t="shared" si="13"/>
        <v>0</v>
      </c>
      <c r="BD52" s="19" t="str">
        <f t="shared" si="14"/>
        <v/>
      </c>
      <c r="BE52" s="19" t="str">
        <f t="shared" si="15"/>
        <v/>
      </c>
    </row>
    <row r="53" spans="2:57">
      <c r="B53" s="358" t="str">
        <f>名簿!P50</f>
        <v/>
      </c>
      <c r="C53" s="966"/>
      <c r="D53" s="966"/>
      <c r="E53" s="1262">
        <f>名簿!E50</f>
        <v>0</v>
      </c>
      <c r="F53" s="700" t="str">
        <f>名簿!CM50</f>
        <v/>
      </c>
      <c r="G53" s="358" t="str">
        <f>名簿!Z50</f>
        <v/>
      </c>
      <c r="H53" s="358" t="str">
        <f>名簿!CM50</f>
        <v/>
      </c>
      <c r="I53" s="359" t="str">
        <f>名簿!Y50</f>
        <v/>
      </c>
      <c r="J53" s="359" t="str">
        <f>名簿!CN50</f>
        <v/>
      </c>
      <c r="K53" s="1044">
        <f>名簿!CP50</f>
        <v>0</v>
      </c>
      <c r="L53" s="1045" t="str">
        <f>名簿!CU50</f>
        <v>00</v>
      </c>
      <c r="M53" s="358" t="str">
        <f>名簿!Q50</f>
        <v/>
      </c>
      <c r="N53" s="1256">
        <f>名簿!D50</f>
        <v>0</v>
      </c>
      <c r="O53" s="363"/>
      <c r="P53" s="292" t="str">
        <f t="shared" si="4"/>
        <v/>
      </c>
      <c r="Q53" s="623" t="str">
        <f>IF(O53="","",HLOOKUP(O53,名簿!$AH$3:$CH$118,48,FALSE))</f>
        <v/>
      </c>
      <c r="R53" s="1143"/>
      <c r="S53" s="984" t="str">
        <f t="shared" si="5"/>
        <v/>
      </c>
      <c r="T53" s="985" t="str">
        <f t="shared" si="6"/>
        <v/>
      </c>
      <c r="U53" s="363"/>
      <c r="V53" s="292" t="str">
        <f t="shared" si="7"/>
        <v/>
      </c>
      <c r="W53" s="623" t="str">
        <f>IF(U53="","",HLOOKUP(U53,名簿!$AH$3:$CH$118,48,FALSE))</f>
        <v/>
      </c>
      <c r="X53" s="1145"/>
      <c r="Y53" s="984" t="str">
        <f t="shared" si="8"/>
        <v/>
      </c>
      <c r="Z53" s="985" t="str">
        <f t="shared" si="9"/>
        <v/>
      </c>
      <c r="AA53" s="706" t="str">
        <f>IF(X53="","",IF(I53=1,VLOOKUP(X53,男子種目コード!$J$2:$K$30,2,FALSE),IF(I53=2,VLOOKUP(X53,女子種目コード!$J$2:$K$28,2,FALSE))))</f>
        <v/>
      </c>
      <c r="AB53" s="956"/>
      <c r="AC53" s="972"/>
      <c r="AD53" s="358" t="str">
        <f>IF(AC53="","",IF(I53=1,VLOOKUP(AC53,男子種目コード!$J$2:$K$30,2,FALSE),IF(I53=2,VLOOKUP(AC53,女子種目コード!$J$2:$K$28,2,FALSE))))</f>
        <v/>
      </c>
      <c r="AE53" s="956"/>
      <c r="AF53" s="972"/>
      <c r="AG53" s="358" t="str">
        <f>IF(AF53="","",IF(I53=1,VLOOKUP(AF53,男子種目コード!$J$2:$K$30,2,FALSE),IF(I53=2,VLOOKUP(AF53,女子種目コード!$J$2:$K$28,2,FALSE))))</f>
        <v/>
      </c>
      <c r="AH53" s="957"/>
      <c r="AI53" s="20"/>
      <c r="AJ53" s="20"/>
      <c r="AK53" s="19"/>
      <c r="AL53" s="979"/>
      <c r="AM53" s="989" t="str">
        <f t="shared" si="10"/>
        <v/>
      </c>
      <c r="AN53" s="57" t="str">
        <f t="shared" si="11"/>
        <v/>
      </c>
      <c r="AO53" s="342"/>
      <c r="AP53" s="378"/>
      <c r="AQ53" s="378"/>
      <c r="AR53" s="256"/>
      <c r="AS53" s="256"/>
      <c r="AU53" s="22"/>
      <c r="AV53" s="22"/>
      <c r="AX53" s="370">
        <f t="shared" si="12"/>
        <v>0</v>
      </c>
      <c r="AY53" s="256"/>
      <c r="AZ53" s="256"/>
      <c r="BA53" s="256"/>
      <c r="BB53" s="256"/>
      <c r="BC53" s="19">
        <f t="shared" si="13"/>
        <v>0</v>
      </c>
      <c r="BD53" s="19" t="str">
        <f t="shared" si="14"/>
        <v/>
      </c>
      <c r="BE53" s="19" t="str">
        <f t="shared" si="15"/>
        <v/>
      </c>
    </row>
    <row r="54" spans="2:57">
      <c r="B54" s="358" t="str">
        <f>名簿!P51</f>
        <v/>
      </c>
      <c r="C54" s="966"/>
      <c r="D54" s="966"/>
      <c r="E54" s="1262">
        <f>名簿!E51</f>
        <v>0</v>
      </c>
      <c r="F54" s="700" t="str">
        <f>名簿!CM51</f>
        <v/>
      </c>
      <c r="G54" s="358" t="str">
        <f>名簿!Z51</f>
        <v/>
      </c>
      <c r="H54" s="358" t="str">
        <f>名簿!CM51</f>
        <v/>
      </c>
      <c r="I54" s="359" t="str">
        <f>名簿!Y51</f>
        <v/>
      </c>
      <c r="J54" s="359" t="str">
        <f>名簿!CN51</f>
        <v/>
      </c>
      <c r="K54" s="1044">
        <f>名簿!CP51</f>
        <v>0</v>
      </c>
      <c r="L54" s="1045" t="str">
        <f>名簿!CU51</f>
        <v>00</v>
      </c>
      <c r="M54" s="358" t="str">
        <f>名簿!Q51</f>
        <v/>
      </c>
      <c r="N54" s="1256">
        <f>名簿!D51</f>
        <v>0</v>
      </c>
      <c r="O54" s="363"/>
      <c r="P54" s="292" t="str">
        <f t="shared" si="4"/>
        <v/>
      </c>
      <c r="Q54" s="623" t="str">
        <f>IF(O54="","",HLOOKUP(O54,名簿!$AH$3:$CH$118,49,FALSE))</f>
        <v/>
      </c>
      <c r="R54" s="1143"/>
      <c r="S54" s="984" t="str">
        <f t="shared" si="5"/>
        <v/>
      </c>
      <c r="T54" s="985" t="str">
        <f t="shared" si="6"/>
        <v/>
      </c>
      <c r="U54" s="363"/>
      <c r="V54" s="292" t="str">
        <f t="shared" si="7"/>
        <v/>
      </c>
      <c r="W54" s="623" t="str">
        <f>IF(U54="","",HLOOKUP(U54,名簿!$AH$3:$CH$118,49,FALSE))</f>
        <v/>
      </c>
      <c r="X54" s="1145"/>
      <c r="Y54" s="984" t="str">
        <f t="shared" si="8"/>
        <v/>
      </c>
      <c r="Z54" s="985" t="str">
        <f t="shared" si="9"/>
        <v/>
      </c>
      <c r="AA54" s="706" t="str">
        <f>IF(X54="","",IF(I54=1,VLOOKUP(X54,男子種目コード!$J$2:$K$30,2,FALSE),IF(I54=2,VLOOKUP(X54,女子種目コード!$J$2:$K$28,2,FALSE))))</f>
        <v/>
      </c>
      <c r="AB54" s="956"/>
      <c r="AC54" s="972"/>
      <c r="AD54" s="358" t="str">
        <f>IF(AC54="","",IF(I54=1,VLOOKUP(AC54,男子種目コード!$J$2:$K$30,2,FALSE),IF(I54=2,VLOOKUP(AC54,女子種目コード!$J$2:$K$28,2,FALSE))))</f>
        <v/>
      </c>
      <c r="AE54" s="956"/>
      <c r="AF54" s="972"/>
      <c r="AG54" s="358" t="str">
        <f>IF(AF54="","",IF(I54=1,VLOOKUP(AF54,男子種目コード!$J$2:$K$30,2,FALSE),IF(I54=2,VLOOKUP(AF54,女子種目コード!$J$2:$K$28,2,FALSE))))</f>
        <v/>
      </c>
      <c r="AH54" s="957"/>
      <c r="AI54" s="20"/>
      <c r="AJ54" s="20"/>
      <c r="AK54" s="19"/>
      <c r="AL54" s="979"/>
      <c r="AM54" s="989" t="str">
        <f t="shared" si="10"/>
        <v/>
      </c>
      <c r="AN54" s="57" t="str">
        <f t="shared" si="11"/>
        <v/>
      </c>
      <c r="AO54" s="342"/>
      <c r="AP54" s="378"/>
      <c r="AQ54" s="378"/>
      <c r="AR54" s="256"/>
      <c r="AS54" s="256"/>
      <c r="AU54" s="22"/>
      <c r="AV54" s="22"/>
      <c r="AX54" s="370">
        <f t="shared" si="12"/>
        <v>0</v>
      </c>
      <c r="AY54" s="256"/>
      <c r="AZ54" s="256"/>
      <c r="BA54" s="256"/>
      <c r="BB54" s="256"/>
      <c r="BC54" s="19">
        <f t="shared" si="13"/>
        <v>0</v>
      </c>
      <c r="BD54" s="19" t="str">
        <f t="shared" si="14"/>
        <v/>
      </c>
      <c r="BE54" s="19" t="str">
        <f t="shared" si="15"/>
        <v/>
      </c>
    </row>
    <row r="55" spans="2:57">
      <c r="B55" s="358" t="str">
        <f>名簿!P52</f>
        <v/>
      </c>
      <c r="C55" s="966"/>
      <c r="D55" s="966"/>
      <c r="E55" s="1262">
        <f>名簿!E52</f>
        <v>0</v>
      </c>
      <c r="F55" s="700" t="str">
        <f>名簿!CM52</f>
        <v/>
      </c>
      <c r="G55" s="358" t="str">
        <f>名簿!Z52</f>
        <v/>
      </c>
      <c r="H55" s="358" t="str">
        <f>名簿!CM52</f>
        <v/>
      </c>
      <c r="I55" s="359" t="str">
        <f>名簿!Y52</f>
        <v/>
      </c>
      <c r="J55" s="359" t="str">
        <f>名簿!CN52</f>
        <v/>
      </c>
      <c r="K55" s="1044">
        <f>名簿!CP52</f>
        <v>0</v>
      </c>
      <c r="L55" s="1045" t="str">
        <f>名簿!CU52</f>
        <v>00</v>
      </c>
      <c r="M55" s="358" t="str">
        <f>名簿!Q52</f>
        <v/>
      </c>
      <c r="N55" s="1256">
        <f>名簿!D52</f>
        <v>0</v>
      </c>
      <c r="O55" s="363"/>
      <c r="P55" s="292" t="str">
        <f t="shared" si="4"/>
        <v/>
      </c>
      <c r="Q55" s="623" t="str">
        <f>IF(O55="","",HLOOKUP(O55,名簿!$AH$3:$CH$118,50,FALSE))</f>
        <v/>
      </c>
      <c r="R55" s="1143"/>
      <c r="S55" s="984" t="str">
        <f t="shared" si="5"/>
        <v/>
      </c>
      <c r="T55" s="985" t="str">
        <f t="shared" si="6"/>
        <v/>
      </c>
      <c r="U55" s="363"/>
      <c r="V55" s="292" t="str">
        <f t="shared" si="7"/>
        <v/>
      </c>
      <c r="W55" s="623" t="str">
        <f>IF(U55="","",HLOOKUP(U55,名簿!$AH$3:$CH$118,50,FALSE))</f>
        <v/>
      </c>
      <c r="X55" s="1145"/>
      <c r="Y55" s="984" t="str">
        <f t="shared" si="8"/>
        <v/>
      </c>
      <c r="Z55" s="985" t="str">
        <f t="shared" si="9"/>
        <v/>
      </c>
      <c r="AA55" s="706" t="str">
        <f>IF(X55="","",IF(I55=1,VLOOKUP(X55,男子種目コード!$J$2:$K$30,2,FALSE),IF(I55=2,VLOOKUP(X55,女子種目コード!$J$2:$K$28,2,FALSE))))</f>
        <v/>
      </c>
      <c r="AB55" s="956"/>
      <c r="AC55" s="972"/>
      <c r="AD55" s="358" t="str">
        <f>IF(AC55="","",IF(I55=1,VLOOKUP(AC55,男子種目コード!$J$2:$K$30,2,FALSE),IF(I55=2,VLOOKUP(AC55,女子種目コード!$J$2:$K$28,2,FALSE))))</f>
        <v/>
      </c>
      <c r="AE55" s="956"/>
      <c r="AF55" s="972"/>
      <c r="AG55" s="358" t="str">
        <f>IF(AF55="","",IF(I55=1,VLOOKUP(AF55,男子種目コード!$J$2:$K$30,2,FALSE),IF(I55=2,VLOOKUP(AF55,女子種目コード!$J$2:$K$28,2,FALSE))))</f>
        <v/>
      </c>
      <c r="AH55" s="957"/>
      <c r="AI55" s="20"/>
      <c r="AJ55" s="20"/>
      <c r="AK55" s="19"/>
      <c r="AL55" s="979"/>
      <c r="AM55" s="989" t="str">
        <f t="shared" si="10"/>
        <v/>
      </c>
      <c r="AN55" s="57" t="str">
        <f t="shared" si="11"/>
        <v/>
      </c>
      <c r="AO55" s="992"/>
      <c r="AP55" s="378"/>
      <c r="AQ55" s="378"/>
      <c r="AR55" s="256"/>
      <c r="AS55" s="256"/>
      <c r="AU55" s="22"/>
      <c r="AV55" s="22"/>
      <c r="AX55" s="370">
        <f t="shared" si="12"/>
        <v>0</v>
      </c>
      <c r="AY55" s="256"/>
      <c r="AZ55" s="256"/>
      <c r="BA55" s="256"/>
      <c r="BB55" s="256"/>
      <c r="BC55" s="19">
        <f t="shared" si="13"/>
        <v>0</v>
      </c>
      <c r="BD55" s="19" t="str">
        <f t="shared" si="14"/>
        <v/>
      </c>
      <c r="BE55" s="19" t="str">
        <f t="shared" si="15"/>
        <v/>
      </c>
    </row>
    <row r="56" spans="2:57">
      <c r="B56" s="358" t="str">
        <f>名簿!P53</f>
        <v/>
      </c>
      <c r="C56" s="966"/>
      <c r="D56" s="966"/>
      <c r="E56" s="1262">
        <f>名簿!E53</f>
        <v>0</v>
      </c>
      <c r="F56" s="700" t="str">
        <f>名簿!CM53</f>
        <v/>
      </c>
      <c r="G56" s="358" t="str">
        <f>名簿!Z53</f>
        <v/>
      </c>
      <c r="H56" s="358" t="str">
        <f>名簿!CM53</f>
        <v/>
      </c>
      <c r="I56" s="359" t="str">
        <f>名簿!Y53</f>
        <v/>
      </c>
      <c r="J56" s="359" t="str">
        <f>名簿!CN53</f>
        <v/>
      </c>
      <c r="K56" s="1044">
        <f>名簿!CP53</f>
        <v>0</v>
      </c>
      <c r="L56" s="1045" t="str">
        <f>名簿!CU53</f>
        <v>00</v>
      </c>
      <c r="M56" s="358" t="str">
        <f>名簿!Q53</f>
        <v/>
      </c>
      <c r="N56" s="1256">
        <f>名簿!D53</f>
        <v>0</v>
      </c>
      <c r="O56" s="363"/>
      <c r="P56" s="292" t="str">
        <f t="shared" si="4"/>
        <v/>
      </c>
      <c r="Q56" s="623" t="str">
        <f>IF(O56="","",HLOOKUP(O56,名簿!$AH$3:$CH$118,51,FALSE))</f>
        <v/>
      </c>
      <c r="R56" s="1143"/>
      <c r="S56" s="984" t="str">
        <f t="shared" si="5"/>
        <v/>
      </c>
      <c r="T56" s="985" t="str">
        <f t="shared" si="6"/>
        <v/>
      </c>
      <c r="U56" s="363"/>
      <c r="V56" s="292" t="str">
        <f t="shared" si="7"/>
        <v/>
      </c>
      <c r="W56" s="623" t="str">
        <f>IF(U56="","",HLOOKUP(U56,名簿!$AH$3:$CH$118,51,FALSE))</f>
        <v/>
      </c>
      <c r="X56" s="1145"/>
      <c r="Y56" s="984" t="str">
        <f t="shared" si="8"/>
        <v/>
      </c>
      <c r="Z56" s="985" t="str">
        <f t="shared" si="9"/>
        <v/>
      </c>
      <c r="AA56" s="706" t="str">
        <f>IF(X56="","",IF(I56=1,VLOOKUP(X56,男子種目コード!$J$2:$K$30,2,FALSE),IF(I56=2,VLOOKUP(X56,女子種目コード!$J$2:$K$28,2,FALSE))))</f>
        <v/>
      </c>
      <c r="AB56" s="956"/>
      <c r="AC56" s="972"/>
      <c r="AD56" s="358" t="str">
        <f>IF(AC56="","",IF(I56=1,VLOOKUP(AC56,男子種目コード!$J$2:$K$30,2,FALSE),IF(I56=2,VLOOKUP(AC56,女子種目コード!$J$2:$K$28,2,FALSE))))</f>
        <v/>
      </c>
      <c r="AE56" s="956"/>
      <c r="AF56" s="972"/>
      <c r="AG56" s="358" t="str">
        <f>IF(AF56="","",IF(I56=1,VLOOKUP(AF56,男子種目コード!$J$2:$K$30,2,FALSE),IF(I56=2,VLOOKUP(AF56,女子種目コード!$J$2:$K$28,2,FALSE))))</f>
        <v/>
      </c>
      <c r="AH56" s="957"/>
      <c r="AI56" s="20"/>
      <c r="AJ56" s="20"/>
      <c r="AK56" s="19"/>
      <c r="AL56" s="979"/>
      <c r="AM56" s="989" t="str">
        <f t="shared" si="10"/>
        <v/>
      </c>
      <c r="AN56" s="57" t="str">
        <f t="shared" si="11"/>
        <v/>
      </c>
      <c r="AO56" s="1470"/>
      <c r="AP56" s="1470"/>
      <c r="AQ56" s="378"/>
      <c r="AR56" s="256"/>
      <c r="AS56" s="256"/>
      <c r="AU56" s="22"/>
      <c r="AV56" s="22"/>
      <c r="AX56" s="370">
        <f t="shared" si="12"/>
        <v>0</v>
      </c>
      <c r="AY56" s="256"/>
      <c r="AZ56" s="256"/>
      <c r="BA56" s="256"/>
      <c r="BB56" s="256"/>
      <c r="BC56" s="19">
        <f t="shared" si="13"/>
        <v>0</v>
      </c>
      <c r="BD56" s="19" t="str">
        <f t="shared" si="14"/>
        <v/>
      </c>
      <c r="BE56" s="19" t="str">
        <f t="shared" si="15"/>
        <v/>
      </c>
    </row>
    <row r="57" spans="2:57">
      <c r="B57" s="358" t="str">
        <f>名簿!P54</f>
        <v/>
      </c>
      <c r="C57" s="966"/>
      <c r="D57" s="966"/>
      <c r="E57" s="1262">
        <f>名簿!E54</f>
        <v>0</v>
      </c>
      <c r="F57" s="700" t="str">
        <f>名簿!CM54</f>
        <v/>
      </c>
      <c r="G57" s="358" t="str">
        <f>名簿!Z54</f>
        <v/>
      </c>
      <c r="H57" s="358" t="str">
        <f>名簿!CM54</f>
        <v/>
      </c>
      <c r="I57" s="359" t="str">
        <f>名簿!Y54</f>
        <v/>
      </c>
      <c r="J57" s="359" t="str">
        <f>名簿!CN54</f>
        <v/>
      </c>
      <c r="K57" s="1044">
        <f>名簿!CP54</f>
        <v>0</v>
      </c>
      <c r="L57" s="1045" t="str">
        <f>名簿!CU54</f>
        <v>00</v>
      </c>
      <c r="M57" s="358" t="str">
        <f>名簿!Q54</f>
        <v/>
      </c>
      <c r="N57" s="1256">
        <f>名簿!D54</f>
        <v>0</v>
      </c>
      <c r="O57" s="363"/>
      <c r="P57" s="292" t="str">
        <f t="shared" si="4"/>
        <v/>
      </c>
      <c r="Q57" s="623" t="str">
        <f>IF(O57="","",HLOOKUP(O57,名簿!$AH$3:$CH$118,52,FALSE))</f>
        <v/>
      </c>
      <c r="R57" s="1143"/>
      <c r="S57" s="984" t="str">
        <f t="shared" si="5"/>
        <v/>
      </c>
      <c r="T57" s="985" t="str">
        <f t="shared" si="6"/>
        <v/>
      </c>
      <c r="U57" s="363"/>
      <c r="V57" s="292" t="str">
        <f t="shared" si="7"/>
        <v/>
      </c>
      <c r="W57" s="623" t="str">
        <f>IF(U57="","",HLOOKUP(U57,名簿!$AH$3:$CH$118,52,FALSE))</f>
        <v/>
      </c>
      <c r="X57" s="1145"/>
      <c r="Y57" s="984" t="str">
        <f t="shared" si="8"/>
        <v/>
      </c>
      <c r="Z57" s="985" t="str">
        <f t="shared" si="9"/>
        <v/>
      </c>
      <c r="AA57" s="706" t="str">
        <f>IF(X57="","",IF(I57=1,VLOOKUP(X57,男子種目コード!$J$2:$K$30,2,FALSE),IF(I57=2,VLOOKUP(X57,女子種目コード!$J$2:$K$28,2,FALSE))))</f>
        <v/>
      </c>
      <c r="AB57" s="956"/>
      <c r="AC57" s="972"/>
      <c r="AD57" s="358" t="str">
        <f>IF(AC57="","",IF(I57=1,VLOOKUP(AC57,男子種目コード!$J$2:$K$30,2,FALSE),IF(I57=2,VLOOKUP(AC57,女子種目コード!$J$2:$K$28,2,FALSE))))</f>
        <v/>
      </c>
      <c r="AE57" s="956"/>
      <c r="AF57" s="972"/>
      <c r="AG57" s="358" t="str">
        <f>IF(AF57="","",IF(I57=1,VLOOKUP(AF57,男子種目コード!$J$2:$K$30,2,FALSE),IF(I57=2,VLOOKUP(AF57,女子種目コード!$J$2:$K$28,2,FALSE))))</f>
        <v/>
      </c>
      <c r="AH57" s="957"/>
      <c r="AI57" s="20"/>
      <c r="AJ57" s="20"/>
      <c r="AK57" s="19"/>
      <c r="AL57" s="979"/>
      <c r="AM57" s="989" t="str">
        <f t="shared" si="10"/>
        <v/>
      </c>
      <c r="AN57" s="57" t="str">
        <f t="shared" si="11"/>
        <v/>
      </c>
      <c r="AO57" s="342"/>
      <c r="AP57" s="378"/>
      <c r="AQ57" s="379"/>
      <c r="AR57" s="256"/>
      <c r="AS57" s="256"/>
      <c r="AU57" s="22"/>
      <c r="AV57" s="22"/>
      <c r="AX57" s="370">
        <f t="shared" si="12"/>
        <v>0</v>
      </c>
      <c r="AY57" s="256"/>
      <c r="AZ57" s="256"/>
      <c r="BA57" s="256"/>
      <c r="BB57" s="256"/>
      <c r="BC57" s="19">
        <f t="shared" si="13"/>
        <v>0</v>
      </c>
      <c r="BD57" s="19" t="str">
        <f t="shared" si="14"/>
        <v/>
      </c>
      <c r="BE57" s="19" t="str">
        <f t="shared" si="15"/>
        <v/>
      </c>
    </row>
    <row r="58" spans="2:57">
      <c r="B58" s="358" t="str">
        <f>名簿!P55</f>
        <v/>
      </c>
      <c r="C58" s="966"/>
      <c r="D58" s="966"/>
      <c r="E58" s="1262">
        <f>名簿!E55</f>
        <v>0</v>
      </c>
      <c r="F58" s="700" t="str">
        <f>名簿!CM55</f>
        <v/>
      </c>
      <c r="G58" s="358" t="str">
        <f>名簿!Z55</f>
        <v/>
      </c>
      <c r="H58" s="358" t="str">
        <f>名簿!CM55</f>
        <v/>
      </c>
      <c r="I58" s="359" t="str">
        <f>名簿!Y55</f>
        <v/>
      </c>
      <c r="J58" s="359" t="str">
        <f>名簿!CN55</f>
        <v/>
      </c>
      <c r="K58" s="1044">
        <f>名簿!CP55</f>
        <v>0</v>
      </c>
      <c r="L58" s="1045" t="str">
        <f>名簿!CU55</f>
        <v>00</v>
      </c>
      <c r="M58" s="358" t="str">
        <f>名簿!Q55</f>
        <v/>
      </c>
      <c r="N58" s="1256">
        <f>名簿!D55</f>
        <v>0</v>
      </c>
      <c r="O58" s="363"/>
      <c r="P58" s="292" t="str">
        <f t="shared" si="4"/>
        <v/>
      </c>
      <c r="Q58" s="623" t="str">
        <f>IF(O58="","",HLOOKUP(O58,名簿!$AH$3:$CH$118,53,FALSE))</f>
        <v/>
      </c>
      <c r="R58" s="1143"/>
      <c r="S58" s="984" t="str">
        <f t="shared" si="5"/>
        <v/>
      </c>
      <c r="T58" s="985" t="str">
        <f t="shared" si="6"/>
        <v/>
      </c>
      <c r="U58" s="363"/>
      <c r="V58" s="292" t="str">
        <f t="shared" si="7"/>
        <v/>
      </c>
      <c r="W58" s="623" t="str">
        <f>IF(U58="","",HLOOKUP(U58,名簿!$AH$3:$CH$118,53,FALSE))</f>
        <v/>
      </c>
      <c r="X58" s="1145"/>
      <c r="Y58" s="984" t="str">
        <f t="shared" si="8"/>
        <v/>
      </c>
      <c r="Z58" s="985" t="str">
        <f t="shared" si="9"/>
        <v/>
      </c>
      <c r="AA58" s="706" t="str">
        <f>IF(X58="","",IF(I58=1,VLOOKUP(X58,男子種目コード!$J$2:$K$30,2,FALSE),IF(I58=2,VLOOKUP(X58,女子種目コード!$J$2:$K$28,2,FALSE))))</f>
        <v/>
      </c>
      <c r="AB58" s="956"/>
      <c r="AC58" s="972"/>
      <c r="AD58" s="358" t="str">
        <f>IF(AC58="","",IF(I58=1,VLOOKUP(AC58,男子種目コード!$J$2:$K$30,2,FALSE),IF(I58=2,VLOOKUP(AC58,女子種目コード!$J$2:$K$28,2,FALSE))))</f>
        <v/>
      </c>
      <c r="AE58" s="956"/>
      <c r="AF58" s="972"/>
      <c r="AG58" s="358" t="str">
        <f>IF(AF58="","",IF(I58=1,VLOOKUP(AF58,男子種目コード!$J$2:$K$30,2,FALSE),IF(I58=2,VLOOKUP(AF58,女子種目コード!$J$2:$K$28,2,FALSE))))</f>
        <v/>
      </c>
      <c r="AH58" s="957"/>
      <c r="AI58" s="20"/>
      <c r="AJ58" s="20"/>
      <c r="AK58" s="19"/>
      <c r="AL58" s="979"/>
      <c r="AM58" s="989" t="str">
        <f t="shared" si="10"/>
        <v/>
      </c>
      <c r="AN58" s="57" t="str">
        <f t="shared" si="11"/>
        <v/>
      </c>
      <c r="AO58" s="342"/>
      <c r="AP58" s="378"/>
      <c r="AQ58" s="248"/>
      <c r="AR58" s="256"/>
      <c r="AS58" s="256"/>
      <c r="AU58" s="22"/>
      <c r="AV58" s="22"/>
      <c r="AX58" s="370">
        <f t="shared" si="12"/>
        <v>0</v>
      </c>
      <c r="AY58" s="256"/>
      <c r="AZ58" s="256"/>
      <c r="BA58" s="256"/>
      <c r="BB58" s="256"/>
      <c r="BC58" s="19">
        <f t="shared" si="13"/>
        <v>0</v>
      </c>
      <c r="BD58" s="19" t="str">
        <f t="shared" si="14"/>
        <v/>
      </c>
      <c r="BE58" s="19" t="str">
        <f t="shared" si="15"/>
        <v/>
      </c>
    </row>
    <row r="59" spans="2:57">
      <c r="B59" s="358" t="str">
        <f>名簿!P56</f>
        <v/>
      </c>
      <c r="C59" s="966"/>
      <c r="D59" s="966"/>
      <c r="E59" s="1262">
        <f>名簿!E56</f>
        <v>0</v>
      </c>
      <c r="F59" s="700" t="str">
        <f>名簿!CM56</f>
        <v/>
      </c>
      <c r="G59" s="358" t="str">
        <f>名簿!Z56</f>
        <v/>
      </c>
      <c r="H59" s="358" t="str">
        <f>名簿!CM56</f>
        <v/>
      </c>
      <c r="I59" s="359" t="str">
        <f>名簿!Y56</f>
        <v/>
      </c>
      <c r="J59" s="359" t="str">
        <f>名簿!CN56</f>
        <v/>
      </c>
      <c r="K59" s="1044">
        <f>名簿!CP56</f>
        <v>0</v>
      </c>
      <c r="L59" s="1045" t="str">
        <f>名簿!CU56</f>
        <v>00</v>
      </c>
      <c r="M59" s="358" t="str">
        <f>名簿!Q56</f>
        <v/>
      </c>
      <c r="N59" s="1256">
        <f>名簿!D56</f>
        <v>0</v>
      </c>
      <c r="O59" s="363"/>
      <c r="P59" s="292" t="str">
        <f t="shared" si="4"/>
        <v/>
      </c>
      <c r="Q59" s="623" t="str">
        <f>IF(O59="","",HLOOKUP(O59,名簿!$AH$3:$CH$118,54,FALSE))</f>
        <v/>
      </c>
      <c r="R59" s="1143"/>
      <c r="S59" s="984" t="str">
        <f t="shared" si="5"/>
        <v/>
      </c>
      <c r="T59" s="985" t="str">
        <f t="shared" si="6"/>
        <v/>
      </c>
      <c r="U59" s="363"/>
      <c r="V59" s="292" t="str">
        <f t="shared" si="7"/>
        <v/>
      </c>
      <c r="W59" s="623" t="str">
        <f>IF(U59="","",HLOOKUP(U59,名簿!$AH$3:$CH$118,54,FALSE))</f>
        <v/>
      </c>
      <c r="X59" s="1145"/>
      <c r="Y59" s="984" t="str">
        <f t="shared" si="8"/>
        <v/>
      </c>
      <c r="Z59" s="985" t="str">
        <f t="shared" si="9"/>
        <v/>
      </c>
      <c r="AA59" s="706" t="str">
        <f>IF(X59="","",IF(I59=1,VLOOKUP(X59,男子種目コード!$J$2:$K$30,2,FALSE),IF(I59=2,VLOOKUP(X59,女子種目コード!$J$2:$K$28,2,FALSE))))</f>
        <v/>
      </c>
      <c r="AB59" s="956"/>
      <c r="AC59" s="972"/>
      <c r="AD59" s="358" t="str">
        <f>IF(AC59="","",IF(I59=1,VLOOKUP(AC59,男子種目コード!$J$2:$K$30,2,FALSE),IF(I59=2,VLOOKUP(AC59,女子種目コード!$J$2:$K$28,2,FALSE))))</f>
        <v/>
      </c>
      <c r="AE59" s="956"/>
      <c r="AF59" s="972"/>
      <c r="AG59" s="358" t="str">
        <f>IF(AF59="","",IF(I59=1,VLOOKUP(AF59,男子種目コード!$J$2:$K$30,2,FALSE),IF(I59=2,VLOOKUP(AF59,女子種目コード!$J$2:$K$28,2,FALSE))))</f>
        <v/>
      </c>
      <c r="AH59" s="957"/>
      <c r="AI59" s="20"/>
      <c r="AJ59" s="20"/>
      <c r="AK59" s="19"/>
      <c r="AL59" s="979"/>
      <c r="AM59" s="989" t="str">
        <f t="shared" si="10"/>
        <v/>
      </c>
      <c r="AN59" s="57" t="str">
        <f t="shared" si="11"/>
        <v/>
      </c>
      <c r="AO59" s="342"/>
      <c r="AP59" s="378"/>
      <c r="AQ59" s="379"/>
      <c r="AR59" s="256"/>
      <c r="AS59" s="256"/>
      <c r="AU59" s="22"/>
      <c r="AV59" s="22"/>
      <c r="AX59" s="370">
        <f t="shared" si="12"/>
        <v>0</v>
      </c>
      <c r="AY59" s="256"/>
      <c r="AZ59" s="256"/>
      <c r="BA59" s="256"/>
      <c r="BB59" s="256"/>
      <c r="BC59" s="19">
        <f t="shared" si="13"/>
        <v>0</v>
      </c>
      <c r="BD59" s="19" t="str">
        <f t="shared" si="14"/>
        <v/>
      </c>
      <c r="BE59" s="19" t="str">
        <f t="shared" si="15"/>
        <v/>
      </c>
    </row>
    <row r="60" spans="2:57">
      <c r="B60" s="358" t="str">
        <f>名簿!P57</f>
        <v/>
      </c>
      <c r="C60" s="966"/>
      <c r="D60" s="966"/>
      <c r="E60" s="1262">
        <f>名簿!E57</f>
        <v>0</v>
      </c>
      <c r="F60" s="700" t="str">
        <f>名簿!CM57</f>
        <v/>
      </c>
      <c r="G60" s="358" t="str">
        <f>名簿!Z57</f>
        <v/>
      </c>
      <c r="H60" s="358" t="str">
        <f>名簿!CM57</f>
        <v/>
      </c>
      <c r="I60" s="359" t="str">
        <f>名簿!Y57</f>
        <v/>
      </c>
      <c r="J60" s="359" t="str">
        <f>名簿!CN57</f>
        <v/>
      </c>
      <c r="K60" s="1044">
        <f>名簿!CP57</f>
        <v>0</v>
      </c>
      <c r="L60" s="1045" t="str">
        <f>名簿!CU57</f>
        <v>00</v>
      </c>
      <c r="M60" s="358" t="str">
        <f>名簿!Q57</f>
        <v/>
      </c>
      <c r="N60" s="1256">
        <f>名簿!D57</f>
        <v>0</v>
      </c>
      <c r="O60" s="363"/>
      <c r="P60" s="292" t="str">
        <f t="shared" si="4"/>
        <v/>
      </c>
      <c r="Q60" s="623" t="str">
        <f>IF(O60="","",HLOOKUP(O60,名簿!$AH$3:$CH$118,55,FALSE))</f>
        <v/>
      </c>
      <c r="R60" s="1143"/>
      <c r="S60" s="984" t="str">
        <f t="shared" si="5"/>
        <v/>
      </c>
      <c r="T60" s="985" t="str">
        <f t="shared" si="6"/>
        <v/>
      </c>
      <c r="U60" s="363"/>
      <c r="V60" s="292" t="str">
        <f t="shared" si="7"/>
        <v/>
      </c>
      <c r="W60" s="623" t="str">
        <f>IF(U60="","",HLOOKUP(U60,名簿!$AH$3:$CH$118,55,FALSE))</f>
        <v/>
      </c>
      <c r="X60" s="1145"/>
      <c r="Y60" s="984" t="str">
        <f t="shared" si="8"/>
        <v/>
      </c>
      <c r="Z60" s="985" t="str">
        <f t="shared" si="9"/>
        <v/>
      </c>
      <c r="AA60" s="706" t="str">
        <f>IF(X60="","",IF(I60=1,VLOOKUP(X60,男子種目コード!$J$2:$K$30,2,FALSE),IF(I60=2,VLOOKUP(X60,女子種目コード!$J$2:$K$28,2,FALSE))))</f>
        <v/>
      </c>
      <c r="AB60" s="956"/>
      <c r="AC60" s="972"/>
      <c r="AD60" s="358" t="str">
        <f>IF(AC60="","",IF(I60=1,VLOOKUP(AC60,男子種目コード!$J$2:$K$30,2,FALSE),IF(I60=2,VLOOKUP(AC60,女子種目コード!$J$2:$K$28,2,FALSE))))</f>
        <v/>
      </c>
      <c r="AE60" s="956"/>
      <c r="AF60" s="972"/>
      <c r="AG60" s="358" t="str">
        <f>IF(AF60="","",IF(I60=1,VLOOKUP(AF60,男子種目コード!$J$2:$K$30,2,FALSE),IF(I60=2,VLOOKUP(AF60,女子種目コード!$J$2:$K$28,2,FALSE))))</f>
        <v/>
      </c>
      <c r="AH60" s="957"/>
      <c r="AI60" s="20"/>
      <c r="AJ60" s="20"/>
      <c r="AK60" s="19"/>
      <c r="AL60" s="979"/>
      <c r="AM60" s="989" t="str">
        <f t="shared" si="10"/>
        <v/>
      </c>
      <c r="AN60" s="57" t="str">
        <f t="shared" si="11"/>
        <v/>
      </c>
      <c r="AO60" s="342"/>
      <c r="AP60" s="378"/>
      <c r="AQ60" s="379"/>
      <c r="AR60" s="256"/>
      <c r="AS60" s="256"/>
      <c r="AU60" s="22"/>
      <c r="AV60" s="22"/>
      <c r="AX60" s="370">
        <f t="shared" si="12"/>
        <v>0</v>
      </c>
      <c r="AY60" s="256"/>
      <c r="AZ60" s="256"/>
      <c r="BA60" s="256"/>
      <c r="BB60" s="256"/>
      <c r="BC60" s="19">
        <f t="shared" si="13"/>
        <v>0</v>
      </c>
      <c r="BD60" s="19" t="str">
        <f t="shared" si="14"/>
        <v/>
      </c>
      <c r="BE60" s="19" t="str">
        <f t="shared" si="15"/>
        <v/>
      </c>
    </row>
    <row r="61" spans="2:57">
      <c r="B61" s="358" t="str">
        <f>名簿!P58</f>
        <v/>
      </c>
      <c r="C61" s="966"/>
      <c r="D61" s="966"/>
      <c r="E61" s="1262">
        <f>名簿!E58</f>
        <v>0</v>
      </c>
      <c r="F61" s="700" t="str">
        <f>名簿!CM58</f>
        <v/>
      </c>
      <c r="G61" s="358" t="str">
        <f>名簿!Z58</f>
        <v/>
      </c>
      <c r="H61" s="358" t="str">
        <f>名簿!CM58</f>
        <v/>
      </c>
      <c r="I61" s="359" t="str">
        <f>名簿!Y58</f>
        <v/>
      </c>
      <c r="J61" s="359" t="str">
        <f>名簿!CN58</f>
        <v/>
      </c>
      <c r="K61" s="1044">
        <f>名簿!CP58</f>
        <v>0</v>
      </c>
      <c r="L61" s="1045" t="str">
        <f>名簿!CU58</f>
        <v>00</v>
      </c>
      <c r="M61" s="358" t="str">
        <f>名簿!Q58</f>
        <v/>
      </c>
      <c r="N61" s="1256">
        <f>名簿!D58</f>
        <v>0</v>
      </c>
      <c r="O61" s="363"/>
      <c r="P61" s="292" t="str">
        <f t="shared" si="4"/>
        <v/>
      </c>
      <c r="Q61" s="623" t="str">
        <f>IF(O61="","",HLOOKUP(O61,名簿!$AH$3:$CH$118,56,FALSE))</f>
        <v/>
      </c>
      <c r="R61" s="1143"/>
      <c r="S61" s="984" t="str">
        <f t="shared" si="5"/>
        <v/>
      </c>
      <c r="T61" s="985" t="str">
        <f t="shared" si="6"/>
        <v/>
      </c>
      <c r="U61" s="363"/>
      <c r="V61" s="292" t="str">
        <f t="shared" si="7"/>
        <v/>
      </c>
      <c r="W61" s="623" t="str">
        <f>IF(U61="","",HLOOKUP(U61,名簿!$AH$3:$CH$118,56,FALSE))</f>
        <v/>
      </c>
      <c r="X61" s="1145"/>
      <c r="Y61" s="984" t="str">
        <f t="shared" si="8"/>
        <v/>
      </c>
      <c r="Z61" s="985" t="str">
        <f t="shared" si="9"/>
        <v/>
      </c>
      <c r="AA61" s="706" t="str">
        <f>IF(X61="","",IF(I61=1,VLOOKUP(X61,男子種目コード!$J$2:$K$30,2,FALSE),IF(I61=2,VLOOKUP(X61,女子種目コード!$J$2:$K$28,2,FALSE))))</f>
        <v/>
      </c>
      <c r="AB61" s="956"/>
      <c r="AC61" s="972"/>
      <c r="AD61" s="358" t="str">
        <f>IF(AC61="","",IF(I61=1,VLOOKUP(AC61,男子種目コード!$J$2:$K$30,2,FALSE),IF(I61=2,VLOOKUP(AC61,女子種目コード!$J$2:$K$28,2,FALSE))))</f>
        <v/>
      </c>
      <c r="AE61" s="956"/>
      <c r="AF61" s="972"/>
      <c r="AG61" s="358" t="str">
        <f>IF(AF61="","",IF(I61=1,VLOOKUP(AF61,男子種目コード!$J$2:$K$30,2,FALSE),IF(I61=2,VLOOKUP(AF61,女子種目コード!$J$2:$K$28,2,FALSE))))</f>
        <v/>
      </c>
      <c r="AH61" s="957"/>
      <c r="AI61" s="20"/>
      <c r="AJ61" s="20"/>
      <c r="AK61" s="19"/>
      <c r="AL61" s="979"/>
      <c r="AM61" s="989" t="str">
        <f t="shared" si="10"/>
        <v/>
      </c>
      <c r="AN61" s="57" t="str">
        <f t="shared" si="11"/>
        <v/>
      </c>
      <c r="AO61" s="342"/>
      <c r="AP61" s="378"/>
      <c r="AQ61" s="379"/>
      <c r="AR61" s="256"/>
      <c r="AS61" s="256"/>
      <c r="AU61" s="22"/>
      <c r="AV61" s="22"/>
      <c r="AX61" s="370">
        <f t="shared" si="12"/>
        <v>0</v>
      </c>
      <c r="AY61" s="256"/>
      <c r="AZ61" s="256"/>
      <c r="BA61" s="256"/>
      <c r="BB61" s="256"/>
      <c r="BC61" s="19">
        <f t="shared" si="13"/>
        <v>0</v>
      </c>
      <c r="BD61" s="19" t="str">
        <f t="shared" si="14"/>
        <v/>
      </c>
      <c r="BE61" s="19" t="str">
        <f t="shared" si="15"/>
        <v/>
      </c>
    </row>
    <row r="62" spans="2:57">
      <c r="B62" s="358" t="str">
        <f>名簿!P59</f>
        <v/>
      </c>
      <c r="C62" s="966"/>
      <c r="D62" s="966"/>
      <c r="E62" s="1262">
        <f>名簿!E59</f>
        <v>0</v>
      </c>
      <c r="F62" s="700" t="str">
        <f>名簿!CM59</f>
        <v/>
      </c>
      <c r="G62" s="358" t="str">
        <f>名簿!Z59</f>
        <v/>
      </c>
      <c r="H62" s="358" t="str">
        <f>名簿!CM59</f>
        <v/>
      </c>
      <c r="I62" s="359" t="str">
        <f>名簿!Y59</f>
        <v/>
      </c>
      <c r="J62" s="359" t="str">
        <f>名簿!CN59</f>
        <v/>
      </c>
      <c r="K62" s="1044">
        <f>名簿!CP59</f>
        <v>0</v>
      </c>
      <c r="L62" s="1045" t="str">
        <f>名簿!CU59</f>
        <v>00</v>
      </c>
      <c r="M62" s="358" t="str">
        <f>名簿!Q59</f>
        <v/>
      </c>
      <c r="N62" s="1256">
        <f>名簿!D59</f>
        <v>0</v>
      </c>
      <c r="O62" s="363"/>
      <c r="P62" s="292" t="str">
        <f t="shared" si="4"/>
        <v/>
      </c>
      <c r="Q62" s="623" t="str">
        <f>IF(O62="","",HLOOKUP(O62,名簿!$AH$3:$CH$118,57,FALSE))</f>
        <v/>
      </c>
      <c r="R62" s="1143"/>
      <c r="S62" s="984" t="str">
        <f t="shared" si="5"/>
        <v/>
      </c>
      <c r="T62" s="985" t="str">
        <f t="shared" si="6"/>
        <v/>
      </c>
      <c r="U62" s="363"/>
      <c r="V62" s="292" t="str">
        <f t="shared" si="7"/>
        <v/>
      </c>
      <c r="W62" s="623" t="str">
        <f>IF(U62="","",HLOOKUP(U62,名簿!$AH$3:$CH$118,57,FALSE))</f>
        <v/>
      </c>
      <c r="X62" s="1145"/>
      <c r="Y62" s="984" t="str">
        <f t="shared" si="8"/>
        <v/>
      </c>
      <c r="Z62" s="985" t="str">
        <f t="shared" si="9"/>
        <v/>
      </c>
      <c r="AA62" s="706" t="str">
        <f>IF(X62="","",IF(I62=1,VLOOKUP(X62,男子種目コード!$J$2:$K$30,2,FALSE),IF(I62=2,VLOOKUP(X62,女子種目コード!$J$2:$K$28,2,FALSE))))</f>
        <v/>
      </c>
      <c r="AB62" s="956"/>
      <c r="AC62" s="972"/>
      <c r="AD62" s="358" t="str">
        <f>IF(AC62="","",IF(I62=1,VLOOKUP(AC62,男子種目コード!$J$2:$K$30,2,FALSE),IF(I62=2,VLOOKUP(AC62,女子種目コード!$J$2:$K$28,2,FALSE))))</f>
        <v/>
      </c>
      <c r="AE62" s="956"/>
      <c r="AF62" s="972"/>
      <c r="AG62" s="358" t="str">
        <f>IF(AF62="","",IF(I62=1,VLOOKUP(AF62,男子種目コード!$J$2:$K$30,2,FALSE),IF(I62=2,VLOOKUP(AF62,女子種目コード!$J$2:$K$28,2,FALSE))))</f>
        <v/>
      </c>
      <c r="AH62" s="957"/>
      <c r="AI62" s="20"/>
      <c r="AJ62" s="20"/>
      <c r="AK62" s="19"/>
      <c r="AL62" s="979"/>
      <c r="AM62" s="989" t="str">
        <f t="shared" si="10"/>
        <v/>
      </c>
      <c r="AN62" s="57" t="str">
        <f t="shared" si="11"/>
        <v/>
      </c>
      <c r="AO62" s="992"/>
      <c r="AP62" s="378"/>
      <c r="AQ62" s="379"/>
      <c r="AR62" s="256"/>
      <c r="AS62" s="256"/>
      <c r="AU62" s="22"/>
      <c r="AV62" s="22"/>
      <c r="AX62" s="370">
        <f t="shared" si="12"/>
        <v>0</v>
      </c>
      <c r="AY62" s="256"/>
      <c r="AZ62" s="256"/>
      <c r="BA62" s="256"/>
      <c r="BB62" s="256"/>
      <c r="BC62" s="19">
        <f t="shared" si="13"/>
        <v>0</v>
      </c>
      <c r="BD62" s="19" t="str">
        <f t="shared" si="14"/>
        <v/>
      </c>
      <c r="BE62" s="19" t="str">
        <f t="shared" si="15"/>
        <v/>
      </c>
    </row>
    <row r="63" spans="2:57">
      <c r="B63" s="358" t="str">
        <f>名簿!P60</f>
        <v/>
      </c>
      <c r="C63" s="966"/>
      <c r="D63" s="966"/>
      <c r="E63" s="1262">
        <f>名簿!E60</f>
        <v>0</v>
      </c>
      <c r="F63" s="700" t="str">
        <f>名簿!CM60</f>
        <v/>
      </c>
      <c r="G63" s="358" t="str">
        <f>名簿!Z60</f>
        <v/>
      </c>
      <c r="H63" s="358" t="str">
        <f>名簿!CM60</f>
        <v/>
      </c>
      <c r="I63" s="359" t="str">
        <f>名簿!Y60</f>
        <v/>
      </c>
      <c r="J63" s="359" t="str">
        <f>名簿!CN60</f>
        <v/>
      </c>
      <c r="K63" s="1044">
        <f>名簿!CP60</f>
        <v>0</v>
      </c>
      <c r="L63" s="1045" t="str">
        <f>名簿!CU60</f>
        <v>00</v>
      </c>
      <c r="M63" s="358" t="str">
        <f>名簿!Q60</f>
        <v/>
      </c>
      <c r="N63" s="1256">
        <f>名簿!D60</f>
        <v>0</v>
      </c>
      <c r="O63" s="363"/>
      <c r="P63" s="292" t="str">
        <f t="shared" si="4"/>
        <v/>
      </c>
      <c r="Q63" s="623" t="str">
        <f>IF(O63="","",HLOOKUP(O63,名簿!$AH$3:$CH$118,58,FALSE))</f>
        <v/>
      </c>
      <c r="R63" s="1143"/>
      <c r="S63" s="984" t="str">
        <f t="shared" si="5"/>
        <v/>
      </c>
      <c r="T63" s="985" t="str">
        <f t="shared" si="6"/>
        <v/>
      </c>
      <c r="U63" s="363"/>
      <c r="V63" s="292" t="str">
        <f t="shared" si="7"/>
        <v/>
      </c>
      <c r="W63" s="623" t="str">
        <f>IF(U63="","",HLOOKUP(U63,名簿!$AH$3:$CH$118,58,FALSE))</f>
        <v/>
      </c>
      <c r="X63" s="1145"/>
      <c r="Y63" s="984" t="str">
        <f t="shared" si="8"/>
        <v/>
      </c>
      <c r="Z63" s="985" t="str">
        <f t="shared" si="9"/>
        <v/>
      </c>
      <c r="AA63" s="706" t="str">
        <f>IF(X63="","",IF(I63=1,VLOOKUP(X63,男子種目コード!$J$2:$K$30,2,FALSE),IF(I63=2,VLOOKUP(X63,女子種目コード!$J$2:$K$28,2,FALSE))))</f>
        <v/>
      </c>
      <c r="AB63" s="956"/>
      <c r="AC63" s="972"/>
      <c r="AD63" s="358" t="str">
        <f>IF(AC63="","",IF(I63=1,VLOOKUP(AC63,男子種目コード!$J$2:$K$30,2,FALSE),IF(I63=2,VLOOKUP(AC63,女子種目コード!$J$2:$K$28,2,FALSE))))</f>
        <v/>
      </c>
      <c r="AE63" s="956"/>
      <c r="AF63" s="972"/>
      <c r="AG63" s="358" t="str">
        <f>IF(AF63="","",IF(I63=1,VLOOKUP(AF63,男子種目コード!$J$2:$K$30,2,FALSE),IF(I63=2,VLOOKUP(AF63,女子種目コード!$J$2:$K$28,2,FALSE))))</f>
        <v/>
      </c>
      <c r="AH63" s="957"/>
      <c r="AI63" s="20"/>
      <c r="AJ63" s="20"/>
      <c r="AK63" s="19"/>
      <c r="AL63" s="979"/>
      <c r="AM63" s="989" t="str">
        <f t="shared" si="10"/>
        <v/>
      </c>
      <c r="AN63" s="57" t="str">
        <f t="shared" si="11"/>
        <v/>
      </c>
      <c r="AO63" s="1470"/>
      <c r="AP63" s="1470"/>
      <c r="AQ63" s="379"/>
      <c r="AR63" s="256"/>
      <c r="AS63" s="256"/>
      <c r="AU63" s="22"/>
      <c r="AV63" s="22"/>
      <c r="AX63" s="370">
        <f t="shared" si="12"/>
        <v>0</v>
      </c>
      <c r="AY63" s="256"/>
      <c r="AZ63" s="256"/>
      <c r="BA63" s="256"/>
      <c r="BB63" s="256"/>
      <c r="BC63" s="19">
        <f t="shared" si="13"/>
        <v>0</v>
      </c>
      <c r="BD63" s="19" t="str">
        <f t="shared" si="14"/>
        <v/>
      </c>
      <c r="BE63" s="19" t="str">
        <f t="shared" si="15"/>
        <v/>
      </c>
    </row>
    <row r="64" spans="2:57">
      <c r="B64" s="358" t="str">
        <f>名簿!P61</f>
        <v/>
      </c>
      <c r="C64" s="966"/>
      <c r="D64" s="966"/>
      <c r="E64" s="1262">
        <f>名簿!E61</f>
        <v>0</v>
      </c>
      <c r="F64" s="700" t="str">
        <f>名簿!CM61</f>
        <v/>
      </c>
      <c r="G64" s="358" t="str">
        <f>名簿!Z61</f>
        <v/>
      </c>
      <c r="H64" s="358" t="str">
        <f>名簿!CM61</f>
        <v/>
      </c>
      <c r="I64" s="359" t="str">
        <f>名簿!Y61</f>
        <v/>
      </c>
      <c r="J64" s="359" t="str">
        <f>名簿!CN61</f>
        <v/>
      </c>
      <c r="K64" s="1044">
        <f>名簿!CP61</f>
        <v>0</v>
      </c>
      <c r="L64" s="1045" t="str">
        <f>名簿!CU61</f>
        <v>00</v>
      </c>
      <c r="M64" s="358" t="str">
        <f>名簿!Q61</f>
        <v/>
      </c>
      <c r="N64" s="1256">
        <f>名簿!D61</f>
        <v>0</v>
      </c>
      <c r="O64" s="363"/>
      <c r="P64" s="292" t="str">
        <f t="shared" si="4"/>
        <v/>
      </c>
      <c r="Q64" s="623" t="str">
        <f>IF(O64="","",HLOOKUP(O64,名簿!$AH$3:$CH$118,59,FALSE))</f>
        <v/>
      </c>
      <c r="R64" s="1143"/>
      <c r="S64" s="984" t="str">
        <f t="shared" si="5"/>
        <v/>
      </c>
      <c r="T64" s="985" t="str">
        <f t="shared" si="6"/>
        <v/>
      </c>
      <c r="U64" s="363"/>
      <c r="V64" s="292" t="str">
        <f t="shared" si="7"/>
        <v/>
      </c>
      <c r="W64" s="623" t="str">
        <f>IF(U64="","",HLOOKUP(U64,名簿!$AH$3:$CH$118,59,FALSE))</f>
        <v/>
      </c>
      <c r="X64" s="1145"/>
      <c r="Y64" s="984" t="str">
        <f t="shared" si="8"/>
        <v/>
      </c>
      <c r="Z64" s="985" t="str">
        <f t="shared" si="9"/>
        <v/>
      </c>
      <c r="AA64" s="706" t="str">
        <f>IF(X64="","",IF(I64=1,VLOOKUP(X64,男子種目コード!$J$2:$K$30,2,FALSE),IF(I64=2,VLOOKUP(X64,女子種目コード!$J$2:$K$28,2,FALSE))))</f>
        <v/>
      </c>
      <c r="AB64" s="956"/>
      <c r="AC64" s="972"/>
      <c r="AD64" s="358" t="str">
        <f>IF(AC64="","",IF(I64=1,VLOOKUP(AC64,男子種目コード!$J$2:$K$30,2,FALSE),IF(I64=2,VLOOKUP(AC64,女子種目コード!$J$2:$K$28,2,FALSE))))</f>
        <v/>
      </c>
      <c r="AE64" s="956"/>
      <c r="AF64" s="972"/>
      <c r="AG64" s="358" t="str">
        <f>IF(AF64="","",IF(I64=1,VLOOKUP(AF64,男子種目コード!$J$2:$K$30,2,FALSE),IF(I64=2,VLOOKUP(AF64,女子種目コード!$J$2:$K$28,2,FALSE))))</f>
        <v/>
      </c>
      <c r="AH64" s="957"/>
      <c r="AI64" s="20"/>
      <c r="AJ64" s="20"/>
      <c r="AK64" s="19"/>
      <c r="AL64" s="979"/>
      <c r="AM64" s="989" t="str">
        <f t="shared" si="10"/>
        <v/>
      </c>
      <c r="AN64" s="57" t="str">
        <f t="shared" si="11"/>
        <v/>
      </c>
      <c r="AO64" s="342"/>
      <c r="AP64" s="378"/>
      <c r="AQ64" s="379"/>
      <c r="AR64" s="256"/>
      <c r="AS64" s="256"/>
      <c r="AU64" s="22"/>
      <c r="AV64" s="22"/>
      <c r="AX64" s="370">
        <f t="shared" si="12"/>
        <v>0</v>
      </c>
      <c r="AY64" s="256"/>
      <c r="AZ64" s="256"/>
      <c r="BA64" s="256"/>
      <c r="BB64" s="256"/>
      <c r="BC64" s="19">
        <f t="shared" si="13"/>
        <v>0</v>
      </c>
      <c r="BD64" s="19" t="str">
        <f t="shared" si="14"/>
        <v/>
      </c>
      <c r="BE64" s="19" t="str">
        <f t="shared" si="15"/>
        <v/>
      </c>
    </row>
    <row r="65" spans="2:57">
      <c r="B65" s="358" t="str">
        <f>名簿!P62</f>
        <v/>
      </c>
      <c r="C65" s="966"/>
      <c r="D65" s="966"/>
      <c r="E65" s="1262">
        <f>名簿!E62</f>
        <v>0</v>
      </c>
      <c r="F65" s="700" t="str">
        <f>名簿!CM62</f>
        <v/>
      </c>
      <c r="G65" s="358" t="str">
        <f>名簿!Z62</f>
        <v/>
      </c>
      <c r="H65" s="358" t="str">
        <f>名簿!CM62</f>
        <v/>
      </c>
      <c r="I65" s="359" t="str">
        <f>名簿!Y62</f>
        <v/>
      </c>
      <c r="J65" s="359" t="str">
        <f>名簿!CN62</f>
        <v/>
      </c>
      <c r="K65" s="1044">
        <f>名簿!CP62</f>
        <v>0</v>
      </c>
      <c r="L65" s="1045" t="str">
        <f>名簿!CU62</f>
        <v>00</v>
      </c>
      <c r="M65" s="358" t="str">
        <f>名簿!Q62</f>
        <v/>
      </c>
      <c r="N65" s="1256">
        <f>名簿!D62</f>
        <v>0</v>
      </c>
      <c r="O65" s="363"/>
      <c r="P65" s="292" t="str">
        <f t="shared" si="4"/>
        <v/>
      </c>
      <c r="Q65" s="623" t="str">
        <f>IF(O65="","",HLOOKUP(O65,名簿!$AH$3:$CH$118,60,FALSE))</f>
        <v/>
      </c>
      <c r="R65" s="1143"/>
      <c r="S65" s="984" t="str">
        <f t="shared" si="5"/>
        <v/>
      </c>
      <c r="T65" s="985" t="str">
        <f t="shared" si="6"/>
        <v/>
      </c>
      <c r="U65" s="363"/>
      <c r="V65" s="292" t="str">
        <f t="shared" si="7"/>
        <v/>
      </c>
      <c r="W65" s="623" t="str">
        <f>IF(U65="","",HLOOKUP(U65,名簿!$AH$3:$CH$118,60,FALSE))</f>
        <v/>
      </c>
      <c r="X65" s="1145"/>
      <c r="Y65" s="984" t="str">
        <f t="shared" si="8"/>
        <v/>
      </c>
      <c r="Z65" s="985" t="str">
        <f t="shared" si="9"/>
        <v/>
      </c>
      <c r="AA65" s="706" t="str">
        <f>IF(X65="","",IF(I65=1,VLOOKUP(X65,男子種目コード!$J$2:$K$30,2,FALSE),IF(I65=2,VLOOKUP(X65,女子種目コード!$J$2:$K$28,2,FALSE))))</f>
        <v/>
      </c>
      <c r="AB65" s="956"/>
      <c r="AC65" s="972"/>
      <c r="AD65" s="358" t="str">
        <f>IF(AC65="","",IF(I65=1,VLOOKUP(AC65,男子種目コード!$J$2:$K$30,2,FALSE),IF(I65=2,VLOOKUP(AC65,女子種目コード!$J$2:$K$28,2,FALSE))))</f>
        <v/>
      </c>
      <c r="AE65" s="956"/>
      <c r="AF65" s="972"/>
      <c r="AG65" s="358" t="str">
        <f>IF(AF65="","",IF(I65=1,VLOOKUP(AF65,男子種目コード!$J$2:$K$30,2,FALSE),IF(I65=2,VLOOKUP(AF65,女子種目コード!$J$2:$K$28,2,FALSE))))</f>
        <v/>
      </c>
      <c r="AH65" s="957"/>
      <c r="AI65" s="20"/>
      <c r="AJ65" s="20"/>
      <c r="AK65" s="19"/>
      <c r="AL65" s="979"/>
      <c r="AM65" s="989" t="str">
        <f t="shared" si="10"/>
        <v/>
      </c>
      <c r="AN65" s="57" t="str">
        <f t="shared" si="11"/>
        <v/>
      </c>
      <c r="AO65" s="342"/>
      <c r="AP65" s="378"/>
      <c r="AQ65" s="248"/>
      <c r="AR65" s="256"/>
      <c r="AS65" s="256"/>
      <c r="AU65" s="22"/>
      <c r="AV65" s="22"/>
      <c r="AX65" s="370">
        <f t="shared" si="12"/>
        <v>0</v>
      </c>
      <c r="AY65" s="256"/>
      <c r="AZ65" s="256"/>
      <c r="BA65" s="256"/>
      <c r="BB65" s="256"/>
      <c r="BC65" s="19">
        <f t="shared" si="13"/>
        <v>0</v>
      </c>
      <c r="BD65" s="19" t="str">
        <f t="shared" si="14"/>
        <v/>
      </c>
      <c r="BE65" s="19" t="str">
        <f t="shared" si="15"/>
        <v/>
      </c>
    </row>
    <row r="66" spans="2:57">
      <c r="B66" s="358" t="str">
        <f>名簿!P63</f>
        <v/>
      </c>
      <c r="C66" s="966"/>
      <c r="D66" s="966"/>
      <c r="E66" s="1262">
        <f>名簿!E63</f>
        <v>0</v>
      </c>
      <c r="F66" s="700" t="str">
        <f>名簿!CM63</f>
        <v/>
      </c>
      <c r="G66" s="358" t="str">
        <f>名簿!Z63</f>
        <v/>
      </c>
      <c r="H66" s="358" t="str">
        <f>名簿!CM63</f>
        <v/>
      </c>
      <c r="I66" s="359" t="str">
        <f>名簿!Y63</f>
        <v/>
      </c>
      <c r="J66" s="359" t="str">
        <f>名簿!CN63</f>
        <v/>
      </c>
      <c r="K66" s="1044">
        <f>名簿!CP63</f>
        <v>0</v>
      </c>
      <c r="L66" s="1045" t="str">
        <f>名簿!CU63</f>
        <v>00</v>
      </c>
      <c r="M66" s="358" t="str">
        <f>名簿!Q63</f>
        <v/>
      </c>
      <c r="N66" s="1256">
        <f>名簿!D63</f>
        <v>0</v>
      </c>
      <c r="O66" s="363"/>
      <c r="P66" s="292" t="str">
        <f t="shared" si="4"/>
        <v/>
      </c>
      <c r="Q66" s="623" t="str">
        <f>IF(O66="","",HLOOKUP(O66,名簿!$AH$3:$CH$118,61,FALSE))</f>
        <v/>
      </c>
      <c r="R66" s="1143"/>
      <c r="S66" s="984" t="str">
        <f t="shared" si="5"/>
        <v/>
      </c>
      <c r="T66" s="985" t="str">
        <f t="shared" si="6"/>
        <v/>
      </c>
      <c r="U66" s="363"/>
      <c r="V66" s="292" t="str">
        <f t="shared" si="7"/>
        <v/>
      </c>
      <c r="W66" s="623" t="str">
        <f>IF(U66="","",HLOOKUP(U66,名簿!$AH$3:$CH$118,61,FALSE))</f>
        <v/>
      </c>
      <c r="X66" s="1145"/>
      <c r="Y66" s="984" t="str">
        <f t="shared" si="8"/>
        <v/>
      </c>
      <c r="Z66" s="985" t="str">
        <f t="shared" si="9"/>
        <v/>
      </c>
      <c r="AA66" s="706" t="str">
        <f>IF(X66="","",IF(I66=1,VLOOKUP(X66,男子種目コード!$J$2:$K$30,2,FALSE),IF(I66=2,VLOOKUP(X66,女子種目コード!$J$2:$K$28,2,FALSE))))</f>
        <v/>
      </c>
      <c r="AB66" s="956"/>
      <c r="AC66" s="972"/>
      <c r="AD66" s="358" t="str">
        <f>IF(AC66="","",IF(I66=1,VLOOKUP(AC66,男子種目コード!$J$2:$K$30,2,FALSE),IF(I66=2,VLOOKUP(AC66,女子種目コード!$J$2:$K$28,2,FALSE))))</f>
        <v/>
      </c>
      <c r="AE66" s="956"/>
      <c r="AF66" s="972"/>
      <c r="AG66" s="358" t="str">
        <f>IF(AF66="","",IF(I66=1,VLOOKUP(AF66,男子種目コード!$J$2:$K$30,2,FALSE),IF(I66=2,VLOOKUP(AF66,女子種目コード!$J$2:$K$28,2,FALSE))))</f>
        <v/>
      </c>
      <c r="AH66" s="957"/>
      <c r="AI66" s="20"/>
      <c r="AJ66" s="20"/>
      <c r="AK66" s="19"/>
      <c r="AL66" s="979"/>
      <c r="AM66" s="989" t="str">
        <f t="shared" si="10"/>
        <v/>
      </c>
      <c r="AN66" s="57" t="str">
        <f t="shared" si="11"/>
        <v/>
      </c>
      <c r="AO66" s="342"/>
      <c r="AP66" s="378"/>
      <c r="AQ66" s="379"/>
      <c r="AR66" s="256"/>
      <c r="AS66" s="256"/>
      <c r="AU66" s="22"/>
      <c r="AV66" s="22"/>
      <c r="AX66" s="370">
        <f t="shared" si="12"/>
        <v>0</v>
      </c>
      <c r="AY66" s="256"/>
      <c r="AZ66" s="256"/>
      <c r="BA66" s="256"/>
      <c r="BB66" s="256"/>
      <c r="BC66" s="19">
        <f t="shared" si="13"/>
        <v>0</v>
      </c>
      <c r="BD66" s="19" t="str">
        <f t="shared" si="14"/>
        <v/>
      </c>
      <c r="BE66" s="19" t="str">
        <f t="shared" si="15"/>
        <v/>
      </c>
    </row>
    <row r="67" spans="2:57">
      <c r="B67" s="358" t="str">
        <f>名簿!P64</f>
        <v/>
      </c>
      <c r="C67" s="966"/>
      <c r="D67" s="966"/>
      <c r="E67" s="1262">
        <f>名簿!E64</f>
        <v>0</v>
      </c>
      <c r="F67" s="700" t="str">
        <f>名簿!CM64</f>
        <v/>
      </c>
      <c r="G67" s="358" t="str">
        <f>名簿!Z64</f>
        <v/>
      </c>
      <c r="H67" s="358" t="str">
        <f>名簿!CM64</f>
        <v/>
      </c>
      <c r="I67" s="359" t="str">
        <f>名簿!Y64</f>
        <v/>
      </c>
      <c r="J67" s="359" t="str">
        <f>名簿!CN64</f>
        <v/>
      </c>
      <c r="K67" s="1044">
        <f>名簿!CP64</f>
        <v>0</v>
      </c>
      <c r="L67" s="1045" t="str">
        <f>名簿!CU64</f>
        <v>00</v>
      </c>
      <c r="M67" s="358" t="str">
        <f>名簿!Q64</f>
        <v/>
      </c>
      <c r="N67" s="1256">
        <f>名簿!D64</f>
        <v>0</v>
      </c>
      <c r="O67" s="363"/>
      <c r="P67" s="292" t="str">
        <f t="shared" si="4"/>
        <v/>
      </c>
      <c r="Q67" s="623" t="str">
        <f>IF(O67="","",HLOOKUP(O67,名簿!$AH$3:$CH$118,62,FALSE))</f>
        <v/>
      </c>
      <c r="R67" s="1143"/>
      <c r="S67" s="984" t="str">
        <f t="shared" si="5"/>
        <v/>
      </c>
      <c r="T67" s="985" t="str">
        <f t="shared" si="6"/>
        <v/>
      </c>
      <c r="U67" s="363"/>
      <c r="V67" s="292" t="str">
        <f t="shared" si="7"/>
        <v/>
      </c>
      <c r="W67" s="623" t="str">
        <f>IF(U67="","",HLOOKUP(U67,名簿!$AH$3:$CH$118,62,FALSE))</f>
        <v/>
      </c>
      <c r="X67" s="1145"/>
      <c r="Y67" s="984" t="str">
        <f t="shared" si="8"/>
        <v/>
      </c>
      <c r="Z67" s="985" t="str">
        <f t="shared" si="9"/>
        <v/>
      </c>
      <c r="AA67" s="706" t="str">
        <f>IF(X67="","",IF(I67=1,VLOOKUP(X67,男子種目コード!$J$2:$K$30,2,FALSE),IF(I67=2,VLOOKUP(X67,女子種目コード!$J$2:$K$28,2,FALSE))))</f>
        <v/>
      </c>
      <c r="AB67" s="956"/>
      <c r="AC67" s="972"/>
      <c r="AD67" s="358" t="str">
        <f>IF(AC67="","",IF(I67=1,VLOOKUP(AC67,男子種目コード!$J$2:$K$30,2,FALSE),IF(I67=2,VLOOKUP(AC67,女子種目コード!$J$2:$K$28,2,FALSE))))</f>
        <v/>
      </c>
      <c r="AE67" s="956"/>
      <c r="AF67" s="972"/>
      <c r="AG67" s="358" t="str">
        <f>IF(AF67="","",IF(I67=1,VLOOKUP(AF67,男子種目コード!$J$2:$K$30,2,FALSE),IF(I67=2,VLOOKUP(AF67,女子種目コード!$J$2:$K$28,2,FALSE))))</f>
        <v/>
      </c>
      <c r="AH67" s="957"/>
      <c r="AI67" s="20"/>
      <c r="AJ67" s="20"/>
      <c r="AK67" s="19"/>
      <c r="AL67" s="979"/>
      <c r="AM67" s="989" t="str">
        <f t="shared" si="10"/>
        <v/>
      </c>
      <c r="AN67" s="57" t="str">
        <f t="shared" si="11"/>
        <v/>
      </c>
      <c r="AO67" s="342"/>
      <c r="AP67" s="378"/>
      <c r="AQ67" s="379"/>
      <c r="AR67" s="256"/>
      <c r="AS67" s="256"/>
      <c r="AU67" s="22"/>
      <c r="AV67" s="22"/>
      <c r="AX67" s="370">
        <f t="shared" si="12"/>
        <v>0</v>
      </c>
      <c r="AY67" s="256"/>
      <c r="AZ67" s="256"/>
      <c r="BA67" s="256"/>
      <c r="BB67" s="256"/>
      <c r="BC67" s="19">
        <f t="shared" si="13"/>
        <v>0</v>
      </c>
      <c r="BD67" s="19" t="str">
        <f t="shared" si="14"/>
        <v/>
      </c>
      <c r="BE67" s="19" t="str">
        <f t="shared" si="15"/>
        <v/>
      </c>
    </row>
    <row r="68" spans="2:57">
      <c r="B68" s="358" t="str">
        <f>名簿!P65</f>
        <v/>
      </c>
      <c r="C68" s="966"/>
      <c r="D68" s="966"/>
      <c r="E68" s="1262">
        <f>名簿!E65</f>
        <v>0</v>
      </c>
      <c r="F68" s="700" t="str">
        <f>名簿!CM65</f>
        <v/>
      </c>
      <c r="G68" s="358" t="str">
        <f>名簿!Z65</f>
        <v/>
      </c>
      <c r="H68" s="358" t="str">
        <f>名簿!CM65</f>
        <v/>
      </c>
      <c r="I68" s="359" t="str">
        <f>名簿!Y65</f>
        <v/>
      </c>
      <c r="J68" s="359" t="str">
        <f>名簿!CN65</f>
        <v/>
      </c>
      <c r="K68" s="1044">
        <f>名簿!CP65</f>
        <v>0</v>
      </c>
      <c r="L68" s="1045" t="str">
        <f>名簿!CU65</f>
        <v>00</v>
      </c>
      <c r="M68" s="358" t="str">
        <f>名簿!Q65</f>
        <v/>
      </c>
      <c r="N68" s="1256">
        <f>名簿!D65</f>
        <v>0</v>
      </c>
      <c r="O68" s="363"/>
      <c r="P68" s="292" t="str">
        <f t="shared" si="4"/>
        <v/>
      </c>
      <c r="Q68" s="623" t="str">
        <f>IF(O68="","",HLOOKUP(O68,名簿!$AH$3:$CH$118,63,FALSE))</f>
        <v/>
      </c>
      <c r="R68" s="1143"/>
      <c r="S68" s="984" t="str">
        <f t="shared" si="5"/>
        <v/>
      </c>
      <c r="T68" s="985" t="str">
        <f t="shared" si="6"/>
        <v/>
      </c>
      <c r="U68" s="363"/>
      <c r="V68" s="292" t="str">
        <f t="shared" si="7"/>
        <v/>
      </c>
      <c r="W68" s="623" t="str">
        <f>IF(U68="","",HLOOKUP(U68,名簿!$AH$3:$CH$118,63,FALSE))</f>
        <v/>
      </c>
      <c r="X68" s="1145"/>
      <c r="Y68" s="984" t="str">
        <f t="shared" si="8"/>
        <v/>
      </c>
      <c r="Z68" s="985" t="str">
        <f t="shared" si="9"/>
        <v/>
      </c>
      <c r="AA68" s="706" t="str">
        <f>IF(X68="","",IF(I68=1,VLOOKUP(X68,男子種目コード!$J$2:$K$30,2,FALSE),IF(I68=2,VLOOKUP(X68,女子種目コード!$J$2:$K$28,2,FALSE))))</f>
        <v/>
      </c>
      <c r="AB68" s="956"/>
      <c r="AC68" s="972"/>
      <c r="AD68" s="358" t="str">
        <f>IF(AC68="","",IF(I68=1,VLOOKUP(AC68,男子種目コード!$J$2:$K$30,2,FALSE),IF(I68=2,VLOOKUP(AC68,女子種目コード!$J$2:$K$28,2,FALSE))))</f>
        <v/>
      </c>
      <c r="AE68" s="956"/>
      <c r="AF68" s="972"/>
      <c r="AG68" s="358" t="str">
        <f>IF(AF68="","",IF(I68=1,VLOOKUP(AF68,男子種目コード!$J$2:$K$30,2,FALSE),IF(I68=2,VLOOKUP(AF68,女子種目コード!$J$2:$K$28,2,FALSE))))</f>
        <v/>
      </c>
      <c r="AH68" s="957"/>
      <c r="AI68" s="20"/>
      <c r="AJ68" s="20"/>
      <c r="AK68" s="19"/>
      <c r="AL68" s="979"/>
      <c r="AM68" s="989" t="str">
        <f t="shared" si="10"/>
        <v/>
      </c>
      <c r="AN68" s="57" t="str">
        <f t="shared" si="11"/>
        <v/>
      </c>
      <c r="AO68" s="342"/>
      <c r="AP68" s="380"/>
      <c r="AQ68" s="379"/>
      <c r="AR68" s="256"/>
      <c r="AS68" s="256"/>
      <c r="AU68" s="22"/>
      <c r="AV68" s="22"/>
      <c r="AX68" s="370">
        <f t="shared" si="12"/>
        <v>0</v>
      </c>
      <c r="AY68" s="256"/>
      <c r="AZ68" s="256"/>
      <c r="BA68" s="256"/>
      <c r="BB68" s="256"/>
      <c r="BC68" s="19">
        <f t="shared" si="13"/>
        <v>0</v>
      </c>
      <c r="BD68" s="19" t="str">
        <f t="shared" si="14"/>
        <v/>
      </c>
      <c r="BE68" s="19" t="str">
        <f t="shared" si="15"/>
        <v/>
      </c>
    </row>
    <row r="69" spans="2:57">
      <c r="B69" s="358" t="str">
        <f>名簿!P66</f>
        <v/>
      </c>
      <c r="C69" s="966"/>
      <c r="D69" s="966"/>
      <c r="E69" s="1262">
        <f>名簿!E66</f>
        <v>0</v>
      </c>
      <c r="F69" s="700" t="str">
        <f>名簿!CM66</f>
        <v/>
      </c>
      <c r="G69" s="358" t="str">
        <f>名簿!Z66</f>
        <v/>
      </c>
      <c r="H69" s="358" t="str">
        <f>名簿!CM66</f>
        <v/>
      </c>
      <c r="I69" s="359" t="str">
        <f>名簿!Y66</f>
        <v/>
      </c>
      <c r="J69" s="359" t="str">
        <f>名簿!CN66</f>
        <v/>
      </c>
      <c r="K69" s="1044">
        <f>名簿!CP66</f>
        <v>0</v>
      </c>
      <c r="L69" s="1045" t="str">
        <f>名簿!CU66</f>
        <v>00</v>
      </c>
      <c r="M69" s="358" t="str">
        <f>名簿!Q66</f>
        <v/>
      </c>
      <c r="N69" s="1256">
        <f>名簿!D66</f>
        <v>0</v>
      </c>
      <c r="O69" s="363"/>
      <c r="P69" s="292" t="str">
        <f t="shared" si="4"/>
        <v/>
      </c>
      <c r="Q69" s="623" t="str">
        <f>IF(O69="","",HLOOKUP(O69,名簿!$AH$3:$CH$118,64,FALSE))</f>
        <v/>
      </c>
      <c r="R69" s="1143"/>
      <c r="S69" s="984" t="str">
        <f t="shared" si="5"/>
        <v/>
      </c>
      <c r="T69" s="985" t="str">
        <f t="shared" si="6"/>
        <v/>
      </c>
      <c r="U69" s="363"/>
      <c r="V69" s="292" t="str">
        <f t="shared" si="7"/>
        <v/>
      </c>
      <c r="W69" s="623" t="str">
        <f>IF(U69="","",HLOOKUP(U69,名簿!$AH$3:$CH$118,64,FALSE))</f>
        <v/>
      </c>
      <c r="X69" s="1145"/>
      <c r="Y69" s="984" t="str">
        <f t="shared" si="8"/>
        <v/>
      </c>
      <c r="Z69" s="985" t="str">
        <f t="shared" si="9"/>
        <v/>
      </c>
      <c r="AA69" s="706" t="str">
        <f>IF(X69="","",IF(I69=1,VLOOKUP(X69,男子種目コード!$J$2:$K$30,2,FALSE),IF(I69=2,VLOOKUP(X69,女子種目コード!$J$2:$K$28,2,FALSE))))</f>
        <v/>
      </c>
      <c r="AB69" s="956"/>
      <c r="AC69" s="972"/>
      <c r="AD69" s="358" t="str">
        <f>IF(AC69="","",IF(I69=1,VLOOKUP(AC69,男子種目コード!$J$2:$K$30,2,FALSE),IF(I69=2,VLOOKUP(AC69,女子種目コード!$J$2:$K$28,2,FALSE))))</f>
        <v/>
      </c>
      <c r="AE69" s="956"/>
      <c r="AF69" s="972"/>
      <c r="AG69" s="358" t="str">
        <f>IF(AF69="","",IF(I69=1,VLOOKUP(AF69,男子種目コード!$J$2:$K$30,2,FALSE),IF(I69=2,VLOOKUP(AF69,女子種目コード!$J$2:$K$28,2,FALSE))))</f>
        <v/>
      </c>
      <c r="AH69" s="957"/>
      <c r="AI69" s="20"/>
      <c r="AJ69" s="20"/>
      <c r="AK69" s="19"/>
      <c r="AL69" s="979"/>
      <c r="AM69" s="989" t="str">
        <f t="shared" si="10"/>
        <v/>
      </c>
      <c r="AN69" s="57" t="str">
        <f t="shared" si="11"/>
        <v/>
      </c>
      <c r="AO69" s="1470"/>
      <c r="AP69" s="1470"/>
      <c r="AQ69" s="379"/>
      <c r="AR69" s="256"/>
      <c r="AS69" s="256"/>
      <c r="AU69" s="22"/>
      <c r="AV69" s="22"/>
      <c r="AX69" s="370">
        <f t="shared" si="12"/>
        <v>0</v>
      </c>
      <c r="AY69" s="256"/>
      <c r="AZ69" s="256"/>
      <c r="BA69" s="256"/>
      <c r="BB69" s="256"/>
      <c r="BC69" s="19">
        <f t="shared" si="13"/>
        <v>0</v>
      </c>
      <c r="BD69" s="19" t="str">
        <f t="shared" si="14"/>
        <v/>
      </c>
      <c r="BE69" s="19" t="str">
        <f t="shared" si="15"/>
        <v/>
      </c>
    </row>
    <row r="70" spans="2:57">
      <c r="B70" s="358" t="str">
        <f>名簿!P67</f>
        <v/>
      </c>
      <c r="C70" s="966"/>
      <c r="D70" s="966"/>
      <c r="E70" s="1262">
        <f>名簿!E67</f>
        <v>0</v>
      </c>
      <c r="F70" s="700" t="str">
        <f>名簿!CM67</f>
        <v/>
      </c>
      <c r="G70" s="358" t="str">
        <f>名簿!Z67</f>
        <v/>
      </c>
      <c r="H70" s="358" t="str">
        <f>名簿!CM67</f>
        <v/>
      </c>
      <c r="I70" s="359" t="str">
        <f>名簿!Y67</f>
        <v/>
      </c>
      <c r="J70" s="359" t="str">
        <f>名簿!CN67</f>
        <v/>
      </c>
      <c r="K70" s="1044">
        <f>名簿!CP67</f>
        <v>0</v>
      </c>
      <c r="L70" s="1045" t="str">
        <f>名簿!CU67</f>
        <v>00</v>
      </c>
      <c r="M70" s="358" t="str">
        <f>名簿!Q67</f>
        <v/>
      </c>
      <c r="N70" s="1256">
        <f>名簿!D67</f>
        <v>0</v>
      </c>
      <c r="O70" s="363"/>
      <c r="P70" s="292" t="str">
        <f t="shared" si="4"/>
        <v/>
      </c>
      <c r="Q70" s="623" t="str">
        <f>IF(O70="","",HLOOKUP(O70,名簿!$AH$3:$CH$118,65,FALSE))</f>
        <v/>
      </c>
      <c r="R70" s="1143"/>
      <c r="S70" s="984" t="str">
        <f t="shared" si="5"/>
        <v/>
      </c>
      <c r="T70" s="985" t="str">
        <f t="shared" si="6"/>
        <v/>
      </c>
      <c r="U70" s="363"/>
      <c r="V70" s="292" t="str">
        <f t="shared" si="7"/>
        <v/>
      </c>
      <c r="W70" s="623" t="str">
        <f>IF(U70="","",HLOOKUP(U70,名簿!$AH$3:$CH$118,65,FALSE))</f>
        <v/>
      </c>
      <c r="X70" s="1145"/>
      <c r="Y70" s="984" t="str">
        <f t="shared" si="8"/>
        <v/>
      </c>
      <c r="Z70" s="985" t="str">
        <f t="shared" si="9"/>
        <v/>
      </c>
      <c r="AA70" s="706" t="str">
        <f>IF(X70="","",IF(I70=1,VLOOKUP(X70,男子種目コード!$J$2:$K$30,2,FALSE),IF(I70=2,VLOOKUP(X70,女子種目コード!$J$2:$K$28,2,FALSE))))</f>
        <v/>
      </c>
      <c r="AB70" s="956"/>
      <c r="AC70" s="972"/>
      <c r="AD70" s="358" t="str">
        <f>IF(AC70="","",IF(I70=1,VLOOKUP(AC70,男子種目コード!$J$2:$K$30,2,FALSE),IF(I70=2,VLOOKUP(AC70,女子種目コード!$J$2:$K$28,2,FALSE))))</f>
        <v/>
      </c>
      <c r="AE70" s="956"/>
      <c r="AF70" s="972"/>
      <c r="AG70" s="358" t="str">
        <f>IF(AF70="","",IF(I70=1,VLOOKUP(AF70,男子種目コード!$J$2:$K$30,2,FALSE),IF(I70=2,VLOOKUP(AF70,女子種目コード!$J$2:$K$28,2,FALSE))))</f>
        <v/>
      </c>
      <c r="AH70" s="957"/>
      <c r="AI70" s="20"/>
      <c r="AJ70" s="20"/>
      <c r="AK70" s="19"/>
      <c r="AL70" s="979"/>
      <c r="AM70" s="989" t="str">
        <f t="shared" si="10"/>
        <v/>
      </c>
      <c r="AN70" s="57" t="str">
        <f t="shared" si="11"/>
        <v/>
      </c>
      <c r="AO70" s="342"/>
      <c r="AP70" s="378"/>
      <c r="AQ70" s="379"/>
      <c r="AR70" s="256"/>
      <c r="AS70" s="256"/>
      <c r="AU70" s="22"/>
      <c r="AV70" s="22"/>
      <c r="AX70" s="370">
        <f t="shared" si="12"/>
        <v>0</v>
      </c>
      <c r="AY70" s="256"/>
      <c r="AZ70" s="256"/>
      <c r="BA70" s="256"/>
      <c r="BB70" s="256"/>
      <c r="BC70" s="19">
        <f t="shared" si="13"/>
        <v>0</v>
      </c>
      <c r="BD70" s="19" t="str">
        <f t="shared" si="14"/>
        <v/>
      </c>
      <c r="BE70" s="19" t="str">
        <f t="shared" si="15"/>
        <v/>
      </c>
    </row>
    <row r="71" spans="2:57">
      <c r="B71" s="358" t="str">
        <f>名簿!P68</f>
        <v/>
      </c>
      <c r="C71" s="966"/>
      <c r="D71" s="966"/>
      <c r="E71" s="1262">
        <f>名簿!E68</f>
        <v>0</v>
      </c>
      <c r="F71" s="700" t="str">
        <f>名簿!CM68</f>
        <v/>
      </c>
      <c r="G71" s="358" t="str">
        <f>名簿!Z68</f>
        <v/>
      </c>
      <c r="H71" s="358" t="str">
        <f>名簿!CM68</f>
        <v/>
      </c>
      <c r="I71" s="359" t="str">
        <f>名簿!Y68</f>
        <v/>
      </c>
      <c r="J71" s="359" t="str">
        <f>名簿!CN68</f>
        <v/>
      </c>
      <c r="K71" s="1044">
        <f>名簿!CP68</f>
        <v>0</v>
      </c>
      <c r="L71" s="1045" t="str">
        <f>名簿!CU68</f>
        <v>00</v>
      </c>
      <c r="M71" s="358" t="str">
        <f>名簿!Q68</f>
        <v/>
      </c>
      <c r="N71" s="1256">
        <f>名簿!D68</f>
        <v>0</v>
      </c>
      <c r="O71" s="363"/>
      <c r="P71" s="292" t="str">
        <f t="shared" si="4"/>
        <v/>
      </c>
      <c r="Q71" s="623" t="str">
        <f>IF(O71="","",HLOOKUP(O71,名簿!$AH$3:$CH$118,66,FALSE))</f>
        <v/>
      </c>
      <c r="R71" s="1143"/>
      <c r="S71" s="984" t="str">
        <f t="shared" si="5"/>
        <v/>
      </c>
      <c r="T71" s="985" t="str">
        <f t="shared" si="6"/>
        <v/>
      </c>
      <c r="U71" s="363"/>
      <c r="V71" s="292" t="str">
        <f t="shared" si="7"/>
        <v/>
      </c>
      <c r="W71" s="623" t="str">
        <f>IF(U71="","",HLOOKUP(U71,名簿!$AH$3:$CH$118,66,FALSE))</f>
        <v/>
      </c>
      <c r="X71" s="1145"/>
      <c r="Y71" s="984" t="str">
        <f t="shared" si="8"/>
        <v/>
      </c>
      <c r="Z71" s="985" t="str">
        <f t="shared" si="9"/>
        <v/>
      </c>
      <c r="AA71" s="706" t="str">
        <f>IF(X71="","",IF(I71=1,VLOOKUP(X71,男子種目コード!$J$2:$K$30,2,FALSE),IF(I71=2,VLOOKUP(X71,女子種目コード!$J$2:$K$28,2,FALSE))))</f>
        <v/>
      </c>
      <c r="AB71" s="956"/>
      <c r="AC71" s="972"/>
      <c r="AD71" s="358" t="str">
        <f>IF(AC71="","",IF(I71=1,VLOOKUP(AC71,男子種目コード!$J$2:$K$30,2,FALSE),IF(I71=2,VLOOKUP(AC71,女子種目コード!$J$2:$K$28,2,FALSE))))</f>
        <v/>
      </c>
      <c r="AE71" s="956"/>
      <c r="AF71" s="972"/>
      <c r="AG71" s="358" t="str">
        <f>IF(AF71="","",IF(I71=1,VLOOKUP(AF71,男子種目コード!$J$2:$K$30,2,FALSE),IF(I71=2,VLOOKUP(AF71,女子種目コード!$J$2:$K$28,2,FALSE))))</f>
        <v/>
      </c>
      <c r="AH71" s="957"/>
      <c r="AI71" s="20"/>
      <c r="AJ71" s="20"/>
      <c r="AK71" s="19"/>
      <c r="AL71" s="979"/>
      <c r="AM71" s="989" t="str">
        <f t="shared" si="10"/>
        <v/>
      </c>
      <c r="AN71" s="57" t="str">
        <f t="shared" si="11"/>
        <v/>
      </c>
      <c r="AO71" s="342"/>
      <c r="AP71" s="378"/>
      <c r="AQ71" s="248"/>
      <c r="AR71" s="256"/>
      <c r="AS71" s="256"/>
      <c r="AU71" s="22"/>
      <c r="AV71" s="22"/>
      <c r="AX71" s="370">
        <f t="shared" ref="AX71:AX102" si="16">IF(OR(AM71=1,U71=""),0,1)</f>
        <v>0</v>
      </c>
      <c r="AY71" s="256"/>
      <c r="AZ71" s="256"/>
      <c r="BA71" s="256"/>
      <c r="BB71" s="256"/>
      <c r="BC71" s="19">
        <f t="shared" ref="BC71:BC102" si="17">COUNT(P71,V71,AA71)</f>
        <v>0</v>
      </c>
      <c r="BD71" s="19" t="str">
        <f t="shared" ref="BD71:BD102" si="18">IF(I71=1,BC71,"")</f>
        <v/>
      </c>
      <c r="BE71" s="19" t="str">
        <f t="shared" ref="BE71:BE102" si="19">IF(I71=2,BC71,"")</f>
        <v/>
      </c>
    </row>
    <row r="72" spans="2:57">
      <c r="B72" s="358" t="str">
        <f>名簿!P69</f>
        <v/>
      </c>
      <c r="C72" s="966"/>
      <c r="D72" s="966"/>
      <c r="E72" s="1262">
        <f>名簿!E69</f>
        <v>0</v>
      </c>
      <c r="F72" s="700" t="str">
        <f>名簿!CM69</f>
        <v/>
      </c>
      <c r="G72" s="358" t="str">
        <f>名簿!Z69</f>
        <v/>
      </c>
      <c r="H72" s="358" t="str">
        <f>名簿!CM69</f>
        <v/>
      </c>
      <c r="I72" s="359" t="str">
        <f>名簿!Y69</f>
        <v/>
      </c>
      <c r="J72" s="359" t="str">
        <f>名簿!CN69</f>
        <v/>
      </c>
      <c r="K72" s="1044">
        <f>名簿!CP69</f>
        <v>0</v>
      </c>
      <c r="L72" s="1045" t="str">
        <f>名簿!CU69</f>
        <v>00</v>
      </c>
      <c r="M72" s="358" t="str">
        <f>名簿!Q69</f>
        <v/>
      </c>
      <c r="N72" s="1256">
        <f>名簿!D69</f>
        <v>0</v>
      </c>
      <c r="O72" s="363"/>
      <c r="P72" s="292" t="str">
        <f t="shared" ref="P72:P116" si="20">IF(O72="","",IF(I72=1,VLOOKUP(O72,$AO$8:$AQ$23,3,FALSE),IF(I72=2,VLOOKUP(O72,$AO$26:$AQ$41,3,FALSE))))</f>
        <v/>
      </c>
      <c r="Q72" s="623" t="str">
        <f>IF(O72="","",HLOOKUP(O72,名簿!$AH$3:$CH$118,67,FALSE))</f>
        <v/>
      </c>
      <c r="R72" s="1143"/>
      <c r="S72" s="984" t="str">
        <f t="shared" ref="S72:S116" si="21">IF(O72="","",0)</f>
        <v/>
      </c>
      <c r="T72" s="985" t="str">
        <f t="shared" ref="T72:T116" si="22">IF(O72="","",2)</f>
        <v/>
      </c>
      <c r="U72" s="363"/>
      <c r="V72" s="292" t="str">
        <f t="shared" ref="V72:V116" si="23">IF(U72="","",IF(I72=1,VLOOKUP(U72,$AO$8:$AQ$23,3,FALSE),IF(I72=2,VLOOKUP(U72,$AO$26:$AQ$41,3,FALSE))))</f>
        <v/>
      </c>
      <c r="W72" s="623" t="str">
        <f>IF(U72="","",HLOOKUP(U72,名簿!$AH$3:$CH$118,67,FALSE))</f>
        <v/>
      </c>
      <c r="X72" s="1145"/>
      <c r="Y72" s="984" t="str">
        <f t="shared" ref="Y72:Y116" si="24">IF(U72="","",0)</f>
        <v/>
      </c>
      <c r="Z72" s="985" t="str">
        <f t="shared" ref="Z72:Z116" si="25">IF(U72="","",2)</f>
        <v/>
      </c>
      <c r="AA72" s="706" t="str">
        <f>IF(X72="","",IF(I72=1,VLOOKUP(X72,男子種目コード!$J$2:$K$30,2,FALSE),IF(I72=2,VLOOKUP(X72,女子種目コード!$J$2:$K$28,2,FALSE))))</f>
        <v/>
      </c>
      <c r="AB72" s="956"/>
      <c r="AC72" s="972"/>
      <c r="AD72" s="358" t="str">
        <f>IF(AC72="","",IF(I72=1,VLOOKUP(AC72,男子種目コード!$J$2:$K$30,2,FALSE),IF(I72=2,VLOOKUP(AC72,女子種目コード!$J$2:$K$28,2,FALSE))))</f>
        <v/>
      </c>
      <c r="AE72" s="956"/>
      <c r="AF72" s="972"/>
      <c r="AG72" s="358" t="str">
        <f>IF(AF72="","",IF(I72=1,VLOOKUP(AF72,男子種目コード!$J$2:$K$30,2,FALSE),IF(I72=2,VLOOKUP(AF72,女子種目コード!$J$2:$K$28,2,FALSE))))</f>
        <v/>
      </c>
      <c r="AH72" s="957"/>
      <c r="AI72" s="20"/>
      <c r="AJ72" s="20"/>
      <c r="AK72" s="19"/>
      <c r="AL72" s="979"/>
      <c r="AM72" s="989" t="str">
        <f t="shared" si="10"/>
        <v/>
      </c>
      <c r="AN72" s="57" t="str">
        <f t="shared" si="11"/>
        <v/>
      </c>
      <c r="AO72" s="342"/>
      <c r="AP72" s="378"/>
      <c r="AQ72" s="248"/>
      <c r="AR72" s="256"/>
      <c r="AS72" s="256"/>
      <c r="AU72" s="22"/>
      <c r="AV72" s="22"/>
      <c r="AX72" s="370">
        <f t="shared" si="16"/>
        <v>0</v>
      </c>
      <c r="AY72" s="256"/>
      <c r="AZ72" s="256"/>
      <c r="BA72" s="256"/>
      <c r="BB72" s="256"/>
      <c r="BC72" s="19">
        <f t="shared" si="17"/>
        <v>0</v>
      </c>
      <c r="BD72" s="19" t="str">
        <f t="shared" si="18"/>
        <v/>
      </c>
      <c r="BE72" s="19" t="str">
        <f t="shared" si="19"/>
        <v/>
      </c>
    </row>
    <row r="73" spans="2:57">
      <c r="B73" s="358" t="str">
        <f>名簿!P70</f>
        <v/>
      </c>
      <c r="C73" s="966"/>
      <c r="D73" s="966"/>
      <c r="E73" s="1262">
        <f>名簿!E70</f>
        <v>0</v>
      </c>
      <c r="F73" s="700" t="str">
        <f>名簿!CM70</f>
        <v/>
      </c>
      <c r="G73" s="358" t="str">
        <f>名簿!Z70</f>
        <v/>
      </c>
      <c r="H73" s="358" t="str">
        <f>名簿!CM70</f>
        <v/>
      </c>
      <c r="I73" s="359" t="str">
        <f>名簿!Y70</f>
        <v/>
      </c>
      <c r="J73" s="359" t="str">
        <f>名簿!CN70</f>
        <v/>
      </c>
      <c r="K73" s="1044">
        <f>名簿!CP70</f>
        <v>0</v>
      </c>
      <c r="L73" s="1045" t="str">
        <f>名簿!CU70</f>
        <v>00</v>
      </c>
      <c r="M73" s="358" t="str">
        <f>名簿!Q70</f>
        <v/>
      </c>
      <c r="N73" s="1256">
        <f>名簿!D70</f>
        <v>0</v>
      </c>
      <c r="O73" s="363"/>
      <c r="P73" s="292" t="str">
        <f t="shared" si="20"/>
        <v/>
      </c>
      <c r="Q73" s="623" t="str">
        <f>IF(O73="","",HLOOKUP(O73,名簿!$AH$3:$CH$118,68,FALSE))</f>
        <v/>
      </c>
      <c r="R73" s="1143"/>
      <c r="S73" s="984" t="str">
        <f t="shared" si="21"/>
        <v/>
      </c>
      <c r="T73" s="985" t="str">
        <f t="shared" si="22"/>
        <v/>
      </c>
      <c r="U73" s="363"/>
      <c r="V73" s="292" t="str">
        <f t="shared" si="23"/>
        <v/>
      </c>
      <c r="W73" s="623" t="str">
        <f>IF(U73="","",HLOOKUP(U73,名簿!$AH$3:$CH$118,68,FALSE))</f>
        <v/>
      </c>
      <c r="X73" s="1145"/>
      <c r="Y73" s="984" t="str">
        <f t="shared" si="24"/>
        <v/>
      </c>
      <c r="Z73" s="985" t="str">
        <f t="shared" si="25"/>
        <v/>
      </c>
      <c r="AA73" s="706" t="str">
        <f>IF(X73="","",IF(I73=1,VLOOKUP(X73,男子種目コード!$J$2:$K$30,2,FALSE),IF(I73=2,VLOOKUP(X73,女子種目コード!$J$2:$K$28,2,FALSE))))</f>
        <v/>
      </c>
      <c r="AB73" s="956"/>
      <c r="AC73" s="972"/>
      <c r="AD73" s="358" t="str">
        <f>IF(AC73="","",IF(I73=1,VLOOKUP(AC73,男子種目コード!$J$2:$K$30,2,FALSE),IF(I73=2,VLOOKUP(AC73,女子種目コード!$J$2:$K$28,2,FALSE))))</f>
        <v/>
      </c>
      <c r="AE73" s="956"/>
      <c r="AF73" s="972"/>
      <c r="AG73" s="358" t="str">
        <f>IF(AF73="","",IF(I73=1,VLOOKUP(AF73,男子種目コード!$J$2:$K$30,2,FALSE),IF(I73=2,VLOOKUP(AF73,女子種目コード!$J$2:$K$28,2,FALSE))))</f>
        <v/>
      </c>
      <c r="AH73" s="957"/>
      <c r="AI73" s="20"/>
      <c r="AJ73" s="20"/>
      <c r="AK73" s="19"/>
      <c r="AL73" s="979"/>
      <c r="AM73" s="989" t="str">
        <f t="shared" si="10"/>
        <v/>
      </c>
      <c r="AN73" s="57" t="str">
        <f t="shared" si="11"/>
        <v/>
      </c>
      <c r="AO73" s="342"/>
      <c r="AP73" s="378"/>
      <c r="AQ73" s="379"/>
      <c r="AR73" s="256"/>
      <c r="AS73" s="256"/>
      <c r="AU73" s="22"/>
      <c r="AV73" s="22"/>
      <c r="AX73" s="370">
        <f t="shared" si="16"/>
        <v>0</v>
      </c>
      <c r="AY73" s="256"/>
      <c r="AZ73" s="256"/>
      <c r="BA73" s="256"/>
      <c r="BB73" s="256"/>
      <c r="BC73" s="19">
        <f t="shared" si="17"/>
        <v>0</v>
      </c>
      <c r="BD73" s="19" t="str">
        <f t="shared" si="18"/>
        <v/>
      </c>
      <c r="BE73" s="19" t="str">
        <f t="shared" si="19"/>
        <v/>
      </c>
    </row>
    <row r="74" spans="2:57">
      <c r="B74" s="358" t="str">
        <f>名簿!P71</f>
        <v/>
      </c>
      <c r="C74" s="966"/>
      <c r="D74" s="966"/>
      <c r="E74" s="1262">
        <f>名簿!E71</f>
        <v>0</v>
      </c>
      <c r="F74" s="700" t="str">
        <f>名簿!CM71</f>
        <v/>
      </c>
      <c r="G74" s="358" t="str">
        <f>名簿!Z71</f>
        <v/>
      </c>
      <c r="H74" s="358" t="str">
        <f>名簿!CM71</f>
        <v/>
      </c>
      <c r="I74" s="359" t="str">
        <f>名簿!Y71</f>
        <v/>
      </c>
      <c r="J74" s="359" t="str">
        <f>名簿!CN71</f>
        <v/>
      </c>
      <c r="K74" s="1044">
        <f>名簿!CP71</f>
        <v>0</v>
      </c>
      <c r="L74" s="1045" t="str">
        <f>名簿!CU71</f>
        <v>00</v>
      </c>
      <c r="M74" s="358" t="str">
        <f>名簿!Q71</f>
        <v/>
      </c>
      <c r="N74" s="1256">
        <f>名簿!D71</f>
        <v>0</v>
      </c>
      <c r="O74" s="363"/>
      <c r="P74" s="292" t="str">
        <f t="shared" si="20"/>
        <v/>
      </c>
      <c r="Q74" s="623" t="str">
        <f>IF(O74="","",HLOOKUP(O74,名簿!$AH$3:$CH$118,69,FALSE))</f>
        <v/>
      </c>
      <c r="R74" s="1143"/>
      <c r="S74" s="984" t="str">
        <f t="shared" si="21"/>
        <v/>
      </c>
      <c r="T74" s="985" t="str">
        <f t="shared" si="22"/>
        <v/>
      </c>
      <c r="U74" s="363"/>
      <c r="V74" s="292" t="str">
        <f t="shared" si="23"/>
        <v/>
      </c>
      <c r="W74" s="623" t="str">
        <f>IF(U74="","",HLOOKUP(U74,名簿!$AH$3:$CH$118,69,FALSE))</f>
        <v/>
      </c>
      <c r="X74" s="1145"/>
      <c r="Y74" s="984" t="str">
        <f t="shared" si="24"/>
        <v/>
      </c>
      <c r="Z74" s="985" t="str">
        <f t="shared" si="25"/>
        <v/>
      </c>
      <c r="AA74" s="706" t="str">
        <f>IF(X74="","",IF(I74=1,VLOOKUP(X74,男子種目コード!$J$2:$K$30,2,FALSE),IF(I74=2,VLOOKUP(X74,女子種目コード!$J$2:$K$28,2,FALSE))))</f>
        <v/>
      </c>
      <c r="AB74" s="956"/>
      <c r="AC74" s="972"/>
      <c r="AD74" s="358" t="str">
        <f>IF(AC74="","",IF(I74=1,VLOOKUP(AC74,男子種目コード!$J$2:$K$30,2,FALSE),IF(I74=2,VLOOKUP(AC74,女子種目コード!$J$2:$K$28,2,FALSE))))</f>
        <v/>
      </c>
      <c r="AE74" s="956"/>
      <c r="AF74" s="972"/>
      <c r="AG74" s="358" t="str">
        <f>IF(AF74="","",IF(I74=1,VLOOKUP(AF74,男子種目コード!$J$2:$K$30,2,FALSE),IF(I74=2,VLOOKUP(AF74,女子種目コード!$J$2:$K$28,2,FALSE))))</f>
        <v/>
      </c>
      <c r="AH74" s="957"/>
      <c r="AI74" s="20"/>
      <c r="AJ74" s="20"/>
      <c r="AK74" s="19"/>
      <c r="AL74" s="979"/>
      <c r="AM74" s="989" t="str">
        <f t="shared" ref="AM74:AM116" si="26">IF(O74="","",1)</f>
        <v/>
      </c>
      <c r="AN74" s="57" t="str">
        <f t="shared" ref="AN74:AN116" si="27">IF(U74="","",1)</f>
        <v/>
      </c>
      <c r="AO74" s="342"/>
      <c r="AP74" s="378"/>
      <c r="AQ74" s="248"/>
      <c r="AR74" s="256"/>
      <c r="AS74" s="256"/>
      <c r="AU74" s="22"/>
      <c r="AV74" s="22"/>
      <c r="AX74" s="370">
        <f t="shared" si="16"/>
        <v>0</v>
      </c>
      <c r="AY74" s="256"/>
      <c r="AZ74" s="256"/>
      <c r="BA74" s="256"/>
      <c r="BB74" s="256"/>
      <c r="BC74" s="19">
        <f t="shared" si="17"/>
        <v>0</v>
      </c>
      <c r="BD74" s="19" t="str">
        <f t="shared" si="18"/>
        <v/>
      </c>
      <c r="BE74" s="19" t="str">
        <f t="shared" si="19"/>
        <v/>
      </c>
    </row>
    <row r="75" spans="2:57">
      <c r="B75" s="358" t="str">
        <f>名簿!P72</f>
        <v/>
      </c>
      <c r="C75" s="966"/>
      <c r="D75" s="966"/>
      <c r="E75" s="1262">
        <f>名簿!E72</f>
        <v>0</v>
      </c>
      <c r="F75" s="700" t="str">
        <f>名簿!CM72</f>
        <v/>
      </c>
      <c r="G75" s="358" t="str">
        <f>名簿!Z72</f>
        <v/>
      </c>
      <c r="H75" s="358" t="str">
        <f>名簿!CM72</f>
        <v/>
      </c>
      <c r="I75" s="359" t="str">
        <f>名簿!Y72</f>
        <v/>
      </c>
      <c r="J75" s="359" t="str">
        <f>名簿!CN72</f>
        <v/>
      </c>
      <c r="K75" s="1044">
        <f>名簿!CP72</f>
        <v>0</v>
      </c>
      <c r="L75" s="1045" t="str">
        <f>名簿!CU72</f>
        <v>00</v>
      </c>
      <c r="M75" s="358" t="str">
        <f>名簿!Q72</f>
        <v/>
      </c>
      <c r="N75" s="1256">
        <f>名簿!D72</f>
        <v>0</v>
      </c>
      <c r="O75" s="363"/>
      <c r="P75" s="292" t="str">
        <f t="shared" si="20"/>
        <v/>
      </c>
      <c r="Q75" s="623" t="str">
        <f>IF(O75="","",HLOOKUP(O75,名簿!$AH$3:$CH$118,70,FALSE))</f>
        <v/>
      </c>
      <c r="R75" s="1143"/>
      <c r="S75" s="984" t="str">
        <f t="shared" si="21"/>
        <v/>
      </c>
      <c r="T75" s="985" t="str">
        <f t="shared" si="22"/>
        <v/>
      </c>
      <c r="U75" s="363"/>
      <c r="V75" s="292" t="str">
        <f t="shared" si="23"/>
        <v/>
      </c>
      <c r="W75" s="623" t="str">
        <f>IF(U75="","",HLOOKUP(U75,名簿!$AH$3:$CH$118,70,FALSE))</f>
        <v/>
      </c>
      <c r="X75" s="1145"/>
      <c r="Y75" s="984" t="str">
        <f t="shared" si="24"/>
        <v/>
      </c>
      <c r="Z75" s="985" t="str">
        <f t="shared" si="25"/>
        <v/>
      </c>
      <c r="AA75" s="706" t="str">
        <f>IF(X75="","",IF(I75=1,VLOOKUP(X75,男子種目コード!$J$2:$K$30,2,FALSE),IF(I75=2,VLOOKUP(X75,女子種目コード!$J$2:$K$28,2,FALSE))))</f>
        <v/>
      </c>
      <c r="AB75" s="956"/>
      <c r="AC75" s="972"/>
      <c r="AD75" s="358" t="str">
        <f>IF(AC75="","",IF(I75=1,VLOOKUP(AC75,男子種目コード!$J$2:$K$30,2,FALSE),IF(I75=2,VLOOKUP(AC75,女子種目コード!$J$2:$K$28,2,FALSE))))</f>
        <v/>
      </c>
      <c r="AE75" s="956"/>
      <c r="AF75" s="972"/>
      <c r="AG75" s="358" t="str">
        <f>IF(AF75="","",IF(I75=1,VLOOKUP(AF75,男子種目コード!$J$2:$K$30,2,FALSE),IF(I75=2,VLOOKUP(AF75,女子種目コード!$J$2:$K$28,2,FALSE))))</f>
        <v/>
      </c>
      <c r="AH75" s="957"/>
      <c r="AI75" s="20"/>
      <c r="AJ75" s="20"/>
      <c r="AK75" s="19"/>
      <c r="AL75" s="979"/>
      <c r="AM75" s="989" t="str">
        <f t="shared" si="26"/>
        <v/>
      </c>
      <c r="AN75" s="57" t="str">
        <f t="shared" si="27"/>
        <v/>
      </c>
      <c r="AO75" s="342"/>
      <c r="AP75" s="378"/>
      <c r="AQ75" s="379"/>
      <c r="AR75" s="256"/>
      <c r="AS75" s="256"/>
      <c r="AU75" s="22"/>
      <c r="AV75" s="22"/>
      <c r="AX75" s="370">
        <f t="shared" si="16"/>
        <v>0</v>
      </c>
      <c r="AY75" s="256"/>
      <c r="AZ75" s="256"/>
      <c r="BA75" s="256"/>
      <c r="BB75" s="256"/>
      <c r="BC75" s="19">
        <f t="shared" si="17"/>
        <v>0</v>
      </c>
      <c r="BD75" s="19" t="str">
        <f t="shared" si="18"/>
        <v/>
      </c>
      <c r="BE75" s="19" t="str">
        <f t="shared" si="19"/>
        <v/>
      </c>
    </row>
    <row r="76" spans="2:57">
      <c r="B76" s="358" t="str">
        <f>名簿!P73</f>
        <v/>
      </c>
      <c r="C76" s="966"/>
      <c r="D76" s="966"/>
      <c r="E76" s="1262">
        <f>名簿!E73</f>
        <v>0</v>
      </c>
      <c r="F76" s="700" t="str">
        <f>名簿!CM73</f>
        <v/>
      </c>
      <c r="G76" s="358" t="str">
        <f>名簿!Z73</f>
        <v/>
      </c>
      <c r="H76" s="358" t="str">
        <f>名簿!CM73</f>
        <v/>
      </c>
      <c r="I76" s="359" t="str">
        <f>名簿!Y73</f>
        <v/>
      </c>
      <c r="J76" s="359" t="str">
        <f>名簿!CN73</f>
        <v/>
      </c>
      <c r="K76" s="1044">
        <f>名簿!CP73</f>
        <v>0</v>
      </c>
      <c r="L76" s="1045" t="str">
        <f>名簿!CU73</f>
        <v>00</v>
      </c>
      <c r="M76" s="358" t="str">
        <f>名簿!Q73</f>
        <v/>
      </c>
      <c r="N76" s="1256">
        <f>名簿!D73</f>
        <v>0</v>
      </c>
      <c r="O76" s="363"/>
      <c r="P76" s="292" t="str">
        <f t="shared" si="20"/>
        <v/>
      </c>
      <c r="Q76" s="623" t="str">
        <f>IF(O76="","",HLOOKUP(O76,名簿!$AH$3:$CH$118,71,FALSE))</f>
        <v/>
      </c>
      <c r="R76" s="1143"/>
      <c r="S76" s="984" t="str">
        <f t="shared" si="21"/>
        <v/>
      </c>
      <c r="T76" s="985" t="str">
        <f t="shared" si="22"/>
        <v/>
      </c>
      <c r="U76" s="363"/>
      <c r="V76" s="292" t="str">
        <f t="shared" si="23"/>
        <v/>
      </c>
      <c r="W76" s="623" t="str">
        <f>IF(U76="","",HLOOKUP(U76,名簿!$AH$3:$CH$118,71,FALSE))</f>
        <v/>
      </c>
      <c r="X76" s="1145"/>
      <c r="Y76" s="984" t="str">
        <f t="shared" si="24"/>
        <v/>
      </c>
      <c r="Z76" s="985" t="str">
        <f t="shared" si="25"/>
        <v/>
      </c>
      <c r="AA76" s="706" t="str">
        <f>IF(X76="","",IF(I76=1,VLOOKUP(X76,男子種目コード!$J$2:$K$30,2,FALSE),IF(I76=2,VLOOKUP(X76,女子種目コード!$J$2:$K$28,2,FALSE))))</f>
        <v/>
      </c>
      <c r="AB76" s="956"/>
      <c r="AC76" s="972"/>
      <c r="AD76" s="358" t="str">
        <f>IF(AC76="","",IF(I76=1,VLOOKUP(AC76,男子種目コード!$J$2:$K$30,2,FALSE),IF(I76=2,VLOOKUP(AC76,女子種目コード!$J$2:$K$28,2,FALSE))))</f>
        <v/>
      </c>
      <c r="AE76" s="956"/>
      <c r="AF76" s="972"/>
      <c r="AG76" s="358" t="str">
        <f>IF(AF76="","",IF(I76=1,VLOOKUP(AF76,男子種目コード!$J$2:$K$30,2,FALSE),IF(I76=2,VLOOKUP(AF76,女子種目コード!$J$2:$K$28,2,FALSE))))</f>
        <v/>
      </c>
      <c r="AH76" s="957"/>
      <c r="AI76" s="20"/>
      <c r="AJ76" s="20"/>
      <c r="AK76" s="19"/>
      <c r="AL76" s="979"/>
      <c r="AM76" s="989" t="str">
        <f t="shared" si="26"/>
        <v/>
      </c>
      <c r="AN76" s="57" t="str">
        <f t="shared" si="27"/>
        <v/>
      </c>
      <c r="AO76" s="342"/>
      <c r="AP76" s="378"/>
      <c r="AQ76" s="379"/>
      <c r="AR76" s="256"/>
      <c r="AS76" s="256"/>
      <c r="AU76" s="22"/>
      <c r="AV76" s="22"/>
      <c r="AX76" s="370">
        <f t="shared" si="16"/>
        <v>0</v>
      </c>
      <c r="AY76" s="256"/>
      <c r="AZ76" s="256"/>
      <c r="BA76" s="256"/>
      <c r="BB76" s="256"/>
      <c r="BC76" s="19">
        <f t="shared" si="17"/>
        <v>0</v>
      </c>
      <c r="BD76" s="19" t="str">
        <f t="shared" si="18"/>
        <v/>
      </c>
      <c r="BE76" s="19" t="str">
        <f t="shared" si="19"/>
        <v/>
      </c>
    </row>
    <row r="77" spans="2:57">
      <c r="B77" s="358" t="str">
        <f>名簿!P74</f>
        <v/>
      </c>
      <c r="C77" s="966"/>
      <c r="D77" s="966"/>
      <c r="E77" s="1262">
        <f>名簿!E74</f>
        <v>0</v>
      </c>
      <c r="F77" s="700" t="str">
        <f>名簿!CM74</f>
        <v/>
      </c>
      <c r="G77" s="358" t="str">
        <f>名簿!Z74</f>
        <v/>
      </c>
      <c r="H77" s="358" t="str">
        <f>名簿!CM74</f>
        <v/>
      </c>
      <c r="I77" s="359" t="str">
        <f>名簿!Y74</f>
        <v/>
      </c>
      <c r="J77" s="359" t="str">
        <f>名簿!CN74</f>
        <v/>
      </c>
      <c r="K77" s="1044">
        <f>名簿!CP74</f>
        <v>0</v>
      </c>
      <c r="L77" s="1045" t="str">
        <f>名簿!CU74</f>
        <v>00</v>
      </c>
      <c r="M77" s="358" t="str">
        <f>名簿!Q74</f>
        <v/>
      </c>
      <c r="N77" s="1256">
        <f>名簿!D74</f>
        <v>0</v>
      </c>
      <c r="O77" s="363"/>
      <c r="P77" s="292" t="str">
        <f t="shared" si="20"/>
        <v/>
      </c>
      <c r="Q77" s="623" t="str">
        <f>IF(O77="","",HLOOKUP(O77,名簿!$AH$3:$CH$118,72,FALSE))</f>
        <v/>
      </c>
      <c r="R77" s="1143"/>
      <c r="S77" s="984" t="str">
        <f t="shared" si="21"/>
        <v/>
      </c>
      <c r="T77" s="985" t="str">
        <f t="shared" si="22"/>
        <v/>
      </c>
      <c r="U77" s="363"/>
      <c r="V77" s="292" t="str">
        <f t="shared" si="23"/>
        <v/>
      </c>
      <c r="W77" s="623" t="str">
        <f>IF(U77="","",HLOOKUP(U77,名簿!$AH$3:$CH$118,72,FALSE))</f>
        <v/>
      </c>
      <c r="X77" s="1145"/>
      <c r="Y77" s="984" t="str">
        <f t="shared" si="24"/>
        <v/>
      </c>
      <c r="Z77" s="985" t="str">
        <f t="shared" si="25"/>
        <v/>
      </c>
      <c r="AA77" s="706" t="str">
        <f>IF(X77="","",IF(I77=1,VLOOKUP(X77,男子種目コード!$J$2:$K$30,2,FALSE),IF(I77=2,VLOOKUP(X77,女子種目コード!$J$2:$K$28,2,FALSE))))</f>
        <v/>
      </c>
      <c r="AB77" s="956"/>
      <c r="AC77" s="972"/>
      <c r="AD77" s="358" t="str">
        <f>IF(AC77="","",IF(I77=1,VLOOKUP(AC77,男子種目コード!$J$2:$K$30,2,FALSE),IF(I77=2,VLOOKUP(AC77,女子種目コード!$J$2:$K$28,2,FALSE))))</f>
        <v/>
      </c>
      <c r="AE77" s="956"/>
      <c r="AF77" s="972"/>
      <c r="AG77" s="358" t="str">
        <f>IF(AF77="","",IF(I77=1,VLOOKUP(AF77,男子種目コード!$J$2:$K$30,2,FALSE),IF(I77=2,VLOOKUP(AF77,女子種目コード!$J$2:$K$28,2,FALSE))))</f>
        <v/>
      </c>
      <c r="AH77" s="957"/>
      <c r="AI77" s="20"/>
      <c r="AJ77" s="20"/>
      <c r="AK77" s="19"/>
      <c r="AL77" s="979"/>
      <c r="AM77" s="989" t="str">
        <f t="shared" si="26"/>
        <v/>
      </c>
      <c r="AN77" s="57" t="str">
        <f t="shared" si="27"/>
        <v/>
      </c>
      <c r="AO77" s="1470"/>
      <c r="AP77" s="1470"/>
      <c r="AQ77" s="379"/>
      <c r="AR77" s="256"/>
      <c r="AS77" s="256"/>
      <c r="AU77" s="22"/>
      <c r="AV77" s="22"/>
      <c r="AX77" s="370">
        <f t="shared" si="16"/>
        <v>0</v>
      </c>
      <c r="AY77" s="256"/>
      <c r="AZ77" s="256"/>
      <c r="BA77" s="256"/>
      <c r="BB77" s="256"/>
      <c r="BC77" s="19">
        <f t="shared" si="17"/>
        <v>0</v>
      </c>
      <c r="BD77" s="19" t="str">
        <f t="shared" si="18"/>
        <v/>
      </c>
      <c r="BE77" s="19" t="str">
        <f t="shared" si="19"/>
        <v/>
      </c>
    </row>
    <row r="78" spans="2:57">
      <c r="B78" s="358" t="str">
        <f>名簿!P75</f>
        <v/>
      </c>
      <c r="C78" s="966"/>
      <c r="D78" s="966"/>
      <c r="E78" s="1262">
        <f>名簿!E75</f>
        <v>0</v>
      </c>
      <c r="F78" s="700" t="str">
        <f>名簿!CM75</f>
        <v/>
      </c>
      <c r="G78" s="358" t="str">
        <f>名簿!Z75</f>
        <v/>
      </c>
      <c r="H78" s="358" t="str">
        <f>名簿!CM75</f>
        <v/>
      </c>
      <c r="I78" s="359" t="str">
        <f>名簿!Y75</f>
        <v/>
      </c>
      <c r="J78" s="359" t="str">
        <f>名簿!CN75</f>
        <v/>
      </c>
      <c r="K78" s="1044">
        <f>名簿!CP75</f>
        <v>0</v>
      </c>
      <c r="L78" s="1045" t="str">
        <f>名簿!CU75</f>
        <v>00</v>
      </c>
      <c r="M78" s="358" t="str">
        <f>名簿!Q75</f>
        <v/>
      </c>
      <c r="N78" s="1256">
        <f>名簿!D75</f>
        <v>0</v>
      </c>
      <c r="O78" s="363"/>
      <c r="P78" s="292" t="str">
        <f t="shared" si="20"/>
        <v/>
      </c>
      <c r="Q78" s="623" t="str">
        <f>IF(O78="","",HLOOKUP(O78,名簿!$AH$3:$CH$118,73,FALSE))</f>
        <v/>
      </c>
      <c r="R78" s="1143"/>
      <c r="S78" s="984" t="str">
        <f t="shared" si="21"/>
        <v/>
      </c>
      <c r="T78" s="985" t="str">
        <f t="shared" si="22"/>
        <v/>
      </c>
      <c r="U78" s="363"/>
      <c r="V78" s="292" t="str">
        <f t="shared" si="23"/>
        <v/>
      </c>
      <c r="W78" s="623" t="str">
        <f>IF(U78="","",HLOOKUP(U78,名簿!$AH$3:$CH$118,73,FALSE))</f>
        <v/>
      </c>
      <c r="X78" s="1145"/>
      <c r="Y78" s="984" t="str">
        <f t="shared" si="24"/>
        <v/>
      </c>
      <c r="Z78" s="985" t="str">
        <f t="shared" si="25"/>
        <v/>
      </c>
      <c r="AA78" s="706" t="str">
        <f>IF(X78="","",IF(I78=1,VLOOKUP(X78,男子種目コード!$J$2:$K$30,2,FALSE),IF(I78=2,VLOOKUP(X78,女子種目コード!$J$2:$K$28,2,FALSE))))</f>
        <v/>
      </c>
      <c r="AB78" s="956"/>
      <c r="AC78" s="972"/>
      <c r="AD78" s="358" t="str">
        <f>IF(AC78="","",IF(I78=1,VLOOKUP(AC78,男子種目コード!$J$2:$K$30,2,FALSE),IF(I78=2,VLOOKUP(AC78,女子種目コード!$J$2:$K$28,2,FALSE))))</f>
        <v/>
      </c>
      <c r="AE78" s="956"/>
      <c r="AF78" s="972"/>
      <c r="AG78" s="358" t="str">
        <f>IF(AF78="","",IF(I78=1,VLOOKUP(AF78,男子種目コード!$J$2:$K$30,2,FALSE),IF(I78=2,VLOOKUP(AF78,女子種目コード!$J$2:$K$28,2,FALSE))))</f>
        <v/>
      </c>
      <c r="AH78" s="957"/>
      <c r="AI78" s="20"/>
      <c r="AJ78" s="20"/>
      <c r="AK78" s="19"/>
      <c r="AL78" s="979"/>
      <c r="AM78" s="989" t="str">
        <f t="shared" si="26"/>
        <v/>
      </c>
      <c r="AN78" s="57" t="str">
        <f t="shared" si="27"/>
        <v/>
      </c>
      <c r="AO78" s="342"/>
      <c r="AP78" s="378"/>
      <c r="AQ78" s="379"/>
      <c r="AR78" s="256"/>
      <c r="AS78" s="256"/>
      <c r="AU78" s="22"/>
      <c r="AV78" s="22"/>
      <c r="AX78" s="370">
        <f t="shared" si="16"/>
        <v>0</v>
      </c>
      <c r="AY78" s="256"/>
      <c r="AZ78" s="256"/>
      <c r="BA78" s="256"/>
      <c r="BB78" s="256"/>
      <c r="BC78" s="19">
        <f t="shared" si="17"/>
        <v>0</v>
      </c>
      <c r="BD78" s="19" t="str">
        <f t="shared" si="18"/>
        <v/>
      </c>
      <c r="BE78" s="19" t="str">
        <f t="shared" si="19"/>
        <v/>
      </c>
    </row>
    <row r="79" spans="2:57">
      <c r="B79" s="358" t="str">
        <f>名簿!P76</f>
        <v/>
      </c>
      <c r="C79" s="966"/>
      <c r="D79" s="966"/>
      <c r="E79" s="1262">
        <f>名簿!E76</f>
        <v>0</v>
      </c>
      <c r="F79" s="700" t="str">
        <f>名簿!CM76</f>
        <v/>
      </c>
      <c r="G79" s="358" t="str">
        <f>名簿!Z76</f>
        <v/>
      </c>
      <c r="H79" s="358" t="str">
        <f>名簿!CM76</f>
        <v/>
      </c>
      <c r="I79" s="359" t="str">
        <f>名簿!Y76</f>
        <v/>
      </c>
      <c r="J79" s="359" t="str">
        <f>名簿!CN76</f>
        <v/>
      </c>
      <c r="K79" s="1044">
        <f>名簿!CP76</f>
        <v>0</v>
      </c>
      <c r="L79" s="1045" t="str">
        <f>名簿!CU76</f>
        <v>00</v>
      </c>
      <c r="M79" s="358" t="str">
        <f>名簿!Q76</f>
        <v/>
      </c>
      <c r="N79" s="1256">
        <f>名簿!D76</f>
        <v>0</v>
      </c>
      <c r="O79" s="363"/>
      <c r="P79" s="292" t="str">
        <f t="shared" si="20"/>
        <v/>
      </c>
      <c r="Q79" s="623" t="str">
        <f>IF(O79="","",HLOOKUP(O79,名簿!$AH$3:$CH$118,74,FALSE))</f>
        <v/>
      </c>
      <c r="R79" s="1143"/>
      <c r="S79" s="984" t="str">
        <f t="shared" si="21"/>
        <v/>
      </c>
      <c r="T79" s="985" t="str">
        <f t="shared" si="22"/>
        <v/>
      </c>
      <c r="U79" s="363"/>
      <c r="V79" s="292" t="str">
        <f t="shared" si="23"/>
        <v/>
      </c>
      <c r="W79" s="623" t="str">
        <f>IF(U79="","",HLOOKUP(U79,名簿!$AH$3:$CH$118,74,FALSE))</f>
        <v/>
      </c>
      <c r="X79" s="1145"/>
      <c r="Y79" s="984" t="str">
        <f t="shared" si="24"/>
        <v/>
      </c>
      <c r="Z79" s="985" t="str">
        <f t="shared" si="25"/>
        <v/>
      </c>
      <c r="AA79" s="706" t="str">
        <f>IF(X79="","",IF(I79=1,VLOOKUP(X79,男子種目コード!$J$2:$K$30,2,FALSE),IF(I79=2,VLOOKUP(X79,女子種目コード!$J$2:$K$28,2,FALSE))))</f>
        <v/>
      </c>
      <c r="AB79" s="956"/>
      <c r="AC79" s="972"/>
      <c r="AD79" s="358" t="str">
        <f>IF(AC79="","",IF(I79=1,VLOOKUP(AC79,男子種目コード!$J$2:$K$30,2,FALSE),IF(I79=2,VLOOKUP(AC79,女子種目コード!$J$2:$K$28,2,FALSE))))</f>
        <v/>
      </c>
      <c r="AE79" s="956"/>
      <c r="AF79" s="972"/>
      <c r="AG79" s="358" t="str">
        <f>IF(AF79="","",IF(I79=1,VLOOKUP(AF79,男子種目コード!$J$2:$K$30,2,FALSE),IF(I79=2,VLOOKUP(AF79,女子種目コード!$J$2:$K$28,2,FALSE))))</f>
        <v/>
      </c>
      <c r="AH79" s="957"/>
      <c r="AI79" s="20"/>
      <c r="AJ79" s="20"/>
      <c r="AK79" s="19"/>
      <c r="AL79" s="979"/>
      <c r="AM79" s="989" t="str">
        <f t="shared" si="26"/>
        <v/>
      </c>
      <c r="AN79" s="57" t="str">
        <f t="shared" si="27"/>
        <v/>
      </c>
      <c r="AO79" s="342"/>
      <c r="AP79" s="378"/>
      <c r="AQ79" s="379"/>
      <c r="AR79" s="256"/>
      <c r="AS79" s="256"/>
      <c r="AU79" s="22"/>
      <c r="AV79" s="22"/>
      <c r="AX79" s="370">
        <f t="shared" si="16"/>
        <v>0</v>
      </c>
      <c r="AY79" s="256"/>
      <c r="AZ79" s="256"/>
      <c r="BA79" s="256"/>
      <c r="BB79" s="256"/>
      <c r="BC79" s="19">
        <f t="shared" si="17"/>
        <v>0</v>
      </c>
      <c r="BD79" s="19" t="str">
        <f t="shared" si="18"/>
        <v/>
      </c>
      <c r="BE79" s="19" t="str">
        <f t="shared" si="19"/>
        <v/>
      </c>
    </row>
    <row r="80" spans="2:57">
      <c r="B80" s="358" t="str">
        <f>名簿!P77</f>
        <v/>
      </c>
      <c r="C80" s="966"/>
      <c r="D80" s="966"/>
      <c r="E80" s="1262">
        <f>名簿!E77</f>
        <v>0</v>
      </c>
      <c r="F80" s="700" t="str">
        <f>名簿!CM77</f>
        <v/>
      </c>
      <c r="G80" s="358" t="str">
        <f>名簿!Z77</f>
        <v/>
      </c>
      <c r="H80" s="358" t="str">
        <f>名簿!CM77</f>
        <v/>
      </c>
      <c r="I80" s="359" t="str">
        <f>名簿!Y77</f>
        <v/>
      </c>
      <c r="J80" s="359" t="str">
        <f>名簿!CN77</f>
        <v/>
      </c>
      <c r="K80" s="1044">
        <f>名簿!CP77</f>
        <v>0</v>
      </c>
      <c r="L80" s="1045" t="str">
        <f>名簿!CU77</f>
        <v>00</v>
      </c>
      <c r="M80" s="358" t="str">
        <f>名簿!Q77</f>
        <v/>
      </c>
      <c r="N80" s="1256">
        <f>名簿!D77</f>
        <v>0</v>
      </c>
      <c r="O80" s="363"/>
      <c r="P80" s="292" t="str">
        <f t="shared" si="20"/>
        <v/>
      </c>
      <c r="Q80" s="623" t="str">
        <f>IF(O80="","",HLOOKUP(O80,名簿!$AH$3:$CH$118,75,FALSE))</f>
        <v/>
      </c>
      <c r="R80" s="1143"/>
      <c r="S80" s="984" t="str">
        <f t="shared" si="21"/>
        <v/>
      </c>
      <c r="T80" s="985" t="str">
        <f t="shared" si="22"/>
        <v/>
      </c>
      <c r="U80" s="363"/>
      <c r="V80" s="292" t="str">
        <f t="shared" si="23"/>
        <v/>
      </c>
      <c r="W80" s="623" t="str">
        <f>IF(U80="","",HLOOKUP(U80,名簿!$AH$3:$CH$118,75,FALSE))</f>
        <v/>
      </c>
      <c r="X80" s="1145"/>
      <c r="Y80" s="984" t="str">
        <f t="shared" si="24"/>
        <v/>
      </c>
      <c r="Z80" s="985" t="str">
        <f t="shared" si="25"/>
        <v/>
      </c>
      <c r="AA80" s="706" t="str">
        <f>IF(X80="","",IF(I80=1,VLOOKUP(X80,男子種目コード!$J$2:$K$30,2,FALSE),IF(I80=2,VLOOKUP(X80,女子種目コード!$J$2:$K$28,2,FALSE))))</f>
        <v/>
      </c>
      <c r="AB80" s="956"/>
      <c r="AC80" s="972"/>
      <c r="AD80" s="358" t="str">
        <f>IF(AC80="","",IF(I80=1,VLOOKUP(AC80,男子種目コード!$J$2:$K$30,2,FALSE),IF(I80=2,VLOOKUP(AC80,女子種目コード!$J$2:$K$28,2,FALSE))))</f>
        <v/>
      </c>
      <c r="AE80" s="956"/>
      <c r="AF80" s="972"/>
      <c r="AG80" s="358" t="str">
        <f>IF(AF80="","",IF(I80=1,VLOOKUP(AF80,男子種目コード!$J$2:$K$30,2,FALSE),IF(I80=2,VLOOKUP(AF80,女子種目コード!$J$2:$K$28,2,FALSE))))</f>
        <v/>
      </c>
      <c r="AH80" s="957"/>
      <c r="AI80" s="20"/>
      <c r="AJ80" s="20"/>
      <c r="AK80" s="19"/>
      <c r="AL80" s="979"/>
      <c r="AM80" s="989" t="str">
        <f t="shared" si="26"/>
        <v/>
      </c>
      <c r="AN80" s="57" t="str">
        <f t="shared" si="27"/>
        <v/>
      </c>
      <c r="AO80" s="342"/>
      <c r="AP80" s="378"/>
      <c r="AQ80" s="379"/>
      <c r="AR80" s="256"/>
      <c r="AS80" s="256"/>
      <c r="AU80" s="22"/>
      <c r="AV80" s="22"/>
      <c r="AX80" s="370">
        <f t="shared" si="16"/>
        <v>0</v>
      </c>
      <c r="AY80" s="256"/>
      <c r="AZ80" s="256"/>
      <c r="BA80" s="256"/>
      <c r="BB80" s="256"/>
      <c r="BC80" s="19">
        <f t="shared" si="17"/>
        <v>0</v>
      </c>
      <c r="BD80" s="19" t="str">
        <f t="shared" si="18"/>
        <v/>
      </c>
      <c r="BE80" s="19" t="str">
        <f t="shared" si="19"/>
        <v/>
      </c>
    </row>
    <row r="81" spans="2:57">
      <c r="B81" s="358" t="str">
        <f>名簿!P78</f>
        <v/>
      </c>
      <c r="C81" s="966"/>
      <c r="D81" s="966"/>
      <c r="E81" s="1262">
        <f>名簿!E78</f>
        <v>0</v>
      </c>
      <c r="F81" s="700" t="str">
        <f>名簿!CM78</f>
        <v/>
      </c>
      <c r="G81" s="358" t="str">
        <f>名簿!Z78</f>
        <v/>
      </c>
      <c r="H81" s="358" t="str">
        <f>名簿!CM78</f>
        <v/>
      </c>
      <c r="I81" s="359" t="str">
        <f>名簿!Y78</f>
        <v/>
      </c>
      <c r="J81" s="359" t="str">
        <f>名簿!CN78</f>
        <v/>
      </c>
      <c r="K81" s="1044">
        <f>名簿!CP78</f>
        <v>0</v>
      </c>
      <c r="L81" s="1045" t="str">
        <f>名簿!CU78</f>
        <v>00</v>
      </c>
      <c r="M81" s="358" t="str">
        <f>名簿!Q78</f>
        <v/>
      </c>
      <c r="N81" s="1256">
        <f>名簿!D78</f>
        <v>0</v>
      </c>
      <c r="O81" s="363"/>
      <c r="P81" s="292" t="str">
        <f t="shared" si="20"/>
        <v/>
      </c>
      <c r="Q81" s="623" t="str">
        <f>IF(O81="","",HLOOKUP(O81,名簿!$AH$3:$CH$118,76,FALSE))</f>
        <v/>
      </c>
      <c r="R81" s="1143"/>
      <c r="S81" s="984" t="str">
        <f t="shared" si="21"/>
        <v/>
      </c>
      <c r="T81" s="985" t="str">
        <f t="shared" si="22"/>
        <v/>
      </c>
      <c r="U81" s="363"/>
      <c r="V81" s="292" t="str">
        <f t="shared" si="23"/>
        <v/>
      </c>
      <c r="W81" s="623" t="str">
        <f>IF(U81="","",HLOOKUP(U81,名簿!$AH$3:$CH$118,76,FALSE))</f>
        <v/>
      </c>
      <c r="X81" s="1145"/>
      <c r="Y81" s="984" t="str">
        <f t="shared" si="24"/>
        <v/>
      </c>
      <c r="Z81" s="985" t="str">
        <f t="shared" si="25"/>
        <v/>
      </c>
      <c r="AA81" s="706" t="str">
        <f>IF(X81="","",IF(I81=1,VLOOKUP(X81,男子種目コード!$J$2:$K$30,2,FALSE),IF(I81=2,VLOOKUP(X81,女子種目コード!$J$2:$K$28,2,FALSE))))</f>
        <v/>
      </c>
      <c r="AB81" s="956"/>
      <c r="AC81" s="972"/>
      <c r="AD81" s="358" t="str">
        <f>IF(AC81="","",IF(I81=1,VLOOKUP(AC81,男子種目コード!$J$2:$K$30,2,FALSE),IF(I81=2,VLOOKUP(AC81,女子種目コード!$J$2:$K$28,2,FALSE))))</f>
        <v/>
      </c>
      <c r="AE81" s="956"/>
      <c r="AF81" s="972"/>
      <c r="AG81" s="358" t="str">
        <f>IF(AF81="","",IF(I81=1,VLOOKUP(AF81,男子種目コード!$J$2:$K$30,2,FALSE),IF(I81=2,VLOOKUP(AF81,女子種目コード!$J$2:$K$28,2,FALSE))))</f>
        <v/>
      </c>
      <c r="AH81" s="957"/>
      <c r="AI81" s="20"/>
      <c r="AJ81" s="20"/>
      <c r="AK81" s="19"/>
      <c r="AL81" s="979"/>
      <c r="AM81" s="989" t="str">
        <f t="shared" si="26"/>
        <v/>
      </c>
      <c r="AN81" s="57" t="str">
        <f t="shared" si="27"/>
        <v/>
      </c>
      <c r="AO81" s="342"/>
      <c r="AP81" s="342"/>
      <c r="AQ81" s="379"/>
      <c r="AR81" s="256"/>
      <c r="AS81" s="256"/>
      <c r="AU81" s="22"/>
      <c r="AV81" s="22"/>
      <c r="AX81" s="370">
        <f t="shared" si="16"/>
        <v>0</v>
      </c>
      <c r="AY81" s="256"/>
      <c r="AZ81" s="256"/>
      <c r="BA81" s="256"/>
      <c r="BB81" s="256"/>
      <c r="BC81" s="19">
        <f t="shared" si="17"/>
        <v>0</v>
      </c>
      <c r="BD81" s="19" t="str">
        <f t="shared" si="18"/>
        <v/>
      </c>
      <c r="BE81" s="19" t="str">
        <f t="shared" si="19"/>
        <v/>
      </c>
    </row>
    <row r="82" spans="2:57">
      <c r="B82" s="358" t="str">
        <f>名簿!P79</f>
        <v/>
      </c>
      <c r="C82" s="966"/>
      <c r="D82" s="966"/>
      <c r="E82" s="1262">
        <f>名簿!E79</f>
        <v>0</v>
      </c>
      <c r="F82" s="700" t="str">
        <f>名簿!CM79</f>
        <v/>
      </c>
      <c r="G82" s="358" t="str">
        <f>名簿!Z79</f>
        <v/>
      </c>
      <c r="H82" s="358" t="str">
        <f>名簿!CM79</f>
        <v/>
      </c>
      <c r="I82" s="359" t="str">
        <f>名簿!Y79</f>
        <v/>
      </c>
      <c r="J82" s="359" t="str">
        <f>名簿!CN79</f>
        <v/>
      </c>
      <c r="K82" s="1044">
        <f>名簿!CP79</f>
        <v>0</v>
      </c>
      <c r="L82" s="1045" t="str">
        <f>名簿!CU79</f>
        <v>00</v>
      </c>
      <c r="M82" s="358" t="str">
        <f>名簿!Q79</f>
        <v/>
      </c>
      <c r="N82" s="1256">
        <f>名簿!D79</f>
        <v>0</v>
      </c>
      <c r="O82" s="363"/>
      <c r="P82" s="292" t="str">
        <f t="shared" si="20"/>
        <v/>
      </c>
      <c r="Q82" s="623" t="str">
        <f>IF(O82="","",HLOOKUP(O82,名簿!$AH$3:$CH$118,77,FALSE))</f>
        <v/>
      </c>
      <c r="R82" s="1143"/>
      <c r="S82" s="984" t="str">
        <f t="shared" si="21"/>
        <v/>
      </c>
      <c r="T82" s="985" t="str">
        <f t="shared" si="22"/>
        <v/>
      </c>
      <c r="U82" s="363"/>
      <c r="V82" s="292" t="str">
        <f t="shared" si="23"/>
        <v/>
      </c>
      <c r="W82" s="623" t="str">
        <f>IF(U82="","",HLOOKUP(U82,名簿!$AH$3:$CH$118,77,FALSE))</f>
        <v/>
      </c>
      <c r="X82" s="1145"/>
      <c r="Y82" s="984" t="str">
        <f t="shared" si="24"/>
        <v/>
      </c>
      <c r="Z82" s="985" t="str">
        <f t="shared" si="25"/>
        <v/>
      </c>
      <c r="AA82" s="706" t="str">
        <f>IF(X82="","",IF(I82=1,VLOOKUP(X82,男子種目コード!$J$2:$K$30,2,FALSE),IF(I82=2,VLOOKUP(X82,女子種目コード!$J$2:$K$28,2,FALSE))))</f>
        <v/>
      </c>
      <c r="AB82" s="956"/>
      <c r="AC82" s="972"/>
      <c r="AD82" s="358" t="str">
        <f>IF(AC82="","",IF(I82=1,VLOOKUP(AC82,男子種目コード!$J$2:$K$30,2,FALSE),IF(I82=2,VLOOKUP(AC82,女子種目コード!$J$2:$K$28,2,FALSE))))</f>
        <v/>
      </c>
      <c r="AE82" s="956"/>
      <c r="AF82" s="972"/>
      <c r="AG82" s="358" t="str">
        <f>IF(AF82="","",IF(I82=1,VLOOKUP(AF82,男子種目コード!$J$2:$K$30,2,FALSE),IF(I82=2,VLOOKUP(AF82,女子種目コード!$J$2:$K$28,2,FALSE))))</f>
        <v/>
      </c>
      <c r="AH82" s="957"/>
      <c r="AI82" s="20"/>
      <c r="AJ82" s="20"/>
      <c r="AK82" s="19"/>
      <c r="AL82" s="979"/>
      <c r="AM82" s="989" t="str">
        <f t="shared" si="26"/>
        <v/>
      </c>
      <c r="AN82" s="57" t="str">
        <f t="shared" si="27"/>
        <v/>
      </c>
      <c r="AO82" s="342"/>
      <c r="AP82" s="342"/>
      <c r="AQ82" s="379"/>
      <c r="AR82" s="256"/>
      <c r="AS82" s="256"/>
      <c r="AU82" s="22"/>
      <c r="AV82" s="22"/>
      <c r="AX82" s="370">
        <f t="shared" si="16"/>
        <v>0</v>
      </c>
      <c r="AY82" s="256"/>
      <c r="AZ82" s="256"/>
      <c r="BA82" s="256"/>
      <c r="BB82" s="256"/>
      <c r="BC82" s="19">
        <f t="shared" si="17"/>
        <v>0</v>
      </c>
      <c r="BD82" s="19" t="str">
        <f t="shared" si="18"/>
        <v/>
      </c>
      <c r="BE82" s="19" t="str">
        <f t="shared" si="19"/>
        <v/>
      </c>
    </row>
    <row r="83" spans="2:57">
      <c r="B83" s="358" t="str">
        <f>名簿!P80</f>
        <v/>
      </c>
      <c r="C83" s="966"/>
      <c r="D83" s="966"/>
      <c r="E83" s="1262">
        <f>名簿!E80</f>
        <v>0</v>
      </c>
      <c r="F83" s="700" t="str">
        <f>名簿!CM80</f>
        <v/>
      </c>
      <c r="G83" s="358" t="str">
        <f>名簿!Z80</f>
        <v/>
      </c>
      <c r="H83" s="358" t="str">
        <f>名簿!CM80</f>
        <v/>
      </c>
      <c r="I83" s="359" t="str">
        <f>名簿!Y80</f>
        <v/>
      </c>
      <c r="J83" s="359" t="str">
        <f>名簿!CN80</f>
        <v/>
      </c>
      <c r="K83" s="1044">
        <f>名簿!CP80</f>
        <v>0</v>
      </c>
      <c r="L83" s="1045" t="str">
        <f>名簿!CU80</f>
        <v>00</v>
      </c>
      <c r="M83" s="358" t="str">
        <f>名簿!Q80</f>
        <v/>
      </c>
      <c r="N83" s="1256">
        <f>名簿!D80</f>
        <v>0</v>
      </c>
      <c r="O83" s="363"/>
      <c r="P83" s="292" t="str">
        <f t="shared" si="20"/>
        <v/>
      </c>
      <c r="Q83" s="623" t="str">
        <f>IF(O83="","",HLOOKUP(O83,名簿!$AH$3:$CH$118,78,FALSE))</f>
        <v/>
      </c>
      <c r="R83" s="1143"/>
      <c r="S83" s="984" t="str">
        <f t="shared" si="21"/>
        <v/>
      </c>
      <c r="T83" s="985" t="str">
        <f t="shared" si="22"/>
        <v/>
      </c>
      <c r="U83" s="363"/>
      <c r="V83" s="292" t="str">
        <f t="shared" si="23"/>
        <v/>
      </c>
      <c r="W83" s="623" t="str">
        <f>IF(U83="","",HLOOKUP(U83,名簿!$AH$3:$CH$118,78,FALSE))</f>
        <v/>
      </c>
      <c r="X83" s="1145"/>
      <c r="Y83" s="984" t="str">
        <f t="shared" si="24"/>
        <v/>
      </c>
      <c r="Z83" s="985" t="str">
        <f t="shared" si="25"/>
        <v/>
      </c>
      <c r="AA83" s="706" t="str">
        <f>IF(X83="","",IF(I83=1,VLOOKUP(X83,男子種目コード!$J$2:$K$30,2,FALSE),IF(I83=2,VLOOKUP(X83,女子種目コード!$J$2:$K$28,2,FALSE))))</f>
        <v/>
      </c>
      <c r="AB83" s="956"/>
      <c r="AC83" s="972"/>
      <c r="AD83" s="358" t="str">
        <f>IF(AC83="","",IF(I83=1,VLOOKUP(AC83,男子種目コード!$J$2:$K$30,2,FALSE),IF(I83=2,VLOOKUP(AC83,女子種目コード!$J$2:$K$28,2,FALSE))))</f>
        <v/>
      </c>
      <c r="AE83" s="956"/>
      <c r="AF83" s="972"/>
      <c r="AG83" s="358" t="str">
        <f>IF(AF83="","",IF(I83=1,VLOOKUP(AF83,男子種目コード!$J$2:$K$30,2,FALSE),IF(I83=2,VLOOKUP(AF83,女子種目コード!$J$2:$K$28,2,FALSE))))</f>
        <v/>
      </c>
      <c r="AH83" s="957"/>
      <c r="AI83" s="20"/>
      <c r="AJ83" s="20"/>
      <c r="AK83" s="19"/>
      <c r="AL83" s="979"/>
      <c r="AM83" s="989" t="str">
        <f t="shared" si="26"/>
        <v/>
      </c>
      <c r="AN83" s="57" t="str">
        <f t="shared" si="27"/>
        <v/>
      </c>
      <c r="AO83" s="342"/>
      <c r="AP83" s="342"/>
      <c r="AQ83" s="379"/>
      <c r="AR83" s="256"/>
      <c r="AS83" s="256"/>
      <c r="AU83" s="22"/>
      <c r="AV83" s="22"/>
      <c r="AX83" s="370">
        <f t="shared" si="16"/>
        <v>0</v>
      </c>
      <c r="AY83" s="256"/>
      <c r="AZ83" s="256"/>
      <c r="BA83" s="256"/>
      <c r="BB83" s="256"/>
      <c r="BC83" s="19">
        <f t="shared" si="17"/>
        <v>0</v>
      </c>
      <c r="BD83" s="19" t="str">
        <f t="shared" si="18"/>
        <v/>
      </c>
      <c r="BE83" s="19" t="str">
        <f t="shared" si="19"/>
        <v/>
      </c>
    </row>
    <row r="84" spans="2:57">
      <c r="B84" s="358" t="str">
        <f>名簿!P81</f>
        <v/>
      </c>
      <c r="C84" s="966"/>
      <c r="D84" s="966"/>
      <c r="E84" s="1262">
        <f>名簿!E81</f>
        <v>0</v>
      </c>
      <c r="F84" s="700" t="str">
        <f>名簿!CM81</f>
        <v/>
      </c>
      <c r="G84" s="358" t="str">
        <f>名簿!Z81</f>
        <v/>
      </c>
      <c r="H84" s="358" t="str">
        <f>名簿!CM81</f>
        <v/>
      </c>
      <c r="I84" s="359" t="str">
        <f>名簿!Y81</f>
        <v/>
      </c>
      <c r="J84" s="359" t="str">
        <f>名簿!CN81</f>
        <v/>
      </c>
      <c r="K84" s="1044">
        <f>名簿!CP81</f>
        <v>0</v>
      </c>
      <c r="L84" s="1045" t="str">
        <f>名簿!CU81</f>
        <v>00</v>
      </c>
      <c r="M84" s="358" t="str">
        <f>名簿!Q81</f>
        <v/>
      </c>
      <c r="N84" s="1256">
        <f>名簿!D81</f>
        <v>0</v>
      </c>
      <c r="O84" s="363"/>
      <c r="P84" s="292" t="str">
        <f t="shared" si="20"/>
        <v/>
      </c>
      <c r="Q84" s="623" t="str">
        <f>IF(O84="","",HLOOKUP(O84,名簿!$AH$3:$CH$118,79,FALSE))</f>
        <v/>
      </c>
      <c r="R84" s="1143"/>
      <c r="S84" s="984" t="str">
        <f t="shared" si="21"/>
        <v/>
      </c>
      <c r="T84" s="985" t="str">
        <f t="shared" si="22"/>
        <v/>
      </c>
      <c r="U84" s="363"/>
      <c r="V84" s="292" t="str">
        <f t="shared" si="23"/>
        <v/>
      </c>
      <c r="W84" s="623" t="str">
        <f>IF(U84="","",HLOOKUP(U84,名簿!$AH$3:$CH$118,79,FALSE))</f>
        <v/>
      </c>
      <c r="X84" s="1145"/>
      <c r="Y84" s="984" t="str">
        <f t="shared" si="24"/>
        <v/>
      </c>
      <c r="Z84" s="985" t="str">
        <f t="shared" si="25"/>
        <v/>
      </c>
      <c r="AA84" s="706" t="str">
        <f>IF(X84="","",IF(I84=1,VLOOKUP(X84,男子種目コード!$J$2:$K$30,2,FALSE),IF(I84=2,VLOOKUP(X84,女子種目コード!$J$2:$K$28,2,FALSE))))</f>
        <v/>
      </c>
      <c r="AB84" s="956"/>
      <c r="AC84" s="972"/>
      <c r="AD84" s="358" t="str">
        <f>IF(AC84="","",IF(I84=1,VLOOKUP(AC84,男子種目コード!$J$2:$K$30,2,FALSE),IF(I84=2,VLOOKUP(AC84,女子種目コード!$J$2:$K$28,2,FALSE))))</f>
        <v/>
      </c>
      <c r="AE84" s="956"/>
      <c r="AF84" s="972"/>
      <c r="AG84" s="358" t="str">
        <f>IF(AF84="","",IF(I84=1,VLOOKUP(AF84,男子種目コード!$J$2:$K$30,2,FALSE),IF(I84=2,VLOOKUP(AF84,女子種目コード!$J$2:$K$28,2,FALSE))))</f>
        <v/>
      </c>
      <c r="AH84" s="957"/>
      <c r="AI84" s="20"/>
      <c r="AJ84" s="20"/>
      <c r="AK84" s="19"/>
      <c r="AL84" s="979"/>
      <c r="AM84" s="989" t="str">
        <f t="shared" si="26"/>
        <v/>
      </c>
      <c r="AN84" s="57" t="str">
        <f t="shared" si="27"/>
        <v/>
      </c>
      <c r="AO84" s="342"/>
      <c r="AP84" s="342"/>
      <c r="AQ84" s="252"/>
      <c r="AR84" s="256"/>
      <c r="AS84" s="256"/>
      <c r="AU84" s="22"/>
      <c r="AV84" s="22"/>
      <c r="AX84" s="370">
        <f t="shared" si="16"/>
        <v>0</v>
      </c>
      <c r="AY84" s="256"/>
      <c r="AZ84" s="256"/>
      <c r="BA84" s="256"/>
      <c r="BB84" s="256"/>
      <c r="BC84" s="19">
        <f t="shared" si="17"/>
        <v>0</v>
      </c>
      <c r="BD84" s="19" t="str">
        <f t="shared" si="18"/>
        <v/>
      </c>
      <c r="BE84" s="19" t="str">
        <f t="shared" si="19"/>
        <v/>
      </c>
    </row>
    <row r="85" spans="2:57">
      <c r="B85" s="358" t="str">
        <f>名簿!P82</f>
        <v/>
      </c>
      <c r="C85" s="966"/>
      <c r="D85" s="966"/>
      <c r="E85" s="1262">
        <f>名簿!E82</f>
        <v>0</v>
      </c>
      <c r="F85" s="700" t="str">
        <f>名簿!CM82</f>
        <v/>
      </c>
      <c r="G85" s="358" t="str">
        <f>名簿!Z82</f>
        <v/>
      </c>
      <c r="H85" s="358" t="str">
        <f>名簿!CM82</f>
        <v/>
      </c>
      <c r="I85" s="359" t="str">
        <f>名簿!Y82</f>
        <v/>
      </c>
      <c r="J85" s="359" t="str">
        <f>名簿!CN82</f>
        <v/>
      </c>
      <c r="K85" s="1044">
        <f>名簿!CP82</f>
        <v>0</v>
      </c>
      <c r="L85" s="1045" t="str">
        <f>名簿!CU82</f>
        <v>00</v>
      </c>
      <c r="M85" s="358" t="str">
        <f>名簿!Q82</f>
        <v/>
      </c>
      <c r="N85" s="1256">
        <f>名簿!D82</f>
        <v>0</v>
      </c>
      <c r="O85" s="363"/>
      <c r="P85" s="292" t="str">
        <f t="shared" si="20"/>
        <v/>
      </c>
      <c r="Q85" s="623" t="str">
        <f>IF(O85="","",HLOOKUP(O85,名簿!$AH$3:$CH$118,80,FALSE))</f>
        <v/>
      </c>
      <c r="R85" s="1143"/>
      <c r="S85" s="984" t="str">
        <f t="shared" si="21"/>
        <v/>
      </c>
      <c r="T85" s="985" t="str">
        <f t="shared" si="22"/>
        <v/>
      </c>
      <c r="U85" s="363"/>
      <c r="V85" s="292" t="str">
        <f t="shared" si="23"/>
        <v/>
      </c>
      <c r="W85" s="623" t="str">
        <f>IF(U85="","",HLOOKUP(U85,名簿!$AH$3:$CH$118,80,FALSE))</f>
        <v/>
      </c>
      <c r="X85" s="1145"/>
      <c r="Y85" s="984" t="str">
        <f t="shared" si="24"/>
        <v/>
      </c>
      <c r="Z85" s="985" t="str">
        <f t="shared" si="25"/>
        <v/>
      </c>
      <c r="AA85" s="706" t="str">
        <f>IF(X85="","",IF(I85=1,VLOOKUP(X85,男子種目コード!$J$2:$K$30,2,FALSE),IF(I85=2,VLOOKUP(X85,女子種目コード!$J$2:$K$28,2,FALSE))))</f>
        <v/>
      </c>
      <c r="AB85" s="956"/>
      <c r="AC85" s="972"/>
      <c r="AD85" s="358" t="str">
        <f>IF(AC85="","",IF(I85=1,VLOOKUP(AC85,男子種目コード!$J$2:$K$30,2,FALSE),IF(I85=2,VLOOKUP(AC85,女子種目コード!$J$2:$K$28,2,FALSE))))</f>
        <v/>
      </c>
      <c r="AE85" s="956"/>
      <c r="AF85" s="972"/>
      <c r="AG85" s="358" t="str">
        <f>IF(AF85="","",IF(I85=1,VLOOKUP(AF85,男子種目コード!$J$2:$K$30,2,FALSE),IF(I85=2,VLOOKUP(AF85,女子種目コード!$J$2:$K$28,2,FALSE))))</f>
        <v/>
      </c>
      <c r="AH85" s="957"/>
      <c r="AI85" s="20"/>
      <c r="AJ85" s="20"/>
      <c r="AK85" s="19"/>
      <c r="AL85" s="979"/>
      <c r="AM85" s="989" t="str">
        <f t="shared" si="26"/>
        <v/>
      </c>
      <c r="AN85" s="57" t="str">
        <f t="shared" si="27"/>
        <v/>
      </c>
      <c r="AO85" s="342"/>
      <c r="AP85" s="342"/>
      <c r="AQ85" s="252"/>
      <c r="AR85" s="256"/>
      <c r="AS85" s="256"/>
      <c r="AU85" s="22"/>
      <c r="AV85" s="22"/>
      <c r="AX85" s="370">
        <f t="shared" si="16"/>
        <v>0</v>
      </c>
      <c r="AY85" s="256"/>
      <c r="AZ85" s="256"/>
      <c r="BA85" s="256"/>
      <c r="BB85" s="256"/>
      <c r="BC85" s="19">
        <f t="shared" si="17"/>
        <v>0</v>
      </c>
      <c r="BD85" s="19" t="str">
        <f t="shared" si="18"/>
        <v/>
      </c>
      <c r="BE85" s="19" t="str">
        <f t="shared" si="19"/>
        <v/>
      </c>
    </row>
    <row r="86" spans="2:57">
      <c r="B86" s="358" t="str">
        <f>名簿!P83</f>
        <v/>
      </c>
      <c r="C86" s="966"/>
      <c r="D86" s="966"/>
      <c r="E86" s="1262">
        <f>名簿!E83</f>
        <v>0</v>
      </c>
      <c r="F86" s="700" t="str">
        <f>名簿!CM83</f>
        <v/>
      </c>
      <c r="G86" s="358" t="str">
        <f>名簿!Z83</f>
        <v/>
      </c>
      <c r="H86" s="358" t="str">
        <f>名簿!CM83</f>
        <v/>
      </c>
      <c r="I86" s="359" t="str">
        <f>名簿!Y83</f>
        <v/>
      </c>
      <c r="J86" s="359" t="str">
        <f>名簿!CN83</f>
        <v/>
      </c>
      <c r="K86" s="1044">
        <f>名簿!CP83</f>
        <v>0</v>
      </c>
      <c r="L86" s="1045" t="str">
        <f>名簿!CU83</f>
        <v>00</v>
      </c>
      <c r="M86" s="358" t="str">
        <f>名簿!Q83</f>
        <v/>
      </c>
      <c r="N86" s="1256">
        <f>名簿!D83</f>
        <v>0</v>
      </c>
      <c r="O86" s="363"/>
      <c r="P86" s="292" t="str">
        <f t="shared" si="20"/>
        <v/>
      </c>
      <c r="Q86" s="623" t="str">
        <f>IF(O86="","",HLOOKUP(O86,名簿!$AH$3:$CH$118,81,FALSE))</f>
        <v/>
      </c>
      <c r="R86" s="1143"/>
      <c r="S86" s="984" t="str">
        <f t="shared" si="21"/>
        <v/>
      </c>
      <c r="T86" s="985" t="str">
        <f t="shared" si="22"/>
        <v/>
      </c>
      <c r="U86" s="363"/>
      <c r="V86" s="292" t="str">
        <f t="shared" si="23"/>
        <v/>
      </c>
      <c r="W86" s="623" t="str">
        <f>IF(U86="","",HLOOKUP(U86,名簿!$AH$3:$CH$118,81,FALSE))</f>
        <v/>
      </c>
      <c r="X86" s="1145"/>
      <c r="Y86" s="984" t="str">
        <f t="shared" si="24"/>
        <v/>
      </c>
      <c r="Z86" s="985" t="str">
        <f t="shared" si="25"/>
        <v/>
      </c>
      <c r="AA86" s="706" t="str">
        <f>IF(X86="","",IF(I86=1,VLOOKUP(X86,男子種目コード!$J$2:$K$30,2,FALSE),IF(I86=2,VLOOKUP(X86,女子種目コード!$J$2:$K$28,2,FALSE))))</f>
        <v/>
      </c>
      <c r="AB86" s="956"/>
      <c r="AC86" s="972"/>
      <c r="AD86" s="358" t="str">
        <f>IF(AC86="","",IF(I86=1,VLOOKUP(AC86,男子種目コード!$J$2:$K$30,2,FALSE),IF(I86=2,VLOOKUP(AC86,女子種目コード!$J$2:$K$28,2,FALSE))))</f>
        <v/>
      </c>
      <c r="AE86" s="956"/>
      <c r="AF86" s="972"/>
      <c r="AG86" s="358" t="str">
        <f>IF(AF86="","",IF(I86=1,VLOOKUP(AF86,男子種目コード!$J$2:$K$30,2,FALSE),IF(I86=2,VLOOKUP(AF86,女子種目コード!$J$2:$K$28,2,FALSE))))</f>
        <v/>
      </c>
      <c r="AH86" s="957"/>
      <c r="AI86" s="20"/>
      <c r="AJ86" s="20"/>
      <c r="AK86" s="19"/>
      <c r="AL86" s="979"/>
      <c r="AM86" s="989" t="str">
        <f t="shared" si="26"/>
        <v/>
      </c>
      <c r="AN86" s="57" t="str">
        <f t="shared" si="27"/>
        <v/>
      </c>
      <c r="AO86" s="1470"/>
      <c r="AP86" s="1470"/>
      <c r="AQ86" s="252"/>
      <c r="AR86" s="256"/>
      <c r="AS86" s="256"/>
      <c r="AU86" s="22"/>
      <c r="AV86" s="22"/>
      <c r="AX86" s="370">
        <f t="shared" si="16"/>
        <v>0</v>
      </c>
      <c r="AY86" s="256"/>
      <c r="AZ86" s="256"/>
      <c r="BA86" s="256"/>
      <c r="BB86" s="256"/>
      <c r="BC86" s="19">
        <f t="shared" si="17"/>
        <v>0</v>
      </c>
      <c r="BD86" s="19" t="str">
        <f t="shared" si="18"/>
        <v/>
      </c>
      <c r="BE86" s="19" t="str">
        <f t="shared" si="19"/>
        <v/>
      </c>
    </row>
    <row r="87" spans="2:57">
      <c r="B87" s="358" t="str">
        <f>名簿!P84</f>
        <v/>
      </c>
      <c r="C87" s="966"/>
      <c r="D87" s="966"/>
      <c r="E87" s="1262">
        <f>名簿!E84</f>
        <v>0</v>
      </c>
      <c r="F87" s="700" t="str">
        <f>名簿!CM84</f>
        <v/>
      </c>
      <c r="G87" s="358" t="str">
        <f>名簿!Z84</f>
        <v/>
      </c>
      <c r="H87" s="358" t="str">
        <f>名簿!CM84</f>
        <v/>
      </c>
      <c r="I87" s="359" t="str">
        <f>名簿!Y84</f>
        <v/>
      </c>
      <c r="J87" s="359" t="str">
        <f>名簿!CN84</f>
        <v/>
      </c>
      <c r="K87" s="1044">
        <f>名簿!CP84</f>
        <v>0</v>
      </c>
      <c r="L87" s="1045" t="str">
        <f>名簿!CU84</f>
        <v>00</v>
      </c>
      <c r="M87" s="358" t="str">
        <f>名簿!Q84</f>
        <v/>
      </c>
      <c r="N87" s="1256">
        <f>名簿!D84</f>
        <v>0</v>
      </c>
      <c r="O87" s="363"/>
      <c r="P87" s="292" t="str">
        <f t="shared" si="20"/>
        <v/>
      </c>
      <c r="Q87" s="623" t="str">
        <f>IF(O87="","",HLOOKUP(O87,名簿!$AH$3:$CH$118,82,FALSE))</f>
        <v/>
      </c>
      <c r="R87" s="1143"/>
      <c r="S87" s="984" t="str">
        <f t="shared" si="21"/>
        <v/>
      </c>
      <c r="T87" s="985" t="str">
        <f t="shared" si="22"/>
        <v/>
      </c>
      <c r="U87" s="363"/>
      <c r="V87" s="292" t="str">
        <f t="shared" si="23"/>
        <v/>
      </c>
      <c r="W87" s="623" t="str">
        <f>IF(U87="","",HLOOKUP(U87,名簿!$AH$3:$CH$118,82,FALSE))</f>
        <v/>
      </c>
      <c r="X87" s="1145"/>
      <c r="Y87" s="984" t="str">
        <f t="shared" si="24"/>
        <v/>
      </c>
      <c r="Z87" s="985" t="str">
        <f t="shared" si="25"/>
        <v/>
      </c>
      <c r="AA87" s="706" t="str">
        <f>IF(X87="","",IF(I87=1,VLOOKUP(X87,男子種目コード!$J$2:$K$30,2,FALSE),IF(I87=2,VLOOKUP(X87,女子種目コード!$J$2:$K$28,2,FALSE))))</f>
        <v/>
      </c>
      <c r="AB87" s="956"/>
      <c r="AC87" s="972"/>
      <c r="AD87" s="358" t="str">
        <f>IF(AC87="","",IF(I87=1,VLOOKUP(AC87,男子種目コード!$J$2:$K$30,2,FALSE),IF(I87=2,VLOOKUP(AC87,女子種目コード!$J$2:$K$28,2,FALSE))))</f>
        <v/>
      </c>
      <c r="AE87" s="956"/>
      <c r="AF87" s="972"/>
      <c r="AG87" s="358" t="str">
        <f>IF(AF87="","",IF(I87=1,VLOOKUP(AF87,男子種目コード!$J$2:$K$30,2,FALSE),IF(I87=2,VLOOKUP(AF87,女子種目コード!$J$2:$K$28,2,FALSE))))</f>
        <v/>
      </c>
      <c r="AH87" s="957"/>
      <c r="AI87" s="20"/>
      <c r="AJ87" s="20"/>
      <c r="AK87" s="19"/>
      <c r="AL87" s="979"/>
      <c r="AM87" s="989" t="str">
        <f t="shared" si="26"/>
        <v/>
      </c>
      <c r="AN87" s="57" t="str">
        <f t="shared" si="27"/>
        <v/>
      </c>
      <c r="AO87" s="342"/>
      <c r="AP87" s="378"/>
      <c r="AQ87" s="252"/>
      <c r="AR87" s="256"/>
      <c r="AS87" s="256"/>
      <c r="AU87" s="22"/>
      <c r="AV87" s="22"/>
      <c r="AX87" s="370">
        <f t="shared" si="16"/>
        <v>0</v>
      </c>
      <c r="AY87" s="256"/>
      <c r="AZ87" s="256"/>
      <c r="BA87" s="256"/>
      <c r="BB87" s="256"/>
      <c r="BC87" s="19">
        <f t="shared" si="17"/>
        <v>0</v>
      </c>
      <c r="BD87" s="19" t="str">
        <f t="shared" si="18"/>
        <v/>
      </c>
      <c r="BE87" s="19" t="str">
        <f t="shared" si="19"/>
        <v/>
      </c>
    </row>
    <row r="88" spans="2:57">
      <c r="B88" s="358" t="str">
        <f>名簿!P85</f>
        <v/>
      </c>
      <c r="C88" s="966"/>
      <c r="D88" s="966"/>
      <c r="E88" s="1262">
        <f>名簿!E85</f>
        <v>0</v>
      </c>
      <c r="F88" s="700" t="str">
        <f>名簿!CM85</f>
        <v/>
      </c>
      <c r="G88" s="358" t="str">
        <f>名簿!Z85</f>
        <v/>
      </c>
      <c r="H88" s="358" t="str">
        <f>名簿!CM85</f>
        <v/>
      </c>
      <c r="I88" s="359" t="str">
        <f>名簿!Y85</f>
        <v/>
      </c>
      <c r="J88" s="359" t="str">
        <f>名簿!CN85</f>
        <v/>
      </c>
      <c r="K88" s="1044">
        <f>名簿!CP85</f>
        <v>0</v>
      </c>
      <c r="L88" s="1045" t="str">
        <f>名簿!CU85</f>
        <v>00</v>
      </c>
      <c r="M88" s="358" t="str">
        <f>名簿!Q85</f>
        <v/>
      </c>
      <c r="N88" s="1256">
        <f>名簿!D85</f>
        <v>0</v>
      </c>
      <c r="O88" s="363"/>
      <c r="P88" s="292" t="str">
        <f t="shared" si="20"/>
        <v/>
      </c>
      <c r="Q88" s="623" t="str">
        <f>IF(O88="","",HLOOKUP(O88,名簿!$AH$3:$CH$118,83,FALSE))</f>
        <v/>
      </c>
      <c r="R88" s="1143"/>
      <c r="S88" s="984" t="str">
        <f t="shared" si="21"/>
        <v/>
      </c>
      <c r="T88" s="985" t="str">
        <f t="shared" si="22"/>
        <v/>
      </c>
      <c r="U88" s="363"/>
      <c r="V88" s="292" t="str">
        <f t="shared" si="23"/>
        <v/>
      </c>
      <c r="W88" s="623" t="str">
        <f>IF(U88="","",HLOOKUP(U88,名簿!$AH$3:$CH$118,83,FALSE))</f>
        <v/>
      </c>
      <c r="X88" s="1145"/>
      <c r="Y88" s="984" t="str">
        <f t="shared" si="24"/>
        <v/>
      </c>
      <c r="Z88" s="985" t="str">
        <f t="shared" si="25"/>
        <v/>
      </c>
      <c r="AA88" s="706" t="str">
        <f>IF(X88="","",IF(I88=1,VLOOKUP(X88,男子種目コード!$J$2:$K$30,2,FALSE),IF(I88=2,VLOOKUP(X88,女子種目コード!$J$2:$K$28,2,FALSE))))</f>
        <v/>
      </c>
      <c r="AB88" s="956"/>
      <c r="AC88" s="972"/>
      <c r="AD88" s="358" t="str">
        <f>IF(AC88="","",IF(I88=1,VLOOKUP(AC88,男子種目コード!$J$2:$K$30,2,FALSE),IF(I88=2,VLOOKUP(AC88,女子種目コード!$J$2:$K$28,2,FALSE))))</f>
        <v/>
      </c>
      <c r="AE88" s="956"/>
      <c r="AF88" s="972"/>
      <c r="AG88" s="358" t="str">
        <f>IF(AF88="","",IF(I88=1,VLOOKUP(AF88,男子種目コード!$J$2:$K$30,2,FALSE),IF(I88=2,VLOOKUP(AF88,女子種目コード!$J$2:$K$28,2,FALSE))))</f>
        <v/>
      </c>
      <c r="AH88" s="957"/>
      <c r="AI88" s="20"/>
      <c r="AJ88" s="20"/>
      <c r="AK88" s="19"/>
      <c r="AL88" s="979"/>
      <c r="AM88" s="989" t="str">
        <f t="shared" si="26"/>
        <v/>
      </c>
      <c r="AN88" s="57" t="str">
        <f t="shared" si="27"/>
        <v/>
      </c>
      <c r="AO88" s="342"/>
      <c r="AP88" s="342"/>
      <c r="AQ88" s="252"/>
      <c r="AR88" s="256"/>
      <c r="AS88" s="256"/>
      <c r="AU88" s="22"/>
      <c r="AV88" s="22"/>
      <c r="AX88" s="370">
        <f t="shared" si="16"/>
        <v>0</v>
      </c>
      <c r="AY88" s="256"/>
      <c r="AZ88" s="256"/>
      <c r="BA88" s="256"/>
      <c r="BB88" s="256"/>
      <c r="BC88" s="19">
        <f t="shared" si="17"/>
        <v>0</v>
      </c>
      <c r="BD88" s="19" t="str">
        <f t="shared" si="18"/>
        <v/>
      </c>
      <c r="BE88" s="19" t="str">
        <f t="shared" si="19"/>
        <v/>
      </c>
    </row>
    <row r="89" spans="2:57">
      <c r="B89" s="358" t="str">
        <f>名簿!P86</f>
        <v/>
      </c>
      <c r="C89" s="966"/>
      <c r="D89" s="966"/>
      <c r="E89" s="1262">
        <f>名簿!E86</f>
        <v>0</v>
      </c>
      <c r="F89" s="700" t="str">
        <f>名簿!CM86</f>
        <v/>
      </c>
      <c r="G89" s="358" t="str">
        <f>名簿!Z86</f>
        <v/>
      </c>
      <c r="H89" s="358" t="str">
        <f>名簿!CM86</f>
        <v/>
      </c>
      <c r="I89" s="359" t="str">
        <f>名簿!Y86</f>
        <v/>
      </c>
      <c r="J89" s="359" t="str">
        <f>名簿!CN86</f>
        <v/>
      </c>
      <c r="K89" s="1044">
        <f>名簿!CP86</f>
        <v>0</v>
      </c>
      <c r="L89" s="1045" t="str">
        <f>名簿!CU86</f>
        <v>00</v>
      </c>
      <c r="M89" s="358" t="str">
        <f>名簿!Q86</f>
        <v/>
      </c>
      <c r="N89" s="1256">
        <f>名簿!D86</f>
        <v>0</v>
      </c>
      <c r="O89" s="363"/>
      <c r="P89" s="292" t="str">
        <f t="shared" si="20"/>
        <v/>
      </c>
      <c r="Q89" s="623" t="str">
        <f>IF(O89="","",HLOOKUP(O89,名簿!$AH$3:$CH$118,84,FALSE))</f>
        <v/>
      </c>
      <c r="R89" s="1143"/>
      <c r="S89" s="984" t="str">
        <f t="shared" si="21"/>
        <v/>
      </c>
      <c r="T89" s="985" t="str">
        <f t="shared" si="22"/>
        <v/>
      </c>
      <c r="U89" s="363"/>
      <c r="V89" s="292" t="str">
        <f t="shared" si="23"/>
        <v/>
      </c>
      <c r="W89" s="623" t="str">
        <f>IF(U89="","",HLOOKUP(U89,名簿!$AH$3:$CH$118,84,FALSE))</f>
        <v/>
      </c>
      <c r="X89" s="1145"/>
      <c r="Y89" s="984" t="str">
        <f t="shared" si="24"/>
        <v/>
      </c>
      <c r="Z89" s="985" t="str">
        <f t="shared" si="25"/>
        <v/>
      </c>
      <c r="AA89" s="706" t="str">
        <f>IF(X89="","",IF(I89=1,VLOOKUP(X89,男子種目コード!$J$2:$K$30,2,FALSE),IF(I89=2,VLOOKUP(X89,女子種目コード!$J$2:$K$28,2,FALSE))))</f>
        <v/>
      </c>
      <c r="AB89" s="956"/>
      <c r="AC89" s="972"/>
      <c r="AD89" s="358" t="str">
        <f>IF(AC89="","",IF(I89=1,VLOOKUP(AC89,男子種目コード!$J$2:$K$30,2,FALSE),IF(I89=2,VLOOKUP(AC89,女子種目コード!$J$2:$K$28,2,FALSE))))</f>
        <v/>
      </c>
      <c r="AE89" s="956"/>
      <c r="AF89" s="972"/>
      <c r="AG89" s="358" t="str">
        <f>IF(AF89="","",IF(I89=1,VLOOKUP(AF89,男子種目コード!$J$2:$K$30,2,FALSE),IF(I89=2,VLOOKUP(AF89,女子種目コード!$J$2:$K$28,2,FALSE))))</f>
        <v/>
      </c>
      <c r="AH89" s="957"/>
      <c r="AI89" s="20"/>
      <c r="AJ89" s="20"/>
      <c r="AK89" s="19"/>
      <c r="AL89" s="979"/>
      <c r="AM89" s="989" t="str">
        <f t="shared" si="26"/>
        <v/>
      </c>
      <c r="AN89" s="57" t="str">
        <f t="shared" si="27"/>
        <v/>
      </c>
      <c r="AO89" s="342"/>
      <c r="AP89" s="342"/>
      <c r="AQ89" s="252"/>
      <c r="AR89" s="256"/>
      <c r="AS89" s="256"/>
      <c r="AU89" s="22"/>
      <c r="AV89" s="22"/>
      <c r="AX89" s="370">
        <f t="shared" si="16"/>
        <v>0</v>
      </c>
      <c r="AY89" s="256"/>
      <c r="AZ89" s="256"/>
      <c r="BA89" s="256"/>
      <c r="BB89" s="256"/>
      <c r="BC89" s="19">
        <f t="shared" si="17"/>
        <v>0</v>
      </c>
      <c r="BD89" s="19" t="str">
        <f t="shared" si="18"/>
        <v/>
      </c>
      <c r="BE89" s="19" t="str">
        <f t="shared" si="19"/>
        <v/>
      </c>
    </row>
    <row r="90" spans="2:57">
      <c r="B90" s="358" t="str">
        <f>名簿!P87</f>
        <v/>
      </c>
      <c r="C90" s="966"/>
      <c r="D90" s="966"/>
      <c r="E90" s="1262">
        <f>名簿!E87</f>
        <v>0</v>
      </c>
      <c r="F90" s="700" t="str">
        <f>名簿!CM87</f>
        <v/>
      </c>
      <c r="G90" s="358" t="str">
        <f>名簿!Z87</f>
        <v/>
      </c>
      <c r="H90" s="358" t="str">
        <f>名簿!CM87</f>
        <v/>
      </c>
      <c r="I90" s="359" t="str">
        <f>名簿!Y87</f>
        <v/>
      </c>
      <c r="J90" s="359" t="str">
        <f>名簿!CN87</f>
        <v/>
      </c>
      <c r="K90" s="1044">
        <f>名簿!CP87</f>
        <v>0</v>
      </c>
      <c r="L90" s="1045" t="str">
        <f>名簿!CU87</f>
        <v>00</v>
      </c>
      <c r="M90" s="358" t="str">
        <f>名簿!Q87</f>
        <v/>
      </c>
      <c r="N90" s="1256">
        <f>名簿!D87</f>
        <v>0</v>
      </c>
      <c r="O90" s="363"/>
      <c r="P90" s="292" t="str">
        <f t="shared" si="20"/>
        <v/>
      </c>
      <c r="Q90" s="623" t="str">
        <f>IF(O90="","",HLOOKUP(O90,名簿!$AH$3:$CH$118,85,FALSE))</f>
        <v/>
      </c>
      <c r="R90" s="1143"/>
      <c r="S90" s="984" t="str">
        <f t="shared" si="21"/>
        <v/>
      </c>
      <c r="T90" s="985" t="str">
        <f t="shared" si="22"/>
        <v/>
      </c>
      <c r="U90" s="363"/>
      <c r="V90" s="292" t="str">
        <f t="shared" si="23"/>
        <v/>
      </c>
      <c r="W90" s="623" t="str">
        <f>IF(U90="","",HLOOKUP(U90,名簿!$AH$3:$CH$118,85,FALSE))</f>
        <v/>
      </c>
      <c r="X90" s="1145"/>
      <c r="Y90" s="984" t="str">
        <f t="shared" si="24"/>
        <v/>
      </c>
      <c r="Z90" s="985" t="str">
        <f t="shared" si="25"/>
        <v/>
      </c>
      <c r="AA90" s="706" t="str">
        <f>IF(X90="","",IF(I90=1,VLOOKUP(X90,男子種目コード!$J$2:$K$30,2,FALSE),IF(I90=2,VLOOKUP(X90,女子種目コード!$J$2:$K$28,2,FALSE))))</f>
        <v/>
      </c>
      <c r="AB90" s="956"/>
      <c r="AC90" s="972"/>
      <c r="AD90" s="358" t="str">
        <f>IF(AC90="","",IF(I90=1,VLOOKUP(AC90,男子種目コード!$J$2:$K$30,2,FALSE),IF(I90=2,VLOOKUP(AC90,女子種目コード!$J$2:$K$28,2,FALSE))))</f>
        <v/>
      </c>
      <c r="AE90" s="956"/>
      <c r="AF90" s="972"/>
      <c r="AG90" s="358" t="str">
        <f>IF(AF90="","",IF(I90=1,VLOOKUP(AF90,男子種目コード!$J$2:$K$30,2,FALSE),IF(I90=2,VLOOKUP(AF90,女子種目コード!$J$2:$K$28,2,FALSE))))</f>
        <v/>
      </c>
      <c r="AH90" s="957"/>
      <c r="AI90" s="20"/>
      <c r="AJ90" s="20"/>
      <c r="AK90" s="19"/>
      <c r="AL90" s="979"/>
      <c r="AM90" s="989" t="str">
        <f t="shared" si="26"/>
        <v/>
      </c>
      <c r="AN90" s="57" t="str">
        <f t="shared" si="27"/>
        <v/>
      </c>
      <c r="AO90" s="342"/>
      <c r="AP90" s="342"/>
      <c r="AQ90" s="252"/>
      <c r="AR90" s="256"/>
      <c r="AS90" s="256"/>
      <c r="AU90" s="22"/>
      <c r="AV90" s="22"/>
      <c r="AX90" s="370">
        <f t="shared" si="16"/>
        <v>0</v>
      </c>
      <c r="AY90" s="256"/>
      <c r="AZ90" s="256"/>
      <c r="BA90" s="256"/>
      <c r="BB90" s="256"/>
      <c r="BC90" s="19">
        <f t="shared" si="17"/>
        <v>0</v>
      </c>
      <c r="BD90" s="19" t="str">
        <f t="shared" si="18"/>
        <v/>
      </c>
      <c r="BE90" s="19" t="str">
        <f t="shared" si="19"/>
        <v/>
      </c>
    </row>
    <row r="91" spans="2:57">
      <c r="B91" s="358" t="str">
        <f>名簿!P88</f>
        <v/>
      </c>
      <c r="C91" s="966"/>
      <c r="D91" s="966"/>
      <c r="E91" s="1262">
        <f>名簿!E88</f>
        <v>0</v>
      </c>
      <c r="F91" s="700" t="str">
        <f>名簿!CM88</f>
        <v/>
      </c>
      <c r="G91" s="358" t="str">
        <f>名簿!Z88</f>
        <v/>
      </c>
      <c r="H91" s="358" t="str">
        <f>名簿!CM88</f>
        <v/>
      </c>
      <c r="I91" s="359" t="str">
        <f>名簿!Y88</f>
        <v/>
      </c>
      <c r="J91" s="359" t="str">
        <f>名簿!CN88</f>
        <v/>
      </c>
      <c r="K91" s="1044">
        <f>名簿!CP88</f>
        <v>0</v>
      </c>
      <c r="L91" s="1045" t="str">
        <f>名簿!CU88</f>
        <v>00</v>
      </c>
      <c r="M91" s="358" t="str">
        <f>名簿!Q88</f>
        <v/>
      </c>
      <c r="N91" s="1256">
        <f>名簿!D88</f>
        <v>0</v>
      </c>
      <c r="O91" s="363"/>
      <c r="P91" s="292" t="str">
        <f t="shared" si="20"/>
        <v/>
      </c>
      <c r="Q91" s="623" t="str">
        <f>IF(O91="","",HLOOKUP(O91,名簿!$AH$3:$CH$118,86,FALSE))</f>
        <v/>
      </c>
      <c r="R91" s="1143"/>
      <c r="S91" s="984" t="str">
        <f t="shared" si="21"/>
        <v/>
      </c>
      <c r="T91" s="985" t="str">
        <f t="shared" si="22"/>
        <v/>
      </c>
      <c r="U91" s="363"/>
      <c r="V91" s="292" t="str">
        <f t="shared" si="23"/>
        <v/>
      </c>
      <c r="W91" s="623" t="str">
        <f>IF(U91="","",HLOOKUP(U91,名簿!$AH$3:$CH$118,86,FALSE))</f>
        <v/>
      </c>
      <c r="X91" s="1145"/>
      <c r="Y91" s="984" t="str">
        <f t="shared" si="24"/>
        <v/>
      </c>
      <c r="Z91" s="985" t="str">
        <f t="shared" si="25"/>
        <v/>
      </c>
      <c r="AA91" s="706" t="str">
        <f>IF(X91="","",IF(I91=1,VLOOKUP(X91,男子種目コード!$J$2:$K$30,2,FALSE),IF(I91=2,VLOOKUP(X91,女子種目コード!$J$2:$K$28,2,FALSE))))</f>
        <v/>
      </c>
      <c r="AB91" s="956"/>
      <c r="AC91" s="972"/>
      <c r="AD91" s="358" t="str">
        <f>IF(AC91="","",IF(I91=1,VLOOKUP(AC91,男子種目コード!$J$2:$K$30,2,FALSE),IF(I91=2,VLOOKUP(AC91,女子種目コード!$J$2:$K$28,2,FALSE))))</f>
        <v/>
      </c>
      <c r="AE91" s="956"/>
      <c r="AF91" s="972"/>
      <c r="AG91" s="358" t="str">
        <f>IF(AF91="","",IF(I91=1,VLOOKUP(AF91,男子種目コード!$J$2:$K$30,2,FALSE),IF(I91=2,VLOOKUP(AF91,女子種目コード!$J$2:$K$28,2,FALSE))))</f>
        <v/>
      </c>
      <c r="AH91" s="957"/>
      <c r="AI91" s="20"/>
      <c r="AJ91" s="20"/>
      <c r="AK91" s="19"/>
      <c r="AL91" s="979"/>
      <c r="AM91" s="989" t="str">
        <f t="shared" si="26"/>
        <v/>
      </c>
      <c r="AN91" s="57" t="str">
        <f t="shared" si="27"/>
        <v/>
      </c>
      <c r="AO91" s="252"/>
      <c r="AP91" s="252"/>
      <c r="AQ91" s="252"/>
      <c r="AR91" s="256"/>
      <c r="AS91" s="256"/>
      <c r="AU91" s="22"/>
      <c r="AV91" s="22"/>
      <c r="AX91" s="370">
        <f t="shared" si="16"/>
        <v>0</v>
      </c>
      <c r="AY91" s="256"/>
      <c r="AZ91" s="256"/>
      <c r="BA91" s="256"/>
      <c r="BB91" s="256"/>
      <c r="BC91" s="19">
        <f t="shared" si="17"/>
        <v>0</v>
      </c>
      <c r="BD91" s="19" t="str">
        <f t="shared" si="18"/>
        <v/>
      </c>
      <c r="BE91" s="19" t="str">
        <f t="shared" si="19"/>
        <v/>
      </c>
    </row>
    <row r="92" spans="2:57">
      <c r="B92" s="358" t="str">
        <f>名簿!P89</f>
        <v/>
      </c>
      <c r="C92" s="966"/>
      <c r="D92" s="966"/>
      <c r="E92" s="1262">
        <f>名簿!E89</f>
        <v>0</v>
      </c>
      <c r="F92" s="700" t="str">
        <f>名簿!CM89</f>
        <v/>
      </c>
      <c r="G92" s="358" t="str">
        <f>名簿!Z89</f>
        <v/>
      </c>
      <c r="H92" s="358" t="str">
        <f>名簿!CM89</f>
        <v/>
      </c>
      <c r="I92" s="359" t="str">
        <f>名簿!Y89</f>
        <v/>
      </c>
      <c r="J92" s="359" t="str">
        <f>名簿!CN89</f>
        <v/>
      </c>
      <c r="K92" s="1044">
        <f>名簿!CP89</f>
        <v>0</v>
      </c>
      <c r="L92" s="1045" t="str">
        <f>名簿!CU89</f>
        <v>00</v>
      </c>
      <c r="M92" s="358" t="str">
        <f>名簿!Q89</f>
        <v/>
      </c>
      <c r="N92" s="1256">
        <f>名簿!D89</f>
        <v>0</v>
      </c>
      <c r="O92" s="363"/>
      <c r="P92" s="292" t="str">
        <f t="shared" si="20"/>
        <v/>
      </c>
      <c r="Q92" s="623" t="str">
        <f>IF(O92="","",HLOOKUP(O92,名簿!$AH$3:$CH$118,87,FALSE))</f>
        <v/>
      </c>
      <c r="R92" s="1143"/>
      <c r="S92" s="984" t="str">
        <f t="shared" si="21"/>
        <v/>
      </c>
      <c r="T92" s="985" t="str">
        <f t="shared" si="22"/>
        <v/>
      </c>
      <c r="U92" s="363"/>
      <c r="V92" s="292" t="str">
        <f t="shared" si="23"/>
        <v/>
      </c>
      <c r="W92" s="623" t="str">
        <f>IF(U92="","",HLOOKUP(U92,名簿!$AH$3:$CH$118,87,FALSE))</f>
        <v/>
      </c>
      <c r="X92" s="1145"/>
      <c r="Y92" s="984" t="str">
        <f t="shared" si="24"/>
        <v/>
      </c>
      <c r="Z92" s="985" t="str">
        <f t="shared" si="25"/>
        <v/>
      </c>
      <c r="AA92" s="706" t="str">
        <f>IF(X92="","",IF(I92=1,VLOOKUP(X92,男子種目コード!$J$2:$K$30,2,FALSE),IF(I92=2,VLOOKUP(X92,女子種目コード!$J$2:$K$28,2,FALSE))))</f>
        <v/>
      </c>
      <c r="AB92" s="956"/>
      <c r="AC92" s="972"/>
      <c r="AD92" s="358" t="str">
        <f>IF(AC92="","",IF(I92=1,VLOOKUP(AC92,男子種目コード!$J$2:$K$30,2,FALSE),IF(I92=2,VLOOKUP(AC92,女子種目コード!$J$2:$K$28,2,FALSE))))</f>
        <v/>
      </c>
      <c r="AE92" s="956"/>
      <c r="AF92" s="972"/>
      <c r="AG92" s="358" t="str">
        <f>IF(AF92="","",IF(I92=1,VLOOKUP(AF92,男子種目コード!$J$2:$K$30,2,FALSE),IF(I92=2,VLOOKUP(AF92,女子種目コード!$J$2:$K$28,2,FALSE))))</f>
        <v/>
      </c>
      <c r="AH92" s="957"/>
      <c r="AI92" s="20"/>
      <c r="AJ92" s="20"/>
      <c r="AK92" s="19"/>
      <c r="AL92" s="979"/>
      <c r="AM92" s="989" t="str">
        <f t="shared" si="26"/>
        <v/>
      </c>
      <c r="AN92" s="57" t="str">
        <f t="shared" si="27"/>
        <v/>
      </c>
      <c r="AO92" s="252"/>
      <c r="AP92" s="252"/>
      <c r="AQ92" s="252"/>
      <c r="AR92" s="256"/>
      <c r="AS92" s="256"/>
      <c r="AU92" s="22"/>
      <c r="AV92" s="22"/>
      <c r="AX92" s="370">
        <f t="shared" si="16"/>
        <v>0</v>
      </c>
      <c r="AY92" s="256"/>
      <c r="AZ92" s="256"/>
      <c r="BA92" s="256"/>
      <c r="BB92" s="256"/>
      <c r="BC92" s="19">
        <f t="shared" si="17"/>
        <v>0</v>
      </c>
      <c r="BD92" s="19" t="str">
        <f t="shared" si="18"/>
        <v/>
      </c>
      <c r="BE92" s="19" t="str">
        <f t="shared" si="19"/>
        <v/>
      </c>
    </row>
    <row r="93" spans="2:57">
      <c r="B93" s="358" t="str">
        <f>名簿!P90</f>
        <v/>
      </c>
      <c r="C93" s="966"/>
      <c r="D93" s="966"/>
      <c r="E93" s="1262">
        <f>名簿!E90</f>
        <v>0</v>
      </c>
      <c r="F93" s="700" t="str">
        <f>名簿!CM90</f>
        <v/>
      </c>
      <c r="G93" s="358" t="str">
        <f>名簿!Z90</f>
        <v/>
      </c>
      <c r="H93" s="358" t="str">
        <f>名簿!CM90</f>
        <v/>
      </c>
      <c r="I93" s="359" t="str">
        <f>名簿!Y90</f>
        <v/>
      </c>
      <c r="J93" s="359" t="str">
        <f>名簿!CN90</f>
        <v/>
      </c>
      <c r="K93" s="1044">
        <f>名簿!CP90</f>
        <v>0</v>
      </c>
      <c r="L93" s="1045" t="str">
        <f>名簿!CU90</f>
        <v>00</v>
      </c>
      <c r="M93" s="358" t="str">
        <f>名簿!Q90</f>
        <v/>
      </c>
      <c r="N93" s="1256">
        <f>名簿!D90</f>
        <v>0</v>
      </c>
      <c r="O93" s="363"/>
      <c r="P93" s="292" t="str">
        <f t="shared" si="20"/>
        <v/>
      </c>
      <c r="Q93" s="623" t="str">
        <f>IF(O93="","",HLOOKUP(O93,名簿!$AH$3:$CH$118,88,FALSE))</f>
        <v/>
      </c>
      <c r="R93" s="1143"/>
      <c r="S93" s="984" t="str">
        <f t="shared" si="21"/>
        <v/>
      </c>
      <c r="T93" s="985" t="str">
        <f t="shared" si="22"/>
        <v/>
      </c>
      <c r="U93" s="363"/>
      <c r="V93" s="292" t="str">
        <f t="shared" si="23"/>
        <v/>
      </c>
      <c r="W93" s="623" t="str">
        <f>IF(U93="","",HLOOKUP(U93,名簿!$AH$3:$CH$118,88,FALSE))</f>
        <v/>
      </c>
      <c r="X93" s="1145"/>
      <c r="Y93" s="984" t="str">
        <f t="shared" si="24"/>
        <v/>
      </c>
      <c r="Z93" s="985" t="str">
        <f t="shared" si="25"/>
        <v/>
      </c>
      <c r="AA93" s="706" t="str">
        <f>IF(X93="","",IF(I93=1,VLOOKUP(X93,男子種目コード!$J$2:$K$30,2,FALSE),IF(I93=2,VLOOKUP(X93,女子種目コード!$J$2:$K$28,2,FALSE))))</f>
        <v/>
      </c>
      <c r="AB93" s="956"/>
      <c r="AC93" s="972"/>
      <c r="AD93" s="358" t="str">
        <f>IF(AC93="","",IF(I93=1,VLOOKUP(AC93,男子種目コード!$J$2:$K$30,2,FALSE),IF(I93=2,VLOOKUP(AC93,女子種目コード!$J$2:$K$28,2,FALSE))))</f>
        <v/>
      </c>
      <c r="AE93" s="956"/>
      <c r="AF93" s="972"/>
      <c r="AG93" s="358" t="str">
        <f>IF(AF93="","",IF(I93=1,VLOOKUP(AF93,男子種目コード!$J$2:$K$30,2,FALSE),IF(I93=2,VLOOKUP(AF93,女子種目コード!$J$2:$K$28,2,FALSE))))</f>
        <v/>
      </c>
      <c r="AH93" s="957"/>
      <c r="AI93" s="20"/>
      <c r="AJ93" s="20"/>
      <c r="AK93" s="19"/>
      <c r="AL93" s="979"/>
      <c r="AM93" s="989" t="str">
        <f t="shared" si="26"/>
        <v/>
      </c>
      <c r="AN93" s="57" t="str">
        <f t="shared" si="27"/>
        <v/>
      </c>
      <c r="AO93" s="252"/>
      <c r="AP93" s="252"/>
      <c r="AQ93" s="252"/>
      <c r="AR93" s="256"/>
      <c r="AS93" s="256"/>
      <c r="AU93" s="22"/>
      <c r="AV93" s="22"/>
      <c r="AX93" s="370">
        <f t="shared" si="16"/>
        <v>0</v>
      </c>
      <c r="AY93" s="256"/>
      <c r="AZ93" s="256"/>
      <c r="BA93" s="256"/>
      <c r="BB93" s="256"/>
      <c r="BC93" s="19">
        <f t="shared" si="17"/>
        <v>0</v>
      </c>
      <c r="BD93" s="19" t="str">
        <f t="shared" si="18"/>
        <v/>
      </c>
      <c r="BE93" s="19" t="str">
        <f t="shared" si="19"/>
        <v/>
      </c>
    </row>
    <row r="94" spans="2:57">
      <c r="B94" s="358" t="str">
        <f>名簿!P91</f>
        <v/>
      </c>
      <c r="C94" s="966"/>
      <c r="D94" s="966"/>
      <c r="E94" s="1262">
        <f>名簿!E91</f>
        <v>0</v>
      </c>
      <c r="F94" s="700" t="str">
        <f>名簿!CM91</f>
        <v/>
      </c>
      <c r="G94" s="358" t="str">
        <f>名簿!Z91</f>
        <v/>
      </c>
      <c r="H94" s="358" t="str">
        <f>名簿!CM91</f>
        <v/>
      </c>
      <c r="I94" s="359" t="str">
        <f>名簿!Y91</f>
        <v/>
      </c>
      <c r="J94" s="359" t="str">
        <f>名簿!CN91</f>
        <v/>
      </c>
      <c r="K94" s="1044">
        <f>名簿!CP91</f>
        <v>0</v>
      </c>
      <c r="L94" s="1045" t="str">
        <f>名簿!CU91</f>
        <v>00</v>
      </c>
      <c r="M94" s="358" t="str">
        <f>名簿!Q91</f>
        <v/>
      </c>
      <c r="N94" s="1256">
        <f>名簿!D91</f>
        <v>0</v>
      </c>
      <c r="O94" s="363"/>
      <c r="P94" s="292" t="str">
        <f t="shared" si="20"/>
        <v/>
      </c>
      <c r="Q94" s="623" t="str">
        <f>IF(O94="","",HLOOKUP(O94,名簿!$AH$3:$CH$118,89,FALSE))</f>
        <v/>
      </c>
      <c r="R94" s="1143"/>
      <c r="S94" s="984" t="str">
        <f t="shared" si="21"/>
        <v/>
      </c>
      <c r="T94" s="985" t="str">
        <f t="shared" si="22"/>
        <v/>
      </c>
      <c r="U94" s="363"/>
      <c r="V94" s="292" t="str">
        <f t="shared" si="23"/>
        <v/>
      </c>
      <c r="W94" s="623" t="str">
        <f>IF(U94="","",HLOOKUP(U94,名簿!$AH$3:$CH$118,89,FALSE))</f>
        <v/>
      </c>
      <c r="X94" s="1145"/>
      <c r="Y94" s="984" t="str">
        <f t="shared" si="24"/>
        <v/>
      </c>
      <c r="Z94" s="985" t="str">
        <f t="shared" si="25"/>
        <v/>
      </c>
      <c r="AA94" s="706" t="str">
        <f>IF(X94="","",IF(I94=1,VLOOKUP(X94,男子種目コード!$J$2:$K$30,2,FALSE),IF(I94=2,VLOOKUP(X94,女子種目コード!$J$2:$K$28,2,FALSE))))</f>
        <v/>
      </c>
      <c r="AB94" s="956"/>
      <c r="AC94" s="972"/>
      <c r="AD94" s="358" t="str">
        <f>IF(AC94="","",IF(I94=1,VLOOKUP(AC94,男子種目コード!$J$2:$K$30,2,FALSE),IF(I94=2,VLOOKUP(AC94,女子種目コード!$J$2:$K$28,2,FALSE))))</f>
        <v/>
      </c>
      <c r="AE94" s="956"/>
      <c r="AF94" s="972"/>
      <c r="AG94" s="358" t="str">
        <f>IF(AF94="","",IF(I94=1,VLOOKUP(AF94,男子種目コード!$J$2:$K$30,2,FALSE),IF(I94=2,VLOOKUP(AF94,女子種目コード!$J$2:$K$28,2,FALSE))))</f>
        <v/>
      </c>
      <c r="AH94" s="957"/>
      <c r="AI94" s="20"/>
      <c r="AJ94" s="20"/>
      <c r="AK94" s="19"/>
      <c r="AL94" s="979"/>
      <c r="AM94" s="989" t="str">
        <f t="shared" si="26"/>
        <v/>
      </c>
      <c r="AN94" s="57" t="str">
        <f t="shared" si="27"/>
        <v/>
      </c>
      <c r="AO94" s="252"/>
      <c r="AP94" s="252"/>
      <c r="AQ94" s="252"/>
      <c r="AR94" s="256"/>
      <c r="AS94" s="256"/>
      <c r="AU94" s="22"/>
      <c r="AV94" s="22"/>
      <c r="AX94" s="370">
        <f t="shared" si="16"/>
        <v>0</v>
      </c>
      <c r="AY94" s="256"/>
      <c r="AZ94" s="256"/>
      <c r="BA94" s="256"/>
      <c r="BB94" s="256"/>
      <c r="BC94" s="19">
        <f t="shared" si="17"/>
        <v>0</v>
      </c>
      <c r="BD94" s="19" t="str">
        <f t="shared" si="18"/>
        <v/>
      </c>
      <c r="BE94" s="19" t="str">
        <f t="shared" si="19"/>
        <v/>
      </c>
    </row>
    <row r="95" spans="2:57">
      <c r="B95" s="358" t="str">
        <f>名簿!P92</f>
        <v/>
      </c>
      <c r="C95" s="966"/>
      <c r="D95" s="966"/>
      <c r="E95" s="1262">
        <f>名簿!E92</f>
        <v>0</v>
      </c>
      <c r="F95" s="700" t="str">
        <f>名簿!CM92</f>
        <v/>
      </c>
      <c r="G95" s="358" t="str">
        <f>名簿!Z92</f>
        <v/>
      </c>
      <c r="H95" s="358" t="str">
        <f>名簿!CM92</f>
        <v/>
      </c>
      <c r="I95" s="359" t="str">
        <f>名簿!Y92</f>
        <v/>
      </c>
      <c r="J95" s="359" t="str">
        <f>名簿!CN92</f>
        <v/>
      </c>
      <c r="K95" s="1044">
        <f>名簿!CP92</f>
        <v>0</v>
      </c>
      <c r="L95" s="1045" t="str">
        <f>名簿!CU92</f>
        <v>00</v>
      </c>
      <c r="M95" s="358" t="str">
        <f>名簿!Q92</f>
        <v/>
      </c>
      <c r="N95" s="1256">
        <f>名簿!D92</f>
        <v>0</v>
      </c>
      <c r="O95" s="363"/>
      <c r="P95" s="292" t="str">
        <f t="shared" si="20"/>
        <v/>
      </c>
      <c r="Q95" s="623" t="str">
        <f>IF(O95="","",HLOOKUP(O95,名簿!$AH$3:$CH$118,90,FALSE))</f>
        <v/>
      </c>
      <c r="R95" s="1143"/>
      <c r="S95" s="984" t="str">
        <f t="shared" si="21"/>
        <v/>
      </c>
      <c r="T95" s="985" t="str">
        <f t="shared" si="22"/>
        <v/>
      </c>
      <c r="U95" s="363"/>
      <c r="V95" s="292" t="str">
        <f t="shared" si="23"/>
        <v/>
      </c>
      <c r="W95" s="623" t="str">
        <f>IF(U95="","",HLOOKUP(U95,名簿!$AH$3:$CH$118,90,FALSE))</f>
        <v/>
      </c>
      <c r="X95" s="1145"/>
      <c r="Y95" s="984" t="str">
        <f t="shared" si="24"/>
        <v/>
      </c>
      <c r="Z95" s="985" t="str">
        <f t="shared" si="25"/>
        <v/>
      </c>
      <c r="AA95" s="706" t="str">
        <f>IF(X95="","",IF(I95=1,VLOOKUP(X95,男子種目コード!$J$2:$K$30,2,FALSE),IF(I95=2,VLOOKUP(X95,女子種目コード!$J$2:$K$28,2,FALSE))))</f>
        <v/>
      </c>
      <c r="AB95" s="956"/>
      <c r="AC95" s="972"/>
      <c r="AD95" s="358" t="str">
        <f>IF(AC95="","",IF(I95=1,VLOOKUP(AC95,男子種目コード!$J$2:$K$30,2,FALSE),IF(I95=2,VLOOKUP(AC95,女子種目コード!$J$2:$K$28,2,FALSE))))</f>
        <v/>
      </c>
      <c r="AE95" s="956"/>
      <c r="AF95" s="972"/>
      <c r="AG95" s="358" t="str">
        <f>IF(AF95="","",IF(I95=1,VLOOKUP(AF95,男子種目コード!$J$2:$K$30,2,FALSE),IF(I95=2,VLOOKUP(AF95,女子種目コード!$J$2:$K$28,2,FALSE))))</f>
        <v/>
      </c>
      <c r="AH95" s="957"/>
      <c r="AI95" s="20"/>
      <c r="AJ95" s="20"/>
      <c r="AK95" s="19"/>
      <c r="AL95" s="979"/>
      <c r="AM95" s="989" t="str">
        <f t="shared" si="26"/>
        <v/>
      </c>
      <c r="AN95" s="57" t="str">
        <f t="shared" si="27"/>
        <v/>
      </c>
      <c r="AO95" s="252"/>
      <c r="AP95" s="252"/>
      <c r="AQ95" s="252"/>
      <c r="AR95" s="256"/>
      <c r="AS95" s="256"/>
      <c r="AU95" s="22"/>
      <c r="AV95" s="22"/>
      <c r="AX95" s="370">
        <f t="shared" si="16"/>
        <v>0</v>
      </c>
      <c r="AY95" s="256"/>
      <c r="AZ95" s="256"/>
      <c r="BA95" s="256"/>
      <c r="BB95" s="256"/>
      <c r="BC95" s="19">
        <f t="shared" si="17"/>
        <v>0</v>
      </c>
      <c r="BD95" s="19" t="str">
        <f t="shared" si="18"/>
        <v/>
      </c>
      <c r="BE95" s="19" t="str">
        <f t="shared" si="19"/>
        <v/>
      </c>
    </row>
    <row r="96" spans="2:57">
      <c r="B96" s="358" t="str">
        <f>名簿!P93</f>
        <v/>
      </c>
      <c r="C96" s="966"/>
      <c r="D96" s="966"/>
      <c r="E96" s="1262">
        <f>名簿!E93</f>
        <v>0</v>
      </c>
      <c r="F96" s="700" t="str">
        <f>名簿!CM93</f>
        <v/>
      </c>
      <c r="G96" s="358" t="str">
        <f>名簿!Z93</f>
        <v/>
      </c>
      <c r="H96" s="358" t="str">
        <f>名簿!CM93</f>
        <v/>
      </c>
      <c r="I96" s="359" t="str">
        <f>名簿!Y93</f>
        <v/>
      </c>
      <c r="J96" s="359" t="str">
        <f>名簿!CN93</f>
        <v/>
      </c>
      <c r="K96" s="1044">
        <f>名簿!CP93</f>
        <v>0</v>
      </c>
      <c r="L96" s="1045" t="str">
        <f>名簿!CU93</f>
        <v>00</v>
      </c>
      <c r="M96" s="358" t="str">
        <f>名簿!Q93</f>
        <v/>
      </c>
      <c r="N96" s="1256">
        <f>名簿!D93</f>
        <v>0</v>
      </c>
      <c r="O96" s="363"/>
      <c r="P96" s="292" t="str">
        <f t="shared" si="20"/>
        <v/>
      </c>
      <c r="Q96" s="623" t="str">
        <f>IF(O96="","",HLOOKUP(O96,名簿!$AH$3:$CH$118,91,FALSE))</f>
        <v/>
      </c>
      <c r="R96" s="1143"/>
      <c r="S96" s="984" t="str">
        <f t="shared" si="21"/>
        <v/>
      </c>
      <c r="T96" s="985" t="str">
        <f t="shared" si="22"/>
        <v/>
      </c>
      <c r="U96" s="363"/>
      <c r="V96" s="292" t="str">
        <f t="shared" si="23"/>
        <v/>
      </c>
      <c r="W96" s="623" t="str">
        <f>IF(U96="","",HLOOKUP(U96,名簿!$AH$3:$CH$118,91,FALSE))</f>
        <v/>
      </c>
      <c r="X96" s="1145"/>
      <c r="Y96" s="984" t="str">
        <f t="shared" si="24"/>
        <v/>
      </c>
      <c r="Z96" s="985" t="str">
        <f t="shared" si="25"/>
        <v/>
      </c>
      <c r="AA96" s="706" t="str">
        <f>IF(X96="","",IF(I96=1,VLOOKUP(X96,男子種目コード!$J$2:$K$30,2,FALSE),IF(I96=2,VLOOKUP(X96,女子種目コード!$J$2:$K$28,2,FALSE))))</f>
        <v/>
      </c>
      <c r="AB96" s="956"/>
      <c r="AC96" s="972"/>
      <c r="AD96" s="358" t="str">
        <f>IF(AC96="","",IF(I96=1,VLOOKUP(AC96,男子種目コード!$J$2:$K$30,2,FALSE),IF(I96=2,VLOOKUP(AC96,女子種目コード!$J$2:$K$28,2,FALSE))))</f>
        <v/>
      </c>
      <c r="AE96" s="956"/>
      <c r="AF96" s="972"/>
      <c r="AG96" s="358" t="str">
        <f>IF(AF96="","",IF(I96=1,VLOOKUP(AF96,男子種目コード!$J$2:$K$30,2,FALSE),IF(I96=2,VLOOKUP(AF96,女子種目コード!$J$2:$K$28,2,FALSE))))</f>
        <v/>
      </c>
      <c r="AH96" s="957"/>
      <c r="AI96" s="20"/>
      <c r="AJ96" s="20"/>
      <c r="AK96" s="19"/>
      <c r="AL96" s="979"/>
      <c r="AM96" s="989" t="str">
        <f t="shared" si="26"/>
        <v/>
      </c>
      <c r="AN96" s="57" t="str">
        <f t="shared" si="27"/>
        <v/>
      </c>
      <c r="AO96" s="252"/>
      <c r="AP96" s="252"/>
      <c r="AQ96" s="252"/>
      <c r="AR96" s="256"/>
      <c r="AS96" s="256"/>
      <c r="AU96" s="22"/>
      <c r="AV96" s="22"/>
      <c r="AX96" s="370">
        <f t="shared" si="16"/>
        <v>0</v>
      </c>
      <c r="AY96" s="256"/>
      <c r="AZ96" s="256"/>
      <c r="BA96" s="256"/>
      <c r="BB96" s="256"/>
      <c r="BC96" s="19">
        <f t="shared" si="17"/>
        <v>0</v>
      </c>
      <c r="BD96" s="19" t="str">
        <f t="shared" si="18"/>
        <v/>
      </c>
      <c r="BE96" s="19" t="str">
        <f t="shared" si="19"/>
        <v/>
      </c>
    </row>
    <row r="97" spans="2:57">
      <c r="B97" s="358" t="str">
        <f>名簿!P94</f>
        <v/>
      </c>
      <c r="C97" s="966"/>
      <c r="D97" s="966"/>
      <c r="E97" s="1262">
        <f>名簿!E94</f>
        <v>0</v>
      </c>
      <c r="F97" s="700" t="str">
        <f>名簿!CM94</f>
        <v/>
      </c>
      <c r="G97" s="358" t="str">
        <f>名簿!Z94</f>
        <v/>
      </c>
      <c r="H97" s="358" t="str">
        <f>名簿!CM94</f>
        <v/>
      </c>
      <c r="I97" s="359" t="str">
        <f>名簿!Y94</f>
        <v/>
      </c>
      <c r="J97" s="359" t="str">
        <f>名簿!CN94</f>
        <v/>
      </c>
      <c r="K97" s="1044">
        <f>名簿!CP94</f>
        <v>0</v>
      </c>
      <c r="L97" s="1045" t="str">
        <f>名簿!CU94</f>
        <v>00</v>
      </c>
      <c r="M97" s="358" t="str">
        <f>名簿!Q94</f>
        <v/>
      </c>
      <c r="N97" s="1256">
        <f>名簿!D94</f>
        <v>0</v>
      </c>
      <c r="O97" s="363"/>
      <c r="P97" s="292" t="str">
        <f t="shared" si="20"/>
        <v/>
      </c>
      <c r="Q97" s="623" t="str">
        <f>IF(O97="","",HLOOKUP(O97,名簿!$AH$3:$CH$118,92,FALSE))</f>
        <v/>
      </c>
      <c r="R97" s="1143"/>
      <c r="S97" s="984" t="str">
        <f t="shared" si="21"/>
        <v/>
      </c>
      <c r="T97" s="985" t="str">
        <f t="shared" si="22"/>
        <v/>
      </c>
      <c r="U97" s="363"/>
      <c r="V97" s="292" t="str">
        <f t="shared" si="23"/>
        <v/>
      </c>
      <c r="W97" s="623" t="str">
        <f>IF(U97="","",HLOOKUP(U97,名簿!$AH$3:$CH$118,92,FALSE))</f>
        <v/>
      </c>
      <c r="X97" s="1145"/>
      <c r="Y97" s="984" t="str">
        <f t="shared" si="24"/>
        <v/>
      </c>
      <c r="Z97" s="985" t="str">
        <f t="shared" si="25"/>
        <v/>
      </c>
      <c r="AA97" s="706" t="str">
        <f>IF(X97="","",IF(I97=1,VLOOKUP(X97,男子種目コード!$J$2:$K$30,2,FALSE),IF(I97=2,VLOOKUP(X97,女子種目コード!$J$2:$K$28,2,FALSE))))</f>
        <v/>
      </c>
      <c r="AB97" s="956"/>
      <c r="AC97" s="972"/>
      <c r="AD97" s="358" t="str">
        <f>IF(AC97="","",IF(I97=1,VLOOKUP(AC97,男子種目コード!$J$2:$K$30,2,FALSE),IF(I97=2,VLOOKUP(AC97,女子種目コード!$J$2:$K$28,2,FALSE))))</f>
        <v/>
      </c>
      <c r="AE97" s="956"/>
      <c r="AF97" s="972"/>
      <c r="AG97" s="358" t="str">
        <f>IF(AF97="","",IF(I97=1,VLOOKUP(AF97,男子種目コード!$J$2:$K$30,2,FALSE),IF(I97=2,VLOOKUP(AF97,女子種目コード!$J$2:$K$28,2,FALSE))))</f>
        <v/>
      </c>
      <c r="AH97" s="957"/>
      <c r="AI97" s="20"/>
      <c r="AJ97" s="20"/>
      <c r="AK97" s="19"/>
      <c r="AL97" s="979"/>
      <c r="AM97" s="989" t="str">
        <f t="shared" si="26"/>
        <v/>
      </c>
      <c r="AN97" s="57" t="str">
        <f t="shared" si="27"/>
        <v/>
      </c>
      <c r="AO97" s="252"/>
      <c r="AP97" s="252"/>
      <c r="AQ97" s="252"/>
      <c r="AR97" s="256"/>
      <c r="AS97" s="256"/>
      <c r="AU97" s="22"/>
      <c r="AV97" s="22"/>
      <c r="AX97" s="370">
        <f t="shared" si="16"/>
        <v>0</v>
      </c>
      <c r="AY97" s="256"/>
      <c r="AZ97" s="256"/>
      <c r="BA97" s="256"/>
      <c r="BB97" s="256"/>
      <c r="BC97" s="19">
        <f t="shared" si="17"/>
        <v>0</v>
      </c>
      <c r="BD97" s="19" t="str">
        <f t="shared" si="18"/>
        <v/>
      </c>
      <c r="BE97" s="19" t="str">
        <f t="shared" si="19"/>
        <v/>
      </c>
    </row>
    <row r="98" spans="2:57">
      <c r="B98" s="358" t="str">
        <f>名簿!P95</f>
        <v/>
      </c>
      <c r="C98" s="966"/>
      <c r="D98" s="966"/>
      <c r="E98" s="1262">
        <f>名簿!E95</f>
        <v>0</v>
      </c>
      <c r="F98" s="700" t="str">
        <f>名簿!CM95</f>
        <v/>
      </c>
      <c r="G98" s="358" t="str">
        <f>名簿!Z95</f>
        <v/>
      </c>
      <c r="H98" s="358" t="str">
        <f>名簿!CM95</f>
        <v/>
      </c>
      <c r="I98" s="359" t="str">
        <f>名簿!Y95</f>
        <v/>
      </c>
      <c r="J98" s="359" t="str">
        <f>名簿!CN95</f>
        <v/>
      </c>
      <c r="K98" s="1044">
        <f>名簿!CP95</f>
        <v>0</v>
      </c>
      <c r="L98" s="1045" t="str">
        <f>名簿!CU95</f>
        <v>00</v>
      </c>
      <c r="M98" s="358" t="str">
        <f>名簿!Q95</f>
        <v/>
      </c>
      <c r="N98" s="1256">
        <f>名簿!D95</f>
        <v>0</v>
      </c>
      <c r="O98" s="363"/>
      <c r="P98" s="292" t="str">
        <f t="shared" si="20"/>
        <v/>
      </c>
      <c r="Q98" s="623" t="str">
        <f>IF(O98="","",HLOOKUP(O98,名簿!$AH$3:$CH$118,93,FALSE))</f>
        <v/>
      </c>
      <c r="R98" s="1143"/>
      <c r="S98" s="984" t="str">
        <f t="shared" si="21"/>
        <v/>
      </c>
      <c r="T98" s="985" t="str">
        <f t="shared" si="22"/>
        <v/>
      </c>
      <c r="U98" s="363"/>
      <c r="V98" s="292" t="str">
        <f t="shared" si="23"/>
        <v/>
      </c>
      <c r="W98" s="623" t="str">
        <f>IF(U98="","",HLOOKUP(U98,名簿!$AH$3:$CH$118,93,FALSE))</f>
        <v/>
      </c>
      <c r="X98" s="1145"/>
      <c r="Y98" s="984" t="str">
        <f t="shared" si="24"/>
        <v/>
      </c>
      <c r="Z98" s="985" t="str">
        <f t="shared" si="25"/>
        <v/>
      </c>
      <c r="AA98" s="706" t="str">
        <f>IF(X98="","",IF(I98=1,VLOOKUP(X98,男子種目コード!$J$2:$K$30,2,FALSE),IF(I98=2,VLOOKUP(X98,女子種目コード!$J$2:$K$28,2,FALSE))))</f>
        <v/>
      </c>
      <c r="AB98" s="956"/>
      <c r="AC98" s="972"/>
      <c r="AD98" s="358" t="str">
        <f>IF(AC98="","",IF(I98=1,VLOOKUP(AC98,男子種目コード!$J$2:$K$30,2,FALSE),IF(I98=2,VLOOKUP(AC98,女子種目コード!$J$2:$K$28,2,FALSE))))</f>
        <v/>
      </c>
      <c r="AE98" s="956"/>
      <c r="AF98" s="972"/>
      <c r="AG98" s="358" t="str">
        <f>IF(AF98="","",IF(I98=1,VLOOKUP(AF98,男子種目コード!$J$2:$K$30,2,FALSE),IF(I98=2,VLOOKUP(AF98,女子種目コード!$J$2:$K$28,2,FALSE))))</f>
        <v/>
      </c>
      <c r="AH98" s="957"/>
      <c r="AI98" s="20"/>
      <c r="AJ98" s="20"/>
      <c r="AK98" s="19"/>
      <c r="AL98" s="979"/>
      <c r="AM98" s="989" t="str">
        <f t="shared" si="26"/>
        <v/>
      </c>
      <c r="AN98" s="57" t="str">
        <f t="shared" si="27"/>
        <v/>
      </c>
      <c r="AO98" s="252"/>
      <c r="AP98" s="252"/>
      <c r="AQ98" s="252"/>
      <c r="AR98" s="256"/>
      <c r="AS98" s="256"/>
      <c r="AU98" s="22"/>
      <c r="AV98" s="22"/>
      <c r="AX98" s="370">
        <f t="shared" si="16"/>
        <v>0</v>
      </c>
      <c r="AY98" s="256"/>
      <c r="AZ98" s="256"/>
      <c r="BA98" s="256"/>
      <c r="BB98" s="256"/>
      <c r="BC98" s="19">
        <f t="shared" si="17"/>
        <v>0</v>
      </c>
      <c r="BD98" s="19" t="str">
        <f t="shared" si="18"/>
        <v/>
      </c>
      <c r="BE98" s="19" t="str">
        <f t="shared" si="19"/>
        <v/>
      </c>
    </row>
    <row r="99" spans="2:57">
      <c r="B99" s="358" t="str">
        <f>名簿!P96</f>
        <v/>
      </c>
      <c r="C99" s="966"/>
      <c r="D99" s="966"/>
      <c r="E99" s="1262">
        <f>名簿!E96</f>
        <v>0</v>
      </c>
      <c r="F99" s="700" t="str">
        <f>名簿!CM96</f>
        <v/>
      </c>
      <c r="G99" s="358" t="str">
        <f>名簿!Z96</f>
        <v/>
      </c>
      <c r="H99" s="358" t="str">
        <f>名簿!CM96</f>
        <v/>
      </c>
      <c r="I99" s="359" t="str">
        <f>名簿!Y96</f>
        <v/>
      </c>
      <c r="J99" s="359" t="str">
        <f>名簿!CN96</f>
        <v/>
      </c>
      <c r="K99" s="1044">
        <f>名簿!CP96</f>
        <v>0</v>
      </c>
      <c r="L99" s="1045" t="str">
        <f>名簿!CU96</f>
        <v>00</v>
      </c>
      <c r="M99" s="358" t="str">
        <f>名簿!Q96</f>
        <v/>
      </c>
      <c r="N99" s="1256">
        <f>名簿!D96</f>
        <v>0</v>
      </c>
      <c r="O99" s="363"/>
      <c r="P99" s="292" t="str">
        <f t="shared" si="20"/>
        <v/>
      </c>
      <c r="Q99" s="623" t="str">
        <f>IF(O99="","",HLOOKUP(O99,名簿!$AH$3:$CH$118,94,FALSE))</f>
        <v/>
      </c>
      <c r="R99" s="1143"/>
      <c r="S99" s="984" t="str">
        <f t="shared" si="21"/>
        <v/>
      </c>
      <c r="T99" s="985" t="str">
        <f t="shared" si="22"/>
        <v/>
      </c>
      <c r="U99" s="363"/>
      <c r="V99" s="292" t="str">
        <f t="shared" si="23"/>
        <v/>
      </c>
      <c r="W99" s="623" t="str">
        <f>IF(U99="","",HLOOKUP(U99,名簿!$AH$3:$CH$118,94,FALSE))</f>
        <v/>
      </c>
      <c r="X99" s="1145"/>
      <c r="Y99" s="984" t="str">
        <f t="shared" si="24"/>
        <v/>
      </c>
      <c r="Z99" s="985" t="str">
        <f t="shared" si="25"/>
        <v/>
      </c>
      <c r="AA99" s="706" t="str">
        <f>IF(X99="","",IF(I99=1,VLOOKUP(X99,男子種目コード!$J$2:$K$30,2,FALSE),IF(I99=2,VLOOKUP(X99,女子種目コード!$J$2:$K$28,2,FALSE))))</f>
        <v/>
      </c>
      <c r="AB99" s="956"/>
      <c r="AC99" s="972"/>
      <c r="AD99" s="358" t="str">
        <f>IF(AC99="","",IF(I99=1,VLOOKUP(AC99,男子種目コード!$J$2:$K$30,2,FALSE),IF(I99=2,VLOOKUP(AC99,女子種目コード!$J$2:$K$28,2,FALSE))))</f>
        <v/>
      </c>
      <c r="AE99" s="956"/>
      <c r="AF99" s="972"/>
      <c r="AG99" s="358" t="str">
        <f>IF(AF99="","",IF(I99=1,VLOOKUP(AF99,男子種目コード!$J$2:$K$30,2,FALSE),IF(I99=2,VLOOKUP(AF99,女子種目コード!$J$2:$K$28,2,FALSE))))</f>
        <v/>
      </c>
      <c r="AH99" s="957"/>
      <c r="AI99" s="20"/>
      <c r="AJ99" s="20"/>
      <c r="AK99" s="19"/>
      <c r="AL99" s="979"/>
      <c r="AM99" s="989" t="str">
        <f t="shared" si="26"/>
        <v/>
      </c>
      <c r="AN99" s="57" t="str">
        <f t="shared" si="27"/>
        <v/>
      </c>
      <c r="AO99" s="252"/>
      <c r="AP99" s="252"/>
      <c r="AQ99" s="252"/>
      <c r="AR99" s="256"/>
      <c r="AS99" s="256"/>
      <c r="AU99" s="22"/>
      <c r="AV99" s="22"/>
      <c r="AX99" s="370">
        <f t="shared" si="16"/>
        <v>0</v>
      </c>
      <c r="AY99" s="256"/>
      <c r="AZ99" s="256"/>
      <c r="BA99" s="256"/>
      <c r="BB99" s="256"/>
      <c r="BC99" s="19">
        <f t="shared" si="17"/>
        <v>0</v>
      </c>
      <c r="BD99" s="19" t="str">
        <f t="shared" si="18"/>
        <v/>
      </c>
      <c r="BE99" s="19" t="str">
        <f t="shared" si="19"/>
        <v/>
      </c>
    </row>
    <row r="100" spans="2:57">
      <c r="B100" s="358" t="str">
        <f>名簿!P97</f>
        <v/>
      </c>
      <c r="C100" s="966"/>
      <c r="D100" s="966"/>
      <c r="E100" s="1262">
        <f>名簿!E97</f>
        <v>0</v>
      </c>
      <c r="F100" s="700" t="str">
        <f>名簿!CM97</f>
        <v/>
      </c>
      <c r="G100" s="358" t="str">
        <f>名簿!Z97</f>
        <v/>
      </c>
      <c r="H100" s="358" t="str">
        <f>名簿!CM97</f>
        <v/>
      </c>
      <c r="I100" s="359" t="str">
        <f>名簿!Y97</f>
        <v/>
      </c>
      <c r="J100" s="359" t="str">
        <f>名簿!CN97</f>
        <v/>
      </c>
      <c r="K100" s="1044">
        <f>名簿!CP97</f>
        <v>0</v>
      </c>
      <c r="L100" s="1045" t="str">
        <f>名簿!CU97</f>
        <v>00</v>
      </c>
      <c r="M100" s="358" t="str">
        <f>名簿!Q97</f>
        <v/>
      </c>
      <c r="N100" s="1256">
        <f>名簿!D97</f>
        <v>0</v>
      </c>
      <c r="O100" s="363"/>
      <c r="P100" s="292" t="str">
        <f t="shared" si="20"/>
        <v/>
      </c>
      <c r="Q100" s="623" t="str">
        <f>IF(O100="","",HLOOKUP(O100,名簿!$AH$3:$CH$118,95,FALSE))</f>
        <v/>
      </c>
      <c r="R100" s="1143"/>
      <c r="S100" s="984" t="str">
        <f t="shared" si="21"/>
        <v/>
      </c>
      <c r="T100" s="985" t="str">
        <f t="shared" si="22"/>
        <v/>
      </c>
      <c r="U100" s="363"/>
      <c r="V100" s="292" t="str">
        <f t="shared" si="23"/>
        <v/>
      </c>
      <c r="W100" s="623" t="str">
        <f>IF(U100="","",HLOOKUP(U100,名簿!$AH$3:$CH$118,95,FALSE))</f>
        <v/>
      </c>
      <c r="X100" s="1145"/>
      <c r="Y100" s="984" t="str">
        <f t="shared" si="24"/>
        <v/>
      </c>
      <c r="Z100" s="985" t="str">
        <f t="shared" si="25"/>
        <v/>
      </c>
      <c r="AA100" s="706" t="str">
        <f>IF(X100="","",IF(I100=1,VLOOKUP(X100,男子種目コード!$J$2:$K$30,2,FALSE),IF(I100=2,VLOOKUP(X100,女子種目コード!$J$2:$K$28,2,FALSE))))</f>
        <v/>
      </c>
      <c r="AB100" s="956"/>
      <c r="AC100" s="972"/>
      <c r="AD100" s="358" t="str">
        <f>IF(AC100="","",IF(I100=1,VLOOKUP(AC100,男子種目コード!$J$2:$K$30,2,FALSE),IF(I100=2,VLOOKUP(AC100,女子種目コード!$J$2:$K$28,2,FALSE))))</f>
        <v/>
      </c>
      <c r="AE100" s="956"/>
      <c r="AF100" s="972"/>
      <c r="AG100" s="358" t="str">
        <f>IF(AF100="","",IF(I100=1,VLOOKUP(AF100,男子種目コード!$J$2:$K$30,2,FALSE),IF(I100=2,VLOOKUP(AF100,女子種目コード!$J$2:$K$28,2,FALSE))))</f>
        <v/>
      </c>
      <c r="AH100" s="957"/>
      <c r="AI100" s="20"/>
      <c r="AJ100" s="20"/>
      <c r="AK100" s="19"/>
      <c r="AL100" s="979"/>
      <c r="AM100" s="989" t="str">
        <f t="shared" si="26"/>
        <v/>
      </c>
      <c r="AN100" s="57" t="str">
        <f t="shared" si="27"/>
        <v/>
      </c>
      <c r="AO100" s="252"/>
      <c r="AP100" s="252"/>
      <c r="AQ100" s="252"/>
      <c r="AR100" s="256"/>
      <c r="AS100" s="256"/>
      <c r="AU100" s="22"/>
      <c r="AV100" s="22"/>
      <c r="AX100" s="370">
        <f t="shared" si="16"/>
        <v>0</v>
      </c>
      <c r="AY100" s="256"/>
      <c r="AZ100" s="256"/>
      <c r="BA100" s="256"/>
      <c r="BB100" s="256"/>
      <c r="BC100" s="19">
        <f t="shared" si="17"/>
        <v>0</v>
      </c>
      <c r="BD100" s="19" t="str">
        <f t="shared" si="18"/>
        <v/>
      </c>
      <c r="BE100" s="19" t="str">
        <f t="shared" si="19"/>
        <v/>
      </c>
    </row>
    <row r="101" spans="2:57">
      <c r="B101" s="358" t="str">
        <f>名簿!P98</f>
        <v/>
      </c>
      <c r="C101" s="966"/>
      <c r="D101" s="966"/>
      <c r="E101" s="1262">
        <f>名簿!E98</f>
        <v>0</v>
      </c>
      <c r="F101" s="700" t="str">
        <f>名簿!CM98</f>
        <v/>
      </c>
      <c r="G101" s="358" t="str">
        <f>名簿!Z98</f>
        <v/>
      </c>
      <c r="H101" s="358" t="str">
        <f>名簿!CM98</f>
        <v/>
      </c>
      <c r="I101" s="359" t="str">
        <f>名簿!Y98</f>
        <v/>
      </c>
      <c r="J101" s="359" t="str">
        <f>名簿!CN98</f>
        <v/>
      </c>
      <c r="K101" s="1044">
        <f>名簿!CP98</f>
        <v>0</v>
      </c>
      <c r="L101" s="1045" t="str">
        <f>名簿!CU98</f>
        <v>00</v>
      </c>
      <c r="M101" s="358" t="str">
        <f>名簿!Q98</f>
        <v/>
      </c>
      <c r="N101" s="1256">
        <f>名簿!D98</f>
        <v>0</v>
      </c>
      <c r="O101" s="363"/>
      <c r="P101" s="292" t="str">
        <f t="shared" si="20"/>
        <v/>
      </c>
      <c r="Q101" s="623" t="str">
        <f>IF(O101="","",HLOOKUP(O101,名簿!$AH$3:$CH$118,96,FALSE))</f>
        <v/>
      </c>
      <c r="R101" s="1143"/>
      <c r="S101" s="984" t="str">
        <f t="shared" si="21"/>
        <v/>
      </c>
      <c r="T101" s="985" t="str">
        <f t="shared" si="22"/>
        <v/>
      </c>
      <c r="U101" s="363"/>
      <c r="V101" s="292" t="str">
        <f t="shared" si="23"/>
        <v/>
      </c>
      <c r="W101" s="623" t="str">
        <f>IF(U101="","",HLOOKUP(U101,名簿!$AH$3:$CH$118,96,FALSE))</f>
        <v/>
      </c>
      <c r="X101" s="1145"/>
      <c r="Y101" s="984" t="str">
        <f t="shared" si="24"/>
        <v/>
      </c>
      <c r="Z101" s="985" t="str">
        <f t="shared" si="25"/>
        <v/>
      </c>
      <c r="AA101" s="706" t="str">
        <f>IF(X101="","",IF(I101=1,VLOOKUP(X101,男子種目コード!$J$2:$K$30,2,FALSE),IF(I101=2,VLOOKUP(X101,女子種目コード!$J$2:$K$28,2,FALSE))))</f>
        <v/>
      </c>
      <c r="AB101" s="956"/>
      <c r="AC101" s="972"/>
      <c r="AD101" s="358" t="str">
        <f>IF(AC101="","",IF(I101=1,VLOOKUP(AC101,男子種目コード!$J$2:$K$30,2,FALSE),IF(I101=2,VLOOKUP(AC101,女子種目コード!$J$2:$K$28,2,FALSE))))</f>
        <v/>
      </c>
      <c r="AE101" s="956"/>
      <c r="AF101" s="972"/>
      <c r="AG101" s="358" t="str">
        <f>IF(AF101="","",IF(I101=1,VLOOKUP(AF101,男子種目コード!$J$2:$K$30,2,FALSE),IF(I101=2,VLOOKUP(AF101,女子種目コード!$J$2:$K$28,2,FALSE))))</f>
        <v/>
      </c>
      <c r="AH101" s="957"/>
      <c r="AI101" s="20"/>
      <c r="AJ101" s="20"/>
      <c r="AK101" s="19"/>
      <c r="AL101" s="979"/>
      <c r="AM101" s="989" t="str">
        <f t="shared" si="26"/>
        <v/>
      </c>
      <c r="AN101" s="57" t="str">
        <f t="shared" si="27"/>
        <v/>
      </c>
      <c r="AO101" s="252"/>
      <c r="AP101" s="252"/>
      <c r="AQ101" s="252"/>
      <c r="AR101" s="256"/>
      <c r="AS101" s="256"/>
      <c r="AU101" s="22"/>
      <c r="AV101" s="22"/>
      <c r="AX101" s="370">
        <f t="shared" si="16"/>
        <v>0</v>
      </c>
      <c r="AY101" s="256"/>
      <c r="AZ101" s="256"/>
      <c r="BA101" s="256"/>
      <c r="BB101" s="256"/>
      <c r="BC101" s="19">
        <f t="shared" si="17"/>
        <v>0</v>
      </c>
      <c r="BD101" s="19" t="str">
        <f t="shared" si="18"/>
        <v/>
      </c>
      <c r="BE101" s="19" t="str">
        <f t="shared" si="19"/>
        <v/>
      </c>
    </row>
    <row r="102" spans="2:57">
      <c r="B102" s="358" t="str">
        <f>名簿!P99</f>
        <v/>
      </c>
      <c r="C102" s="966"/>
      <c r="D102" s="966"/>
      <c r="E102" s="1262">
        <f>名簿!E99</f>
        <v>0</v>
      </c>
      <c r="F102" s="700" t="str">
        <f>名簿!CM99</f>
        <v/>
      </c>
      <c r="G102" s="358" t="str">
        <f>名簿!Z99</f>
        <v/>
      </c>
      <c r="H102" s="358" t="str">
        <f>名簿!CM99</f>
        <v/>
      </c>
      <c r="I102" s="359" t="str">
        <f>名簿!Y99</f>
        <v/>
      </c>
      <c r="J102" s="359" t="str">
        <f>名簿!CN99</f>
        <v/>
      </c>
      <c r="K102" s="1044">
        <f>名簿!CP99</f>
        <v>0</v>
      </c>
      <c r="L102" s="1045" t="str">
        <f>名簿!CU99</f>
        <v>00</v>
      </c>
      <c r="M102" s="358" t="str">
        <f>名簿!Q99</f>
        <v/>
      </c>
      <c r="N102" s="1256">
        <f>名簿!D99</f>
        <v>0</v>
      </c>
      <c r="O102" s="363"/>
      <c r="P102" s="292" t="str">
        <f t="shared" si="20"/>
        <v/>
      </c>
      <c r="Q102" s="623" t="str">
        <f>IF(O102="","",HLOOKUP(O102,名簿!$AH$3:$CH$118,97,FALSE))</f>
        <v/>
      </c>
      <c r="R102" s="1143"/>
      <c r="S102" s="984" t="str">
        <f t="shared" si="21"/>
        <v/>
      </c>
      <c r="T102" s="985" t="str">
        <f t="shared" si="22"/>
        <v/>
      </c>
      <c r="U102" s="363"/>
      <c r="V102" s="292" t="str">
        <f t="shared" si="23"/>
        <v/>
      </c>
      <c r="W102" s="623" t="str">
        <f>IF(U102="","",HLOOKUP(U102,名簿!$AH$3:$CH$118,97,FALSE))</f>
        <v/>
      </c>
      <c r="X102" s="1145"/>
      <c r="Y102" s="984" t="str">
        <f t="shared" si="24"/>
        <v/>
      </c>
      <c r="Z102" s="985" t="str">
        <f t="shared" si="25"/>
        <v/>
      </c>
      <c r="AA102" s="706" t="str">
        <f>IF(X102="","",IF(I102=1,VLOOKUP(X102,男子種目コード!$J$2:$K$30,2,FALSE),IF(I102=2,VLOOKUP(X102,女子種目コード!$J$2:$K$28,2,FALSE))))</f>
        <v/>
      </c>
      <c r="AB102" s="956"/>
      <c r="AC102" s="972"/>
      <c r="AD102" s="358" t="str">
        <f>IF(AC102="","",IF(I102=1,VLOOKUP(AC102,男子種目コード!$J$2:$K$30,2,FALSE),IF(I102=2,VLOOKUP(AC102,女子種目コード!$J$2:$K$28,2,FALSE))))</f>
        <v/>
      </c>
      <c r="AE102" s="956"/>
      <c r="AF102" s="972"/>
      <c r="AG102" s="358" t="str">
        <f>IF(AF102="","",IF(I102=1,VLOOKUP(AF102,男子種目コード!$J$2:$K$30,2,FALSE),IF(I102=2,VLOOKUP(AF102,女子種目コード!$J$2:$K$28,2,FALSE))))</f>
        <v/>
      </c>
      <c r="AH102" s="957"/>
      <c r="AI102" s="20"/>
      <c r="AJ102" s="20"/>
      <c r="AK102" s="19"/>
      <c r="AL102" s="979"/>
      <c r="AM102" s="989" t="str">
        <f t="shared" si="26"/>
        <v/>
      </c>
      <c r="AN102" s="57" t="str">
        <f t="shared" si="27"/>
        <v/>
      </c>
      <c r="AO102" s="252"/>
      <c r="AP102" s="252"/>
      <c r="AQ102" s="252"/>
      <c r="AR102" s="256"/>
      <c r="AS102" s="256"/>
      <c r="AU102" s="22"/>
      <c r="AV102" s="22"/>
      <c r="AX102" s="370">
        <f t="shared" si="16"/>
        <v>0</v>
      </c>
      <c r="AY102" s="256"/>
      <c r="AZ102" s="256"/>
      <c r="BA102" s="256"/>
      <c r="BB102" s="256"/>
      <c r="BC102" s="19">
        <f t="shared" si="17"/>
        <v>0</v>
      </c>
      <c r="BD102" s="19" t="str">
        <f t="shared" si="18"/>
        <v/>
      </c>
      <c r="BE102" s="19" t="str">
        <f t="shared" si="19"/>
        <v/>
      </c>
    </row>
    <row r="103" spans="2:57">
      <c r="B103" s="358" t="str">
        <f>名簿!P100</f>
        <v/>
      </c>
      <c r="C103" s="966"/>
      <c r="D103" s="966"/>
      <c r="E103" s="1262">
        <f>名簿!E100</f>
        <v>0</v>
      </c>
      <c r="F103" s="700" t="str">
        <f>名簿!CM100</f>
        <v/>
      </c>
      <c r="G103" s="358" t="str">
        <f>名簿!Z100</f>
        <v/>
      </c>
      <c r="H103" s="358" t="str">
        <f>名簿!CM100</f>
        <v/>
      </c>
      <c r="I103" s="359" t="str">
        <f>名簿!Y100</f>
        <v/>
      </c>
      <c r="J103" s="359" t="str">
        <f>名簿!CN100</f>
        <v/>
      </c>
      <c r="K103" s="1044">
        <f>名簿!CP100</f>
        <v>0</v>
      </c>
      <c r="L103" s="1045" t="str">
        <f>名簿!CU100</f>
        <v>00</v>
      </c>
      <c r="M103" s="358" t="str">
        <f>名簿!Q100</f>
        <v/>
      </c>
      <c r="N103" s="1256">
        <f>名簿!D100</f>
        <v>0</v>
      </c>
      <c r="O103" s="363"/>
      <c r="P103" s="292" t="str">
        <f t="shared" si="20"/>
        <v/>
      </c>
      <c r="Q103" s="623" t="str">
        <f>IF(O103="","",HLOOKUP(O103,名簿!$AH$3:$CH$118,98,FALSE))</f>
        <v/>
      </c>
      <c r="R103" s="1143"/>
      <c r="S103" s="984" t="str">
        <f t="shared" si="21"/>
        <v/>
      </c>
      <c r="T103" s="985" t="str">
        <f t="shared" si="22"/>
        <v/>
      </c>
      <c r="U103" s="363"/>
      <c r="V103" s="292" t="str">
        <f t="shared" si="23"/>
        <v/>
      </c>
      <c r="W103" s="623" t="str">
        <f>IF(U103="","",HLOOKUP(U103,名簿!$AH$3:$CH$118,98,FALSE))</f>
        <v/>
      </c>
      <c r="X103" s="1145"/>
      <c r="Y103" s="984" t="str">
        <f t="shared" si="24"/>
        <v/>
      </c>
      <c r="Z103" s="985" t="str">
        <f t="shared" si="25"/>
        <v/>
      </c>
      <c r="AA103" s="706" t="str">
        <f>IF(X103="","",IF(I103=1,VLOOKUP(X103,男子種目コード!$J$2:$K$30,2,FALSE),IF(I103=2,VLOOKUP(X103,女子種目コード!$J$2:$K$28,2,FALSE))))</f>
        <v/>
      </c>
      <c r="AB103" s="956"/>
      <c r="AC103" s="972"/>
      <c r="AD103" s="358" t="str">
        <f>IF(AC103="","",IF(I103=1,VLOOKUP(AC103,男子種目コード!$J$2:$K$30,2,FALSE),IF(I103=2,VLOOKUP(AC103,女子種目コード!$J$2:$K$28,2,FALSE))))</f>
        <v/>
      </c>
      <c r="AE103" s="956"/>
      <c r="AF103" s="972"/>
      <c r="AG103" s="358" t="str">
        <f>IF(AF103="","",IF(I103=1,VLOOKUP(AF103,男子種目コード!$J$2:$K$30,2,FALSE),IF(I103=2,VLOOKUP(AF103,女子種目コード!$J$2:$K$28,2,FALSE))))</f>
        <v/>
      </c>
      <c r="AH103" s="957"/>
      <c r="AI103" s="20"/>
      <c r="AJ103" s="20"/>
      <c r="AK103" s="19"/>
      <c r="AL103" s="979"/>
      <c r="AM103" s="989" t="str">
        <f t="shared" si="26"/>
        <v/>
      </c>
      <c r="AN103" s="57" t="str">
        <f t="shared" si="27"/>
        <v/>
      </c>
      <c r="AO103" s="252"/>
      <c r="AP103" s="252"/>
      <c r="AQ103" s="252"/>
      <c r="AR103" s="256"/>
      <c r="AS103" s="256"/>
      <c r="AU103" s="22"/>
      <c r="AV103" s="22"/>
      <c r="AX103" s="370">
        <f t="shared" ref="AX103:AX116" si="28">IF(OR(AM103=1,U103=""),0,1)</f>
        <v>0</v>
      </c>
      <c r="AY103" s="256"/>
      <c r="AZ103" s="256"/>
      <c r="BA103" s="256"/>
      <c r="BB103" s="256"/>
      <c r="BC103" s="19">
        <f t="shared" ref="BC103:BC116" si="29">COUNT(P103,V103,AA103)</f>
        <v>0</v>
      </c>
      <c r="BD103" s="19" t="str">
        <f t="shared" ref="BD103:BD116" si="30">IF(I103=1,BC103,"")</f>
        <v/>
      </c>
      <c r="BE103" s="19" t="str">
        <f t="shared" ref="BE103:BE116" si="31">IF(I103=2,BC103,"")</f>
        <v/>
      </c>
    </row>
    <row r="104" spans="2:57">
      <c r="B104" s="358" t="str">
        <f>名簿!P101</f>
        <v/>
      </c>
      <c r="C104" s="966"/>
      <c r="D104" s="966"/>
      <c r="E104" s="1262">
        <f>名簿!E101</f>
        <v>0</v>
      </c>
      <c r="F104" s="700" t="str">
        <f>名簿!CM101</f>
        <v/>
      </c>
      <c r="G104" s="358" t="str">
        <f>名簿!Z101</f>
        <v/>
      </c>
      <c r="H104" s="358" t="str">
        <f>名簿!CM101</f>
        <v/>
      </c>
      <c r="I104" s="359" t="str">
        <f>名簿!Y101</f>
        <v/>
      </c>
      <c r="J104" s="359" t="str">
        <f>名簿!CN101</f>
        <v/>
      </c>
      <c r="K104" s="1044">
        <f>名簿!CP101</f>
        <v>0</v>
      </c>
      <c r="L104" s="1045" t="str">
        <f>名簿!CU101</f>
        <v>00</v>
      </c>
      <c r="M104" s="358" t="str">
        <f>名簿!Q101</f>
        <v/>
      </c>
      <c r="N104" s="1256">
        <f>名簿!D101</f>
        <v>0</v>
      </c>
      <c r="O104" s="363"/>
      <c r="P104" s="292" t="str">
        <f t="shared" si="20"/>
        <v/>
      </c>
      <c r="Q104" s="623" t="str">
        <f>IF(O104="","",HLOOKUP(O104,名簿!$AH$3:$CH$118,99,FALSE))</f>
        <v/>
      </c>
      <c r="R104" s="1143"/>
      <c r="S104" s="984" t="str">
        <f t="shared" si="21"/>
        <v/>
      </c>
      <c r="T104" s="985" t="str">
        <f t="shared" si="22"/>
        <v/>
      </c>
      <c r="U104" s="363"/>
      <c r="V104" s="292" t="str">
        <f t="shared" si="23"/>
        <v/>
      </c>
      <c r="W104" s="623" t="str">
        <f>IF(U104="","",HLOOKUP(U104,名簿!$AH$3:$CH$118,99,FALSE))</f>
        <v/>
      </c>
      <c r="X104" s="1145"/>
      <c r="Y104" s="984" t="str">
        <f t="shared" si="24"/>
        <v/>
      </c>
      <c r="Z104" s="985" t="str">
        <f t="shared" si="25"/>
        <v/>
      </c>
      <c r="AA104" s="706" t="str">
        <f>IF(X104="","",IF(I104=1,VLOOKUP(X104,男子種目コード!$J$2:$K$30,2,FALSE),IF(I104=2,VLOOKUP(X104,女子種目コード!$J$2:$K$28,2,FALSE))))</f>
        <v/>
      </c>
      <c r="AB104" s="956"/>
      <c r="AC104" s="972"/>
      <c r="AD104" s="358" t="str">
        <f>IF(AC104="","",IF(I104=1,VLOOKUP(AC104,男子種目コード!$J$2:$K$30,2,FALSE),IF(I104=2,VLOOKUP(AC104,女子種目コード!$J$2:$K$28,2,FALSE))))</f>
        <v/>
      </c>
      <c r="AE104" s="956"/>
      <c r="AF104" s="972"/>
      <c r="AG104" s="358" t="str">
        <f>IF(AF104="","",IF(I104=1,VLOOKUP(AF104,男子種目コード!$J$2:$K$30,2,FALSE),IF(I104=2,VLOOKUP(AF104,女子種目コード!$J$2:$K$28,2,FALSE))))</f>
        <v/>
      </c>
      <c r="AH104" s="957"/>
      <c r="AI104" s="20"/>
      <c r="AJ104" s="20"/>
      <c r="AK104" s="19"/>
      <c r="AL104" s="979"/>
      <c r="AM104" s="989" t="str">
        <f t="shared" si="26"/>
        <v/>
      </c>
      <c r="AN104" s="57" t="str">
        <f t="shared" si="27"/>
        <v/>
      </c>
      <c r="AO104" s="252"/>
      <c r="AP104" s="252"/>
      <c r="AQ104" s="252"/>
      <c r="AR104" s="256"/>
      <c r="AS104" s="256"/>
      <c r="AU104" s="22"/>
      <c r="AV104" s="22"/>
      <c r="AX104" s="370">
        <f t="shared" si="28"/>
        <v>0</v>
      </c>
      <c r="AY104" s="256"/>
      <c r="AZ104" s="256"/>
      <c r="BA104" s="256"/>
      <c r="BB104" s="256"/>
      <c r="BC104" s="19">
        <f t="shared" si="29"/>
        <v>0</v>
      </c>
      <c r="BD104" s="19" t="str">
        <f t="shared" si="30"/>
        <v/>
      </c>
      <c r="BE104" s="19" t="str">
        <f t="shared" si="31"/>
        <v/>
      </c>
    </row>
    <row r="105" spans="2:57">
      <c r="B105" s="358" t="str">
        <f>名簿!P102</f>
        <v/>
      </c>
      <c r="C105" s="966"/>
      <c r="D105" s="966"/>
      <c r="E105" s="1262">
        <f>名簿!E102</f>
        <v>0</v>
      </c>
      <c r="F105" s="700" t="str">
        <f>名簿!CM102</f>
        <v/>
      </c>
      <c r="G105" s="358" t="str">
        <f>名簿!Z102</f>
        <v/>
      </c>
      <c r="H105" s="358" t="str">
        <f>名簿!CM102</f>
        <v/>
      </c>
      <c r="I105" s="359" t="str">
        <f>名簿!Y102</f>
        <v/>
      </c>
      <c r="J105" s="359" t="str">
        <f>名簿!CN102</f>
        <v/>
      </c>
      <c r="K105" s="1044">
        <f>名簿!CP102</f>
        <v>0</v>
      </c>
      <c r="L105" s="1045" t="str">
        <f>名簿!CU102</f>
        <v>00</v>
      </c>
      <c r="M105" s="358" t="str">
        <f>名簿!Q102</f>
        <v/>
      </c>
      <c r="N105" s="1256">
        <f>名簿!D102</f>
        <v>0</v>
      </c>
      <c r="O105" s="363"/>
      <c r="P105" s="292" t="str">
        <f t="shared" si="20"/>
        <v/>
      </c>
      <c r="Q105" s="623" t="str">
        <f>IF(O105="","",HLOOKUP(O105,名簿!$AH$3:$CH$118,100,FALSE))</f>
        <v/>
      </c>
      <c r="R105" s="1143"/>
      <c r="S105" s="984" t="str">
        <f t="shared" si="21"/>
        <v/>
      </c>
      <c r="T105" s="985" t="str">
        <f t="shared" si="22"/>
        <v/>
      </c>
      <c r="U105" s="363"/>
      <c r="V105" s="292" t="str">
        <f t="shared" si="23"/>
        <v/>
      </c>
      <c r="W105" s="623" t="str">
        <f>IF(U105="","",HLOOKUP(U105,名簿!$AH$3:$CH$118,100,FALSE))</f>
        <v/>
      </c>
      <c r="X105" s="1145"/>
      <c r="Y105" s="984" t="str">
        <f t="shared" si="24"/>
        <v/>
      </c>
      <c r="Z105" s="985" t="str">
        <f t="shared" si="25"/>
        <v/>
      </c>
      <c r="AA105" s="706" t="str">
        <f>IF(X105="","",IF(I105=1,VLOOKUP(X105,男子種目コード!$J$2:$K$30,2,FALSE),IF(I105=2,VLOOKUP(X105,女子種目コード!$J$2:$K$28,2,FALSE))))</f>
        <v/>
      </c>
      <c r="AB105" s="956"/>
      <c r="AC105" s="972"/>
      <c r="AD105" s="358" t="str">
        <f>IF(AC105="","",IF(I105=1,VLOOKUP(AC105,男子種目コード!$J$2:$K$30,2,FALSE),IF(I105=2,VLOOKUP(AC105,女子種目コード!$J$2:$K$28,2,FALSE))))</f>
        <v/>
      </c>
      <c r="AE105" s="956"/>
      <c r="AF105" s="972"/>
      <c r="AG105" s="358" t="str">
        <f>IF(AF105="","",IF(I105=1,VLOOKUP(AF105,男子種目コード!$J$2:$K$30,2,FALSE),IF(I105=2,VLOOKUP(AF105,女子種目コード!$J$2:$K$28,2,FALSE))))</f>
        <v/>
      </c>
      <c r="AH105" s="957"/>
      <c r="AI105" s="20"/>
      <c r="AJ105" s="20"/>
      <c r="AK105" s="19"/>
      <c r="AL105" s="979"/>
      <c r="AM105" s="989" t="str">
        <f t="shared" si="26"/>
        <v/>
      </c>
      <c r="AN105" s="57" t="str">
        <f t="shared" si="27"/>
        <v/>
      </c>
      <c r="AO105" s="252"/>
      <c r="AP105" s="252"/>
      <c r="AQ105" s="252"/>
      <c r="AR105" s="256"/>
      <c r="AS105" s="256"/>
      <c r="AU105" s="22"/>
      <c r="AV105" s="22"/>
      <c r="AX105" s="370">
        <f t="shared" si="28"/>
        <v>0</v>
      </c>
      <c r="AY105" s="256"/>
      <c r="AZ105" s="256"/>
      <c r="BA105" s="256"/>
      <c r="BB105" s="256"/>
      <c r="BC105" s="19">
        <f t="shared" si="29"/>
        <v>0</v>
      </c>
      <c r="BD105" s="19" t="str">
        <f t="shared" si="30"/>
        <v/>
      </c>
      <c r="BE105" s="19" t="str">
        <f t="shared" si="31"/>
        <v/>
      </c>
    </row>
    <row r="106" spans="2:57">
      <c r="B106" s="358" t="str">
        <f>名簿!P103</f>
        <v/>
      </c>
      <c r="C106" s="966"/>
      <c r="D106" s="966"/>
      <c r="E106" s="1262">
        <f>名簿!E103</f>
        <v>0</v>
      </c>
      <c r="F106" s="700" t="str">
        <f>名簿!CM103</f>
        <v/>
      </c>
      <c r="G106" s="358" t="str">
        <f>名簿!Z103</f>
        <v/>
      </c>
      <c r="H106" s="358" t="str">
        <f>名簿!CM103</f>
        <v/>
      </c>
      <c r="I106" s="359" t="str">
        <f>名簿!Y103</f>
        <v/>
      </c>
      <c r="J106" s="359" t="str">
        <f>名簿!CN103</f>
        <v/>
      </c>
      <c r="K106" s="1044">
        <f>名簿!CP103</f>
        <v>0</v>
      </c>
      <c r="L106" s="1045" t="str">
        <f>名簿!CU103</f>
        <v>00</v>
      </c>
      <c r="M106" s="358" t="str">
        <f>名簿!Q103</f>
        <v/>
      </c>
      <c r="N106" s="1256">
        <f>名簿!D103</f>
        <v>0</v>
      </c>
      <c r="O106" s="363"/>
      <c r="P106" s="292" t="str">
        <f t="shared" si="20"/>
        <v/>
      </c>
      <c r="Q106" s="623" t="str">
        <f>IF(O106="","",HLOOKUP(O106,名簿!$AH$3:$CH$118,101,FALSE))</f>
        <v/>
      </c>
      <c r="R106" s="1143"/>
      <c r="S106" s="984" t="str">
        <f t="shared" si="21"/>
        <v/>
      </c>
      <c r="T106" s="985" t="str">
        <f t="shared" si="22"/>
        <v/>
      </c>
      <c r="U106" s="363"/>
      <c r="V106" s="292" t="str">
        <f t="shared" si="23"/>
        <v/>
      </c>
      <c r="W106" s="623" t="str">
        <f>IF(U106="","",HLOOKUP(U106,名簿!$AH$3:$CH$118,101,FALSE))</f>
        <v/>
      </c>
      <c r="X106" s="1145"/>
      <c r="Y106" s="984" t="str">
        <f t="shared" si="24"/>
        <v/>
      </c>
      <c r="Z106" s="985" t="str">
        <f t="shared" si="25"/>
        <v/>
      </c>
      <c r="AA106" s="706" t="str">
        <f>IF(X106="","",IF(I106=1,VLOOKUP(X106,男子種目コード!$J$2:$K$30,2,FALSE),IF(I106=2,VLOOKUP(X106,女子種目コード!$J$2:$K$28,2,FALSE))))</f>
        <v/>
      </c>
      <c r="AB106" s="956"/>
      <c r="AC106" s="972"/>
      <c r="AD106" s="358" t="str">
        <f>IF(AC106="","",IF(I106=1,VLOOKUP(AC106,男子種目コード!$J$2:$K$30,2,FALSE),IF(I106=2,VLOOKUP(AC106,女子種目コード!$J$2:$K$28,2,FALSE))))</f>
        <v/>
      </c>
      <c r="AE106" s="956"/>
      <c r="AF106" s="972"/>
      <c r="AG106" s="358" t="str">
        <f>IF(AF106="","",IF(I106=1,VLOOKUP(AF106,男子種目コード!$J$2:$K$30,2,FALSE),IF(I106=2,VLOOKUP(AF106,女子種目コード!$J$2:$K$28,2,FALSE))))</f>
        <v/>
      </c>
      <c r="AH106" s="957"/>
      <c r="AI106" s="20"/>
      <c r="AJ106" s="20"/>
      <c r="AK106" s="19"/>
      <c r="AL106" s="979"/>
      <c r="AM106" s="989" t="str">
        <f t="shared" si="26"/>
        <v/>
      </c>
      <c r="AN106" s="57" t="str">
        <f t="shared" si="27"/>
        <v/>
      </c>
      <c r="AO106" s="252"/>
      <c r="AP106" s="252"/>
      <c r="AQ106" s="252"/>
      <c r="AR106" s="256"/>
      <c r="AS106" s="256"/>
      <c r="AU106" s="22"/>
      <c r="AV106" s="22"/>
      <c r="AX106" s="370">
        <f t="shared" si="28"/>
        <v>0</v>
      </c>
      <c r="AY106" s="256"/>
      <c r="AZ106" s="256"/>
      <c r="BA106" s="256"/>
      <c r="BB106" s="256"/>
      <c r="BC106" s="19">
        <f t="shared" si="29"/>
        <v>0</v>
      </c>
      <c r="BD106" s="19" t="str">
        <f t="shared" si="30"/>
        <v/>
      </c>
      <c r="BE106" s="19" t="str">
        <f t="shared" si="31"/>
        <v/>
      </c>
    </row>
    <row r="107" spans="2:57">
      <c r="B107" s="358" t="str">
        <f>名簿!P104</f>
        <v/>
      </c>
      <c r="C107" s="966"/>
      <c r="D107" s="966"/>
      <c r="E107" s="1262">
        <f>名簿!E104</f>
        <v>0</v>
      </c>
      <c r="F107" s="700" t="str">
        <f>名簿!CM104</f>
        <v/>
      </c>
      <c r="G107" s="358" t="str">
        <f>名簿!Z104</f>
        <v/>
      </c>
      <c r="H107" s="358" t="str">
        <f>名簿!CM104</f>
        <v/>
      </c>
      <c r="I107" s="359" t="str">
        <f>名簿!Y104</f>
        <v/>
      </c>
      <c r="J107" s="359" t="str">
        <f>名簿!CN104</f>
        <v/>
      </c>
      <c r="K107" s="1044">
        <f>名簿!CP104</f>
        <v>0</v>
      </c>
      <c r="L107" s="1045" t="str">
        <f>名簿!CU104</f>
        <v>00</v>
      </c>
      <c r="M107" s="358" t="str">
        <f>名簿!Q104</f>
        <v/>
      </c>
      <c r="N107" s="1256">
        <f>名簿!D104</f>
        <v>0</v>
      </c>
      <c r="O107" s="363"/>
      <c r="P107" s="292" t="str">
        <f t="shared" si="20"/>
        <v/>
      </c>
      <c r="Q107" s="623" t="str">
        <f>IF(O107="","",HLOOKUP(O107,名簿!$AH$3:$CH$118,102,FALSE))</f>
        <v/>
      </c>
      <c r="R107" s="1143"/>
      <c r="S107" s="984" t="str">
        <f t="shared" si="21"/>
        <v/>
      </c>
      <c r="T107" s="985" t="str">
        <f t="shared" si="22"/>
        <v/>
      </c>
      <c r="U107" s="363"/>
      <c r="V107" s="292" t="str">
        <f t="shared" si="23"/>
        <v/>
      </c>
      <c r="W107" s="623" t="str">
        <f>IF(U107="","",HLOOKUP(U107,名簿!$AH$3:$CH$118,102,FALSE))</f>
        <v/>
      </c>
      <c r="X107" s="1145"/>
      <c r="Y107" s="984" t="str">
        <f t="shared" si="24"/>
        <v/>
      </c>
      <c r="Z107" s="985" t="str">
        <f t="shared" si="25"/>
        <v/>
      </c>
      <c r="AA107" s="706" t="str">
        <f>IF(X107="","",IF(I107=1,VLOOKUP(X107,男子種目コード!$J$2:$K$30,2,FALSE),IF(I107=2,VLOOKUP(X107,女子種目コード!$J$2:$K$28,2,FALSE))))</f>
        <v/>
      </c>
      <c r="AB107" s="956"/>
      <c r="AC107" s="972"/>
      <c r="AD107" s="358" t="str">
        <f>IF(AC107="","",IF(I107=1,VLOOKUP(AC107,男子種目コード!$J$2:$K$30,2,FALSE),IF(I107=2,VLOOKUP(AC107,女子種目コード!$J$2:$K$28,2,FALSE))))</f>
        <v/>
      </c>
      <c r="AE107" s="956"/>
      <c r="AF107" s="972"/>
      <c r="AG107" s="358" t="str">
        <f>IF(AF107="","",IF(I107=1,VLOOKUP(AF107,男子種目コード!$J$2:$K$30,2,FALSE),IF(I107=2,VLOOKUP(AF107,女子種目コード!$J$2:$K$28,2,FALSE))))</f>
        <v/>
      </c>
      <c r="AH107" s="957"/>
      <c r="AI107" s="20"/>
      <c r="AJ107" s="20"/>
      <c r="AK107" s="19"/>
      <c r="AL107" s="979"/>
      <c r="AM107" s="989" t="str">
        <f t="shared" si="26"/>
        <v/>
      </c>
      <c r="AN107" s="57" t="str">
        <f t="shared" si="27"/>
        <v/>
      </c>
      <c r="AO107" s="252"/>
      <c r="AP107" s="252"/>
      <c r="AQ107" s="252"/>
      <c r="AR107" s="256"/>
      <c r="AS107" s="256"/>
      <c r="AU107" s="22"/>
      <c r="AV107" s="22"/>
      <c r="AX107" s="370">
        <f t="shared" si="28"/>
        <v>0</v>
      </c>
      <c r="AY107" s="256"/>
      <c r="AZ107" s="256"/>
      <c r="BA107" s="256"/>
      <c r="BB107" s="256"/>
      <c r="BC107" s="19">
        <f t="shared" si="29"/>
        <v>0</v>
      </c>
      <c r="BD107" s="19" t="str">
        <f t="shared" si="30"/>
        <v/>
      </c>
      <c r="BE107" s="19" t="str">
        <f t="shared" si="31"/>
        <v/>
      </c>
    </row>
    <row r="108" spans="2:57">
      <c r="B108" s="358" t="str">
        <f>名簿!P105</f>
        <v/>
      </c>
      <c r="C108" s="966"/>
      <c r="D108" s="966"/>
      <c r="E108" s="1262">
        <f>名簿!E105</f>
        <v>0</v>
      </c>
      <c r="F108" s="700" t="str">
        <f>名簿!CM105</f>
        <v/>
      </c>
      <c r="G108" s="358" t="str">
        <f>名簿!Z105</f>
        <v/>
      </c>
      <c r="H108" s="358" t="str">
        <f>名簿!CM105</f>
        <v/>
      </c>
      <c r="I108" s="359" t="str">
        <f>名簿!Y105</f>
        <v/>
      </c>
      <c r="J108" s="359" t="str">
        <f>名簿!CN105</f>
        <v/>
      </c>
      <c r="K108" s="1044">
        <f>名簿!CP105</f>
        <v>0</v>
      </c>
      <c r="L108" s="1045" t="str">
        <f>名簿!CU105</f>
        <v>00</v>
      </c>
      <c r="M108" s="358" t="str">
        <f>名簿!Q105</f>
        <v/>
      </c>
      <c r="N108" s="1256">
        <f>名簿!D105</f>
        <v>0</v>
      </c>
      <c r="O108" s="363"/>
      <c r="P108" s="292" t="str">
        <f t="shared" si="20"/>
        <v/>
      </c>
      <c r="Q108" s="623" t="str">
        <f>IF(O108="","",HLOOKUP(O108,名簿!$AH$3:$CH$118,103,FALSE))</f>
        <v/>
      </c>
      <c r="R108" s="1143"/>
      <c r="S108" s="984" t="str">
        <f t="shared" si="21"/>
        <v/>
      </c>
      <c r="T108" s="985" t="str">
        <f t="shared" si="22"/>
        <v/>
      </c>
      <c r="U108" s="363"/>
      <c r="V108" s="292" t="str">
        <f t="shared" si="23"/>
        <v/>
      </c>
      <c r="W108" s="623" t="str">
        <f>IF(U108="","",HLOOKUP(U108,名簿!$AH$3:$CH$118,103,FALSE))</f>
        <v/>
      </c>
      <c r="X108" s="1145"/>
      <c r="Y108" s="984" t="str">
        <f t="shared" si="24"/>
        <v/>
      </c>
      <c r="Z108" s="985" t="str">
        <f t="shared" si="25"/>
        <v/>
      </c>
      <c r="AA108" s="706"/>
      <c r="AB108" s="956"/>
      <c r="AC108" s="972"/>
      <c r="AD108" s="358"/>
      <c r="AE108" s="956"/>
      <c r="AF108" s="972"/>
      <c r="AG108" s="358"/>
      <c r="AH108" s="957"/>
      <c r="AI108" s="20"/>
      <c r="AJ108" s="20"/>
      <c r="AK108" s="19"/>
      <c r="AL108" s="979"/>
      <c r="AM108" s="989" t="str">
        <f t="shared" si="26"/>
        <v/>
      </c>
      <c r="AN108" s="57" t="str">
        <f t="shared" si="27"/>
        <v/>
      </c>
      <c r="AO108" s="252"/>
      <c r="AP108" s="252"/>
      <c r="AQ108" s="252"/>
      <c r="AR108" s="256"/>
      <c r="AS108" s="256"/>
      <c r="AU108" s="22"/>
      <c r="AV108" s="22"/>
      <c r="AX108" s="370">
        <f t="shared" si="28"/>
        <v>0</v>
      </c>
      <c r="AY108" s="256"/>
      <c r="AZ108" s="256"/>
      <c r="BA108" s="256"/>
      <c r="BB108" s="256"/>
      <c r="BC108" s="19">
        <f t="shared" si="29"/>
        <v>0</v>
      </c>
      <c r="BD108" s="19" t="str">
        <f t="shared" si="30"/>
        <v/>
      </c>
      <c r="BE108" s="19" t="str">
        <f t="shared" si="31"/>
        <v/>
      </c>
    </row>
    <row r="109" spans="2:57">
      <c r="B109" s="358" t="str">
        <f>名簿!P106</f>
        <v/>
      </c>
      <c r="C109" s="966"/>
      <c r="D109" s="966"/>
      <c r="E109" s="1262">
        <f>名簿!E106</f>
        <v>0</v>
      </c>
      <c r="F109" s="700" t="str">
        <f>名簿!CM106</f>
        <v/>
      </c>
      <c r="G109" s="358" t="str">
        <f>名簿!Z106</f>
        <v/>
      </c>
      <c r="H109" s="358" t="str">
        <f>名簿!CM106</f>
        <v/>
      </c>
      <c r="I109" s="359" t="str">
        <f>名簿!Y106</f>
        <v/>
      </c>
      <c r="J109" s="359" t="str">
        <f>名簿!CN106</f>
        <v/>
      </c>
      <c r="K109" s="1044">
        <f>名簿!CP106</f>
        <v>0</v>
      </c>
      <c r="L109" s="1045" t="str">
        <f>名簿!CU106</f>
        <v>00</v>
      </c>
      <c r="M109" s="358" t="str">
        <f>名簿!Q106</f>
        <v/>
      </c>
      <c r="N109" s="1256">
        <f>名簿!D106</f>
        <v>0</v>
      </c>
      <c r="O109" s="363"/>
      <c r="P109" s="292" t="str">
        <f t="shared" si="20"/>
        <v/>
      </c>
      <c r="Q109" s="623" t="str">
        <f>IF(O109="","",HLOOKUP(O109,名簿!$AH$3:$CH$118,104,FALSE))</f>
        <v/>
      </c>
      <c r="R109" s="1143"/>
      <c r="S109" s="984" t="str">
        <f t="shared" si="21"/>
        <v/>
      </c>
      <c r="T109" s="985" t="str">
        <f t="shared" si="22"/>
        <v/>
      </c>
      <c r="U109" s="363"/>
      <c r="V109" s="292" t="str">
        <f t="shared" si="23"/>
        <v/>
      </c>
      <c r="W109" s="623" t="str">
        <f>IF(U109="","",HLOOKUP(U109,名簿!$AH$3:$CH$118,104,FALSE))</f>
        <v/>
      </c>
      <c r="X109" s="1145"/>
      <c r="Y109" s="984" t="str">
        <f t="shared" si="24"/>
        <v/>
      </c>
      <c r="Z109" s="985" t="str">
        <f t="shared" si="25"/>
        <v/>
      </c>
      <c r="AA109" s="706"/>
      <c r="AB109" s="956"/>
      <c r="AC109" s="972"/>
      <c r="AD109" s="358"/>
      <c r="AE109" s="956"/>
      <c r="AF109" s="972"/>
      <c r="AG109" s="358"/>
      <c r="AH109" s="957"/>
      <c r="AI109" s="20"/>
      <c r="AJ109" s="20"/>
      <c r="AK109" s="19"/>
      <c r="AL109" s="979"/>
      <c r="AM109" s="989" t="str">
        <f t="shared" si="26"/>
        <v/>
      </c>
      <c r="AN109" s="57" t="str">
        <f t="shared" si="27"/>
        <v/>
      </c>
      <c r="AO109" s="252"/>
      <c r="AP109" s="252"/>
      <c r="AQ109" s="252"/>
      <c r="AR109" s="256"/>
      <c r="AS109" s="256"/>
      <c r="AU109" s="22"/>
      <c r="AV109" s="22"/>
      <c r="AX109" s="370">
        <f t="shared" si="28"/>
        <v>0</v>
      </c>
      <c r="AY109" s="256"/>
      <c r="AZ109" s="256"/>
      <c r="BA109" s="256"/>
      <c r="BB109" s="256"/>
      <c r="BC109" s="19">
        <f t="shared" si="29"/>
        <v>0</v>
      </c>
      <c r="BD109" s="19" t="str">
        <f t="shared" si="30"/>
        <v/>
      </c>
      <c r="BE109" s="19" t="str">
        <f t="shared" si="31"/>
        <v/>
      </c>
    </row>
    <row r="110" spans="2:57">
      <c r="B110" s="358" t="str">
        <f>名簿!P107</f>
        <v/>
      </c>
      <c r="C110" s="966"/>
      <c r="D110" s="966"/>
      <c r="E110" s="1262">
        <f>名簿!E107</f>
        <v>0</v>
      </c>
      <c r="F110" s="700" t="str">
        <f>名簿!CM107</f>
        <v/>
      </c>
      <c r="G110" s="358" t="str">
        <f>名簿!Z107</f>
        <v/>
      </c>
      <c r="H110" s="358" t="str">
        <f>名簿!CM107</f>
        <v/>
      </c>
      <c r="I110" s="359" t="str">
        <f>名簿!Y107</f>
        <v/>
      </c>
      <c r="J110" s="359" t="str">
        <f>名簿!CN107</f>
        <v/>
      </c>
      <c r="K110" s="1044">
        <f>名簿!CP107</f>
        <v>0</v>
      </c>
      <c r="L110" s="1045" t="str">
        <f>名簿!CU107</f>
        <v>00</v>
      </c>
      <c r="M110" s="358" t="str">
        <f>名簿!Q107</f>
        <v/>
      </c>
      <c r="N110" s="1256">
        <f>名簿!D107</f>
        <v>0</v>
      </c>
      <c r="O110" s="363"/>
      <c r="P110" s="292" t="str">
        <f t="shared" si="20"/>
        <v/>
      </c>
      <c r="Q110" s="623" t="str">
        <f>IF(O110="","",HLOOKUP(O110,名簿!$AH$3:$CH$118,105,FALSE))</f>
        <v/>
      </c>
      <c r="R110" s="1143"/>
      <c r="S110" s="984" t="str">
        <f t="shared" si="21"/>
        <v/>
      </c>
      <c r="T110" s="985" t="str">
        <f t="shared" si="22"/>
        <v/>
      </c>
      <c r="U110" s="363"/>
      <c r="V110" s="292" t="str">
        <f t="shared" si="23"/>
        <v/>
      </c>
      <c r="W110" s="623" t="str">
        <f>IF(U110="","",HLOOKUP(U110,名簿!$AH$3:$CH$118,105,FALSE))</f>
        <v/>
      </c>
      <c r="X110" s="1145"/>
      <c r="Y110" s="984" t="str">
        <f t="shared" si="24"/>
        <v/>
      </c>
      <c r="Z110" s="985" t="str">
        <f t="shared" si="25"/>
        <v/>
      </c>
      <c r="AA110" s="706"/>
      <c r="AB110" s="956"/>
      <c r="AC110" s="972"/>
      <c r="AD110" s="358"/>
      <c r="AE110" s="956"/>
      <c r="AF110" s="972"/>
      <c r="AG110" s="358"/>
      <c r="AH110" s="957"/>
      <c r="AI110" s="20"/>
      <c r="AJ110" s="20"/>
      <c r="AK110" s="19"/>
      <c r="AL110" s="979"/>
      <c r="AM110" s="989" t="str">
        <f t="shared" si="26"/>
        <v/>
      </c>
      <c r="AN110" s="57" t="str">
        <f t="shared" si="27"/>
        <v/>
      </c>
      <c r="AO110" s="252"/>
      <c r="AP110" s="252"/>
      <c r="AQ110" s="252"/>
      <c r="AR110" s="256"/>
      <c r="AS110" s="256"/>
      <c r="AU110" s="22"/>
      <c r="AV110" s="22"/>
      <c r="AX110" s="370">
        <f t="shared" si="28"/>
        <v>0</v>
      </c>
      <c r="AY110" s="256"/>
      <c r="AZ110" s="256"/>
      <c r="BA110" s="256"/>
      <c r="BB110" s="256"/>
      <c r="BC110" s="19">
        <f t="shared" si="29"/>
        <v>0</v>
      </c>
      <c r="BD110" s="19" t="str">
        <f t="shared" si="30"/>
        <v/>
      </c>
      <c r="BE110" s="19" t="str">
        <f t="shared" si="31"/>
        <v/>
      </c>
    </row>
    <row r="111" spans="2:57">
      <c r="B111" s="358" t="str">
        <f>名簿!P108</f>
        <v/>
      </c>
      <c r="C111" s="966"/>
      <c r="D111" s="966"/>
      <c r="E111" s="1262">
        <f>名簿!E108</f>
        <v>0</v>
      </c>
      <c r="F111" s="700" t="str">
        <f>名簿!CM108</f>
        <v/>
      </c>
      <c r="G111" s="358" t="str">
        <f>名簿!Z108</f>
        <v/>
      </c>
      <c r="H111" s="358" t="str">
        <f>名簿!CM108</f>
        <v/>
      </c>
      <c r="I111" s="359" t="str">
        <f>名簿!Y108</f>
        <v/>
      </c>
      <c r="J111" s="359" t="str">
        <f>名簿!CN108</f>
        <v/>
      </c>
      <c r="K111" s="1044">
        <f>名簿!CP108</f>
        <v>0</v>
      </c>
      <c r="L111" s="1045" t="str">
        <f>名簿!CU108</f>
        <v>00</v>
      </c>
      <c r="M111" s="358" t="str">
        <f>名簿!Q108</f>
        <v/>
      </c>
      <c r="N111" s="1256">
        <f>名簿!D108</f>
        <v>0</v>
      </c>
      <c r="O111" s="363"/>
      <c r="P111" s="292" t="str">
        <f t="shared" si="20"/>
        <v/>
      </c>
      <c r="Q111" s="623" t="str">
        <f>IF(O111="","",HLOOKUP(O111,名簿!$AH$3:$CH$118,106,FALSE))</f>
        <v/>
      </c>
      <c r="R111" s="1143"/>
      <c r="S111" s="984" t="str">
        <f t="shared" si="21"/>
        <v/>
      </c>
      <c r="T111" s="985" t="str">
        <f t="shared" si="22"/>
        <v/>
      </c>
      <c r="U111" s="363"/>
      <c r="V111" s="292" t="str">
        <f t="shared" si="23"/>
        <v/>
      </c>
      <c r="W111" s="623" t="str">
        <f>IF(U111="","",HLOOKUP(U111,名簿!$AH$3:$CH$118,106,FALSE))</f>
        <v/>
      </c>
      <c r="X111" s="1145"/>
      <c r="Y111" s="984" t="str">
        <f t="shared" si="24"/>
        <v/>
      </c>
      <c r="Z111" s="985" t="str">
        <f t="shared" si="25"/>
        <v/>
      </c>
      <c r="AA111" s="706"/>
      <c r="AB111" s="956"/>
      <c r="AC111" s="972"/>
      <c r="AD111" s="358"/>
      <c r="AE111" s="956"/>
      <c r="AF111" s="972"/>
      <c r="AG111" s="358"/>
      <c r="AH111" s="957"/>
      <c r="AI111" s="20"/>
      <c r="AJ111" s="20"/>
      <c r="AK111" s="19"/>
      <c r="AL111" s="979"/>
      <c r="AM111" s="989" t="str">
        <f t="shared" si="26"/>
        <v/>
      </c>
      <c r="AN111" s="57" t="str">
        <f t="shared" si="27"/>
        <v/>
      </c>
      <c r="AO111" s="252"/>
      <c r="AP111" s="252"/>
      <c r="AQ111" s="252"/>
      <c r="AR111" s="256"/>
      <c r="AS111" s="256"/>
      <c r="AU111" s="22"/>
      <c r="AV111" s="22"/>
      <c r="AX111" s="370">
        <f t="shared" si="28"/>
        <v>0</v>
      </c>
      <c r="AY111" s="256"/>
      <c r="AZ111" s="256"/>
      <c r="BA111" s="256"/>
      <c r="BB111" s="256"/>
      <c r="BC111" s="19">
        <f t="shared" si="29"/>
        <v>0</v>
      </c>
      <c r="BD111" s="19" t="str">
        <f t="shared" si="30"/>
        <v/>
      </c>
      <c r="BE111" s="19" t="str">
        <f t="shared" si="31"/>
        <v/>
      </c>
    </row>
    <row r="112" spans="2:57">
      <c r="B112" s="358" t="str">
        <f>名簿!P109</f>
        <v/>
      </c>
      <c r="C112" s="966"/>
      <c r="D112" s="966"/>
      <c r="E112" s="1262">
        <f>名簿!E109</f>
        <v>0</v>
      </c>
      <c r="F112" s="700" t="str">
        <f>名簿!CM109</f>
        <v/>
      </c>
      <c r="G112" s="358" t="str">
        <f>名簿!Z109</f>
        <v/>
      </c>
      <c r="H112" s="358" t="str">
        <f>名簿!CM109</f>
        <v/>
      </c>
      <c r="I112" s="359" t="str">
        <f>名簿!Y109</f>
        <v/>
      </c>
      <c r="J112" s="359" t="str">
        <f>名簿!CN109</f>
        <v/>
      </c>
      <c r="K112" s="1044">
        <f>名簿!CP109</f>
        <v>0</v>
      </c>
      <c r="L112" s="1045" t="str">
        <f>名簿!CU109</f>
        <v>00</v>
      </c>
      <c r="M112" s="358" t="str">
        <f>名簿!Q109</f>
        <v/>
      </c>
      <c r="N112" s="1256">
        <f>名簿!D109</f>
        <v>0</v>
      </c>
      <c r="O112" s="363"/>
      <c r="P112" s="292" t="str">
        <f t="shared" si="20"/>
        <v/>
      </c>
      <c r="Q112" s="623" t="str">
        <f>IF(O112="","",HLOOKUP(O112,名簿!$AH$3:$CH$118,107,FALSE))</f>
        <v/>
      </c>
      <c r="R112" s="1143"/>
      <c r="S112" s="984" t="str">
        <f t="shared" si="21"/>
        <v/>
      </c>
      <c r="T112" s="985" t="str">
        <f t="shared" si="22"/>
        <v/>
      </c>
      <c r="U112" s="363"/>
      <c r="V112" s="292" t="str">
        <f t="shared" si="23"/>
        <v/>
      </c>
      <c r="W112" s="623" t="str">
        <f>IF(U112="","",HLOOKUP(U112,名簿!$AH$3:$CH$118,107,FALSE))</f>
        <v/>
      </c>
      <c r="X112" s="1145"/>
      <c r="Y112" s="984" t="str">
        <f t="shared" si="24"/>
        <v/>
      </c>
      <c r="Z112" s="985" t="str">
        <f t="shared" si="25"/>
        <v/>
      </c>
      <c r="AA112" s="706"/>
      <c r="AB112" s="956"/>
      <c r="AC112" s="972"/>
      <c r="AD112" s="358"/>
      <c r="AE112" s="956"/>
      <c r="AF112" s="972"/>
      <c r="AG112" s="358"/>
      <c r="AH112" s="957"/>
      <c r="AI112" s="20"/>
      <c r="AJ112" s="20"/>
      <c r="AK112" s="19"/>
      <c r="AL112" s="979"/>
      <c r="AM112" s="989" t="str">
        <f t="shared" si="26"/>
        <v/>
      </c>
      <c r="AN112" s="57" t="str">
        <f t="shared" si="27"/>
        <v/>
      </c>
      <c r="AO112" s="252"/>
      <c r="AP112" s="252"/>
      <c r="AQ112" s="252"/>
      <c r="AR112" s="256"/>
      <c r="AS112" s="256"/>
      <c r="AU112" s="22"/>
      <c r="AV112" s="22"/>
      <c r="AX112" s="370">
        <f t="shared" si="28"/>
        <v>0</v>
      </c>
      <c r="AY112" s="256"/>
      <c r="AZ112" s="256"/>
      <c r="BA112" s="256"/>
      <c r="BB112" s="256"/>
      <c r="BC112" s="19">
        <f t="shared" si="29"/>
        <v>0</v>
      </c>
      <c r="BD112" s="19" t="str">
        <f t="shared" si="30"/>
        <v/>
      </c>
      <c r="BE112" s="19" t="str">
        <f t="shared" si="31"/>
        <v/>
      </c>
    </row>
    <row r="113" spans="2:57">
      <c r="B113" s="358" t="str">
        <f>名簿!P110</f>
        <v/>
      </c>
      <c r="C113" s="966"/>
      <c r="D113" s="966"/>
      <c r="E113" s="1262">
        <f>名簿!E110</f>
        <v>0</v>
      </c>
      <c r="F113" s="700" t="str">
        <f>名簿!CM110</f>
        <v/>
      </c>
      <c r="G113" s="358" t="str">
        <f>名簿!Z110</f>
        <v/>
      </c>
      <c r="H113" s="358" t="str">
        <f>名簿!CM110</f>
        <v/>
      </c>
      <c r="I113" s="359" t="str">
        <f>名簿!Y110</f>
        <v/>
      </c>
      <c r="J113" s="359" t="str">
        <f>名簿!CN110</f>
        <v/>
      </c>
      <c r="K113" s="1044">
        <f>名簿!CP110</f>
        <v>0</v>
      </c>
      <c r="L113" s="1045" t="str">
        <f>名簿!CU110</f>
        <v>00</v>
      </c>
      <c r="M113" s="358" t="str">
        <f>名簿!Q110</f>
        <v/>
      </c>
      <c r="N113" s="1256">
        <f>名簿!D110</f>
        <v>0</v>
      </c>
      <c r="O113" s="363"/>
      <c r="P113" s="292" t="str">
        <f t="shared" si="20"/>
        <v/>
      </c>
      <c r="Q113" s="623" t="str">
        <f>IF(O113="","",HLOOKUP(O113,名簿!$AH$3:$CH$118,108,FALSE))</f>
        <v/>
      </c>
      <c r="R113" s="1143"/>
      <c r="S113" s="984" t="str">
        <f t="shared" si="21"/>
        <v/>
      </c>
      <c r="T113" s="985" t="str">
        <f t="shared" si="22"/>
        <v/>
      </c>
      <c r="U113" s="363"/>
      <c r="V113" s="292" t="str">
        <f t="shared" si="23"/>
        <v/>
      </c>
      <c r="W113" s="623" t="str">
        <f>IF(U113="","",HLOOKUP(U113,名簿!$AH$3:$CH$118,108,FALSE))</f>
        <v/>
      </c>
      <c r="X113" s="1145"/>
      <c r="Y113" s="984" t="str">
        <f t="shared" si="24"/>
        <v/>
      </c>
      <c r="Z113" s="985" t="str">
        <f t="shared" si="25"/>
        <v/>
      </c>
      <c r="AA113" s="706"/>
      <c r="AB113" s="956"/>
      <c r="AC113" s="972"/>
      <c r="AD113" s="358"/>
      <c r="AE113" s="956"/>
      <c r="AF113" s="972"/>
      <c r="AG113" s="358"/>
      <c r="AH113" s="957"/>
      <c r="AI113" s="20"/>
      <c r="AJ113" s="20"/>
      <c r="AK113" s="19"/>
      <c r="AL113" s="979"/>
      <c r="AM113" s="989" t="str">
        <f t="shared" si="26"/>
        <v/>
      </c>
      <c r="AN113" s="57" t="str">
        <f t="shared" si="27"/>
        <v/>
      </c>
      <c r="AO113" s="252"/>
      <c r="AP113" s="252"/>
      <c r="AQ113" s="252"/>
      <c r="AR113" s="256"/>
      <c r="AS113" s="256"/>
      <c r="AU113" s="22"/>
      <c r="AV113" s="22"/>
      <c r="AX113" s="370">
        <f t="shared" si="28"/>
        <v>0</v>
      </c>
      <c r="AY113" s="256"/>
      <c r="AZ113" s="256"/>
      <c r="BA113" s="256"/>
      <c r="BB113" s="256"/>
      <c r="BC113" s="19">
        <f t="shared" si="29"/>
        <v>0</v>
      </c>
      <c r="BD113" s="19" t="str">
        <f t="shared" si="30"/>
        <v/>
      </c>
      <c r="BE113" s="19" t="str">
        <f t="shared" si="31"/>
        <v/>
      </c>
    </row>
    <row r="114" spans="2:57">
      <c r="B114" s="358" t="str">
        <f>名簿!P111</f>
        <v/>
      </c>
      <c r="C114" s="966"/>
      <c r="D114" s="966"/>
      <c r="E114" s="1262">
        <f>名簿!E111</f>
        <v>0</v>
      </c>
      <c r="F114" s="700" t="str">
        <f>名簿!CM111</f>
        <v/>
      </c>
      <c r="G114" s="358" t="str">
        <f>名簿!Z111</f>
        <v/>
      </c>
      <c r="H114" s="358" t="str">
        <f>名簿!CM111</f>
        <v/>
      </c>
      <c r="I114" s="359" t="str">
        <f>名簿!Y111</f>
        <v/>
      </c>
      <c r="J114" s="359" t="str">
        <f>名簿!CN111</f>
        <v/>
      </c>
      <c r="K114" s="1044">
        <f>名簿!CP111</f>
        <v>0</v>
      </c>
      <c r="L114" s="1045" t="str">
        <f>名簿!CU111</f>
        <v>00</v>
      </c>
      <c r="M114" s="358" t="str">
        <f>名簿!Q111</f>
        <v/>
      </c>
      <c r="N114" s="1256">
        <f>名簿!D111</f>
        <v>0</v>
      </c>
      <c r="O114" s="363"/>
      <c r="P114" s="292" t="str">
        <f t="shared" si="20"/>
        <v/>
      </c>
      <c r="Q114" s="623" t="str">
        <f>IF(O114="","",HLOOKUP(O114,名簿!$AH$3:$CH$118,109,FALSE))</f>
        <v/>
      </c>
      <c r="R114" s="1143"/>
      <c r="S114" s="984" t="str">
        <f t="shared" si="21"/>
        <v/>
      </c>
      <c r="T114" s="985" t="str">
        <f t="shared" si="22"/>
        <v/>
      </c>
      <c r="U114" s="363"/>
      <c r="V114" s="292" t="str">
        <f t="shared" si="23"/>
        <v/>
      </c>
      <c r="W114" s="623" t="str">
        <f>IF(U114="","",HLOOKUP(U114,名簿!$AH$3:$CH$118,109,FALSE))</f>
        <v/>
      </c>
      <c r="X114" s="1145"/>
      <c r="Y114" s="984" t="str">
        <f t="shared" si="24"/>
        <v/>
      </c>
      <c r="Z114" s="985" t="str">
        <f t="shared" si="25"/>
        <v/>
      </c>
      <c r="AA114" s="706"/>
      <c r="AB114" s="956"/>
      <c r="AC114" s="972"/>
      <c r="AD114" s="358"/>
      <c r="AE114" s="956"/>
      <c r="AF114" s="972"/>
      <c r="AG114" s="358"/>
      <c r="AH114" s="957"/>
      <c r="AI114" s="20"/>
      <c r="AJ114" s="20"/>
      <c r="AK114" s="19"/>
      <c r="AL114" s="979"/>
      <c r="AM114" s="989" t="str">
        <f t="shared" si="26"/>
        <v/>
      </c>
      <c r="AN114" s="57" t="str">
        <f t="shared" si="27"/>
        <v/>
      </c>
      <c r="AO114" s="252"/>
      <c r="AP114" s="252"/>
      <c r="AQ114" s="252"/>
      <c r="AR114" s="256"/>
      <c r="AS114" s="256"/>
      <c r="AU114" s="22"/>
      <c r="AV114" s="22"/>
      <c r="AX114" s="370">
        <f t="shared" si="28"/>
        <v>0</v>
      </c>
      <c r="AY114" s="256"/>
      <c r="AZ114" s="256"/>
      <c r="BA114" s="256"/>
      <c r="BB114" s="256"/>
      <c r="BC114" s="19">
        <f t="shared" si="29"/>
        <v>0</v>
      </c>
      <c r="BD114" s="19" t="str">
        <f t="shared" si="30"/>
        <v/>
      </c>
      <c r="BE114" s="19" t="str">
        <f t="shared" si="31"/>
        <v/>
      </c>
    </row>
    <row r="115" spans="2:57">
      <c r="B115" s="358" t="str">
        <f>名簿!P112</f>
        <v/>
      </c>
      <c r="C115" s="966"/>
      <c r="D115" s="966"/>
      <c r="E115" s="1262">
        <f>名簿!E112</f>
        <v>0</v>
      </c>
      <c r="F115" s="700" t="str">
        <f>名簿!CM112</f>
        <v/>
      </c>
      <c r="G115" s="358" t="str">
        <f>名簿!Z112</f>
        <v/>
      </c>
      <c r="H115" s="358" t="str">
        <f>名簿!CM112</f>
        <v/>
      </c>
      <c r="I115" s="359" t="str">
        <f>名簿!Y112</f>
        <v/>
      </c>
      <c r="J115" s="359" t="str">
        <f>名簿!CN112</f>
        <v/>
      </c>
      <c r="K115" s="1044">
        <f>名簿!CP112</f>
        <v>0</v>
      </c>
      <c r="L115" s="1045" t="str">
        <f>名簿!CU112</f>
        <v>00</v>
      </c>
      <c r="M115" s="358" t="str">
        <f>名簿!Q112</f>
        <v/>
      </c>
      <c r="N115" s="1256">
        <f>名簿!D112</f>
        <v>0</v>
      </c>
      <c r="O115" s="363"/>
      <c r="P115" s="292" t="str">
        <f t="shared" si="20"/>
        <v/>
      </c>
      <c r="Q115" s="623" t="str">
        <f>IF(O115="","",HLOOKUP(O115,名簿!$AH$3:$CH$118,110,FALSE))</f>
        <v/>
      </c>
      <c r="R115" s="1143"/>
      <c r="S115" s="984" t="str">
        <f t="shared" si="21"/>
        <v/>
      </c>
      <c r="T115" s="985" t="str">
        <f t="shared" si="22"/>
        <v/>
      </c>
      <c r="U115" s="363"/>
      <c r="V115" s="292" t="str">
        <f t="shared" si="23"/>
        <v/>
      </c>
      <c r="W115" s="623" t="str">
        <f>IF(U115="","",HLOOKUP(U115,名簿!$AH$3:$CH$118,110,FALSE))</f>
        <v/>
      </c>
      <c r="X115" s="1145"/>
      <c r="Y115" s="984" t="str">
        <f t="shared" si="24"/>
        <v/>
      </c>
      <c r="Z115" s="985" t="str">
        <f t="shared" si="25"/>
        <v/>
      </c>
      <c r="AA115" s="706"/>
      <c r="AB115" s="956"/>
      <c r="AC115" s="972"/>
      <c r="AD115" s="358"/>
      <c r="AE115" s="956"/>
      <c r="AF115" s="972"/>
      <c r="AG115" s="358"/>
      <c r="AH115" s="957"/>
      <c r="AI115" s="20"/>
      <c r="AJ115" s="20"/>
      <c r="AK115" s="19"/>
      <c r="AL115" s="979"/>
      <c r="AM115" s="989" t="str">
        <f t="shared" si="26"/>
        <v/>
      </c>
      <c r="AN115" s="57" t="str">
        <f t="shared" si="27"/>
        <v/>
      </c>
      <c r="AO115" s="993"/>
      <c r="AP115" s="993"/>
      <c r="AQ115" s="252"/>
      <c r="AR115" s="256"/>
      <c r="AS115" s="256"/>
      <c r="AU115" s="22"/>
      <c r="AV115" s="22"/>
      <c r="AX115" s="370">
        <f t="shared" si="28"/>
        <v>0</v>
      </c>
      <c r="AY115" s="256"/>
      <c r="AZ115" s="256"/>
      <c r="BA115" s="256"/>
      <c r="BB115" s="256"/>
      <c r="BC115" s="19">
        <f t="shared" si="29"/>
        <v>0</v>
      </c>
      <c r="BD115" s="19" t="str">
        <f t="shared" si="30"/>
        <v/>
      </c>
      <c r="BE115" s="19" t="str">
        <f t="shared" si="31"/>
        <v/>
      </c>
    </row>
    <row r="116" spans="2:57" ht="14.25" thickBot="1">
      <c r="B116" s="360" t="str">
        <f>名簿!P113</f>
        <v/>
      </c>
      <c r="C116" s="967"/>
      <c r="D116" s="967"/>
      <c r="E116" s="1263">
        <f>名簿!E113</f>
        <v>0</v>
      </c>
      <c r="F116" s="701" t="str">
        <f>名簿!CM113</f>
        <v/>
      </c>
      <c r="G116" s="360" t="str">
        <f>名簿!Z113</f>
        <v/>
      </c>
      <c r="H116" s="360" t="str">
        <f>名簿!CM113</f>
        <v/>
      </c>
      <c r="I116" s="361" t="str">
        <f>名簿!Y113</f>
        <v/>
      </c>
      <c r="J116" s="361" t="str">
        <f>名簿!CN113</f>
        <v/>
      </c>
      <c r="K116" s="1046">
        <f>名簿!CP113</f>
        <v>0</v>
      </c>
      <c r="L116" s="1047" t="str">
        <f>名簿!CU113</f>
        <v>00</v>
      </c>
      <c r="M116" s="360" t="str">
        <f>名簿!Q113</f>
        <v/>
      </c>
      <c r="N116" s="1264">
        <f>名簿!D113</f>
        <v>0</v>
      </c>
      <c r="O116" s="364"/>
      <c r="P116" s="295" t="str">
        <f t="shared" si="20"/>
        <v/>
      </c>
      <c r="Q116" s="624" t="str">
        <f>IF(O116="","",HLOOKUP(O116,名簿!$AH$3:$CH$118,111,FALSE))</f>
        <v/>
      </c>
      <c r="R116" s="1144"/>
      <c r="S116" s="986" t="str">
        <f t="shared" si="21"/>
        <v/>
      </c>
      <c r="T116" s="987" t="str">
        <f t="shared" si="22"/>
        <v/>
      </c>
      <c r="U116" s="364"/>
      <c r="V116" s="295" t="str">
        <f t="shared" si="23"/>
        <v/>
      </c>
      <c r="W116" s="624" t="str">
        <f>IF(U116="","",HLOOKUP(U116,名簿!$AH$3:$CH$118,111,FALSE))</f>
        <v/>
      </c>
      <c r="X116" s="1146"/>
      <c r="Y116" s="986" t="str">
        <f t="shared" si="24"/>
        <v/>
      </c>
      <c r="Z116" s="987" t="str">
        <f t="shared" si="25"/>
        <v/>
      </c>
      <c r="AA116" s="706"/>
      <c r="AB116" s="956"/>
      <c r="AC116" s="972"/>
      <c r="AD116" s="358"/>
      <c r="AE116" s="956"/>
      <c r="AF116" s="972"/>
      <c r="AG116" s="358"/>
      <c r="AH116" s="957"/>
      <c r="AI116" s="20"/>
      <c r="AJ116" s="20"/>
      <c r="AK116" s="19"/>
      <c r="AL116" s="979"/>
      <c r="AM116" s="989" t="str">
        <f t="shared" si="26"/>
        <v/>
      </c>
      <c r="AN116" s="57" t="str">
        <f t="shared" si="27"/>
        <v/>
      </c>
      <c r="AO116" s="993"/>
      <c r="AP116" s="993"/>
      <c r="AQ116" s="252"/>
      <c r="AR116" s="256"/>
      <c r="AS116" s="256"/>
      <c r="AU116" s="22"/>
      <c r="AV116" s="22"/>
      <c r="AX116" s="370">
        <f t="shared" si="28"/>
        <v>0</v>
      </c>
      <c r="AY116" s="256"/>
      <c r="AZ116" s="256"/>
      <c r="BA116" s="256"/>
      <c r="BB116" s="256"/>
      <c r="BC116" s="19">
        <f t="shared" si="29"/>
        <v>0</v>
      </c>
      <c r="BD116" s="19" t="str">
        <f t="shared" si="30"/>
        <v/>
      </c>
      <c r="BE116" s="19" t="str">
        <f t="shared" si="31"/>
        <v/>
      </c>
    </row>
    <row r="117" spans="2:57" s="57" customFormat="1">
      <c r="B117" s="252"/>
      <c r="C117" s="252"/>
      <c r="D117" s="252"/>
      <c r="E117" s="252"/>
      <c r="F117" s="252"/>
      <c r="G117" s="253"/>
      <c r="H117" s="252"/>
      <c r="I117" s="252"/>
      <c r="J117" s="254"/>
      <c r="K117" s="254"/>
      <c r="L117" s="252"/>
      <c r="M117" s="973"/>
      <c r="N117" s="763"/>
      <c r="O117" s="974"/>
      <c r="P117" s="974"/>
      <c r="Q117" s="973"/>
      <c r="R117" s="763"/>
      <c r="S117" s="975"/>
      <c r="T117" s="707"/>
      <c r="U117" s="252"/>
      <c r="V117" s="980"/>
      <c r="W117" s="978"/>
      <c r="X117" s="252"/>
      <c r="Y117" s="977"/>
      <c r="Z117" s="978"/>
      <c r="AA117" s="976"/>
      <c r="AB117" s="977"/>
      <c r="AC117" s="254"/>
      <c r="AD117" s="254"/>
      <c r="AE117" s="252"/>
      <c r="AF117" s="993"/>
      <c r="AG117" s="994">
        <f>SUM(AM7:AM116)</f>
        <v>0</v>
      </c>
      <c r="AH117" s="252">
        <f>SUM(AN7:AN116)</f>
        <v>0</v>
      </c>
      <c r="AI117" s="252"/>
      <c r="AJ117" s="252"/>
      <c r="AK117" s="252"/>
      <c r="AL117" s="252"/>
      <c r="AM117" s="252"/>
      <c r="AN117" s="252"/>
      <c r="AO117" s="993"/>
      <c r="AP117" s="993"/>
      <c r="AQ117" s="252"/>
      <c r="AR117" s="256"/>
      <c r="AS117" s="256"/>
      <c r="AT117" s="252"/>
      <c r="AU117" s="22"/>
      <c r="AV117" s="22"/>
      <c r="AW117" s="252"/>
      <c r="AX117" s="252"/>
      <c r="AY117" s="252"/>
      <c r="AZ117" s="252"/>
      <c r="BA117" s="252"/>
      <c r="BB117" s="252"/>
    </row>
    <row r="118" spans="2:57" s="57" customFormat="1">
      <c r="B118" s="252"/>
      <c r="C118" s="252"/>
      <c r="D118" s="252"/>
      <c r="E118" s="252"/>
      <c r="F118" s="252"/>
      <c r="G118" s="253"/>
      <c r="H118" s="252"/>
      <c r="I118" s="252"/>
      <c r="J118" s="254"/>
      <c r="K118" s="254"/>
      <c r="L118" s="252"/>
      <c r="M118" s="973"/>
      <c r="N118" s="763"/>
      <c r="O118" s="974"/>
      <c r="P118" s="974"/>
      <c r="Q118" s="973"/>
      <c r="R118" s="763"/>
      <c r="S118" s="975"/>
      <c r="T118" s="707"/>
      <c r="U118" s="252"/>
      <c r="V118" s="980"/>
      <c r="W118" s="707"/>
      <c r="X118" s="252"/>
      <c r="Y118" s="980"/>
      <c r="Z118" s="707"/>
      <c r="AA118" s="252"/>
      <c r="AB118" s="980"/>
      <c r="AC118" s="254"/>
      <c r="AD118" s="254"/>
      <c r="AE118" s="252"/>
      <c r="AF118" s="993"/>
      <c r="AG118" s="994">
        <f>SUM(AG117:AH117)</f>
        <v>0</v>
      </c>
      <c r="AH118" s="252"/>
      <c r="AI118" s="252"/>
      <c r="AJ118" s="252"/>
      <c r="AK118" s="252"/>
      <c r="AL118" s="252"/>
      <c r="AM118" s="252"/>
      <c r="AN118" s="252"/>
      <c r="AO118" s="993"/>
      <c r="AP118" s="993"/>
      <c r="AQ118" s="252"/>
      <c r="AR118" s="252"/>
      <c r="AS118" s="252"/>
      <c r="AT118" s="252"/>
      <c r="AU118" s="252"/>
      <c r="AV118" s="252"/>
      <c r="AW118" s="252"/>
      <c r="AX118" s="252"/>
      <c r="AY118" s="252"/>
      <c r="AZ118" s="252"/>
      <c r="BA118" s="252"/>
      <c r="BB118" s="252"/>
    </row>
    <row r="119" spans="2:57" s="57" customFormat="1">
      <c r="B119" s="252"/>
      <c r="C119" s="252"/>
      <c r="D119" s="252"/>
      <c r="E119" s="252"/>
      <c r="F119" s="252"/>
      <c r="G119" s="253"/>
      <c r="H119" s="252"/>
      <c r="I119" s="252"/>
      <c r="J119" s="254"/>
      <c r="K119" s="254"/>
      <c r="L119" s="252"/>
      <c r="M119" s="973"/>
      <c r="N119" s="763"/>
      <c r="O119" s="974"/>
      <c r="P119" s="974"/>
      <c r="Q119" s="973"/>
      <c r="R119" s="763"/>
      <c r="S119" s="975"/>
      <c r="T119" s="980"/>
      <c r="U119" s="252"/>
      <c r="V119" s="981"/>
      <c r="W119" s="980"/>
      <c r="X119" s="252"/>
      <c r="Y119" s="981"/>
      <c r="Z119" s="980"/>
      <c r="AA119" s="252"/>
      <c r="AB119" s="981"/>
      <c r="AC119" s="254"/>
      <c r="AD119" s="254"/>
      <c r="AE119" s="252"/>
      <c r="AF119" s="993"/>
      <c r="AG119" s="252"/>
      <c r="AH119" s="252"/>
      <c r="AI119" s="252"/>
      <c r="AJ119" s="252"/>
      <c r="AK119" s="252"/>
      <c r="AL119" s="252"/>
      <c r="AM119" s="252"/>
      <c r="AN119" s="252"/>
      <c r="AO119" s="260"/>
      <c r="AP119" s="260"/>
      <c r="AQ119" s="252"/>
      <c r="AR119" s="252"/>
      <c r="AS119" s="252"/>
      <c r="AT119" s="252"/>
      <c r="AU119" s="252"/>
      <c r="AV119" s="252"/>
      <c r="AW119" s="252"/>
      <c r="AX119" s="252"/>
      <c r="AY119" s="252"/>
      <c r="AZ119" s="252"/>
      <c r="BA119" s="252"/>
      <c r="BB119" s="252"/>
    </row>
    <row r="120" spans="2:57" s="57" customFormat="1">
      <c r="B120" s="252"/>
      <c r="C120" s="252"/>
      <c r="D120" s="252"/>
      <c r="E120" s="252"/>
      <c r="F120" s="252"/>
      <c r="G120" s="253"/>
      <c r="H120" s="252"/>
      <c r="I120" s="252"/>
      <c r="J120" s="254"/>
      <c r="K120" s="254"/>
      <c r="L120" s="252"/>
      <c r="M120" s="973"/>
      <c r="N120" s="763"/>
      <c r="O120" s="974"/>
      <c r="P120" s="974"/>
      <c r="Q120" s="973"/>
      <c r="R120" s="763"/>
      <c r="S120" s="975"/>
      <c r="T120" s="980"/>
      <c r="U120" s="252"/>
      <c r="V120" s="981"/>
      <c r="W120" s="980"/>
      <c r="X120" s="252"/>
      <c r="Y120" s="981"/>
      <c r="Z120" s="980"/>
      <c r="AA120" s="252"/>
      <c r="AB120" s="981"/>
      <c r="AC120" s="254"/>
      <c r="AD120" s="254"/>
      <c r="AE120" s="252"/>
      <c r="AF120" s="993"/>
      <c r="AG120" s="252"/>
      <c r="AH120" s="252"/>
      <c r="AI120" s="252"/>
      <c r="AJ120" s="252"/>
      <c r="AK120" s="252"/>
      <c r="AL120" s="252"/>
      <c r="AM120" s="252"/>
      <c r="AN120" s="252"/>
      <c r="AO120" s="260"/>
      <c r="AP120" s="260"/>
      <c r="AQ120" s="252"/>
      <c r="AR120" s="252"/>
      <c r="AS120" s="252"/>
      <c r="AT120" s="252"/>
      <c r="AU120" s="252"/>
      <c r="AV120" s="252"/>
      <c r="AW120" s="252"/>
      <c r="AX120" s="252"/>
      <c r="AY120" s="252"/>
      <c r="AZ120" s="252"/>
      <c r="BA120" s="252"/>
      <c r="BB120" s="252"/>
    </row>
    <row r="121" spans="2:57">
      <c r="B121" s="256"/>
      <c r="C121" s="256"/>
      <c r="D121" s="256"/>
      <c r="E121" s="256"/>
      <c r="F121" s="256"/>
      <c r="G121" s="280"/>
      <c r="H121" s="256"/>
      <c r="I121" s="256"/>
      <c r="J121" s="259"/>
      <c r="K121" s="259"/>
      <c r="L121" s="256"/>
      <c r="M121" s="281"/>
      <c r="N121" s="282"/>
      <c r="O121" s="283"/>
      <c r="P121" s="283"/>
      <c r="Q121" s="281"/>
      <c r="R121" s="282"/>
      <c r="S121" s="366"/>
      <c r="T121" s="371"/>
      <c r="U121" s="256"/>
      <c r="V121" s="261"/>
      <c r="W121" s="371"/>
      <c r="X121" s="256"/>
      <c r="Y121" s="261"/>
      <c r="Z121" s="371"/>
      <c r="AA121" s="256"/>
      <c r="AB121" s="261"/>
      <c r="AC121" s="259"/>
      <c r="AD121" s="259"/>
      <c r="AE121" s="256"/>
      <c r="AF121" s="260"/>
      <c r="AG121" s="256"/>
      <c r="AH121" s="256"/>
      <c r="AI121" s="256"/>
      <c r="AJ121" s="256"/>
      <c r="AK121" s="252"/>
      <c r="AL121" s="256"/>
      <c r="AM121" s="256"/>
      <c r="AN121" s="256"/>
      <c r="AO121" s="260"/>
      <c r="AP121" s="260"/>
      <c r="AQ121" s="256"/>
      <c r="AR121" s="252"/>
      <c r="AS121" s="252"/>
      <c r="AT121" s="256"/>
      <c r="AU121" s="252"/>
      <c r="AV121" s="252"/>
      <c r="AW121" s="256"/>
      <c r="AX121" s="256"/>
      <c r="AY121" s="256"/>
      <c r="AZ121" s="256"/>
      <c r="BA121" s="256"/>
      <c r="BB121" s="256"/>
    </row>
    <row r="122" spans="2:57">
      <c r="B122" s="256"/>
      <c r="C122" s="256"/>
      <c r="D122" s="256"/>
      <c r="E122" s="256"/>
      <c r="F122" s="256"/>
      <c r="G122" s="280"/>
      <c r="H122" s="256"/>
      <c r="I122" s="256"/>
      <c r="J122" s="259"/>
      <c r="K122" s="259"/>
      <c r="L122" s="256"/>
      <c r="M122" s="281"/>
      <c r="N122" s="282"/>
      <c r="O122" s="283"/>
      <c r="P122" s="283"/>
      <c r="Q122" s="281"/>
      <c r="R122" s="282"/>
      <c r="S122" s="366"/>
      <c r="T122" s="371"/>
      <c r="U122" s="256"/>
      <c r="V122" s="261"/>
      <c r="W122" s="371"/>
      <c r="X122" s="256"/>
      <c r="Y122" s="261"/>
      <c r="Z122" s="371"/>
      <c r="AA122" s="256"/>
      <c r="AB122" s="261"/>
      <c r="AC122" s="259"/>
      <c r="AD122" s="259"/>
      <c r="AE122" s="256"/>
      <c r="AF122" s="260"/>
      <c r="AG122" s="256"/>
      <c r="AH122" s="256"/>
      <c r="AI122" s="256"/>
      <c r="AJ122" s="256"/>
      <c r="AK122" s="252"/>
      <c r="AL122" s="256"/>
      <c r="AM122" s="256"/>
      <c r="AN122" s="256"/>
      <c r="AO122" s="260"/>
      <c r="AP122" s="260"/>
      <c r="AQ122" s="256"/>
      <c r="AR122" s="256"/>
      <c r="AS122" s="256"/>
      <c r="AT122" s="256"/>
      <c r="AU122" s="256"/>
      <c r="AV122" s="256"/>
      <c r="AW122" s="256"/>
      <c r="AX122" s="256"/>
      <c r="AY122" s="256"/>
      <c r="AZ122" s="256"/>
      <c r="BA122" s="256"/>
      <c r="BB122" s="256"/>
    </row>
    <row r="123" spans="2:57">
      <c r="B123" s="256"/>
      <c r="C123" s="256"/>
      <c r="D123" s="256"/>
      <c r="E123" s="256"/>
      <c r="F123" s="256"/>
      <c r="G123" s="280"/>
      <c r="H123" s="256"/>
      <c r="I123" s="256"/>
      <c r="J123" s="259"/>
      <c r="K123" s="259"/>
      <c r="L123" s="256"/>
      <c r="M123" s="281"/>
      <c r="N123" s="282"/>
      <c r="O123" s="283"/>
      <c r="P123" s="283"/>
      <c r="Q123" s="281"/>
      <c r="R123" s="282"/>
      <c r="S123" s="366"/>
      <c r="T123" s="371"/>
      <c r="U123" s="256"/>
      <c r="V123" s="261"/>
      <c r="W123" s="371"/>
      <c r="X123" s="256"/>
      <c r="Y123" s="261"/>
      <c r="Z123" s="371"/>
      <c r="AA123" s="256"/>
      <c r="AB123" s="261"/>
      <c r="AC123" s="259"/>
      <c r="AD123" s="259"/>
      <c r="AE123" s="256"/>
      <c r="AF123" s="260"/>
      <c r="AG123" s="256"/>
      <c r="AH123" s="256"/>
      <c r="AI123" s="256"/>
      <c r="AJ123" s="256"/>
      <c r="AK123" s="252"/>
      <c r="AL123" s="256"/>
      <c r="AM123" s="256"/>
      <c r="AN123" s="256"/>
      <c r="AO123" s="260"/>
      <c r="AP123" s="260"/>
      <c r="AQ123" s="256"/>
      <c r="AR123" s="256"/>
      <c r="AS123" s="256"/>
      <c r="AT123" s="256"/>
      <c r="AU123" s="256"/>
      <c r="AV123" s="256"/>
      <c r="AW123" s="256"/>
      <c r="AX123" s="256"/>
      <c r="AY123" s="256"/>
      <c r="AZ123" s="256"/>
      <c r="BA123" s="256"/>
      <c r="BB123" s="256"/>
    </row>
    <row r="124" spans="2:57">
      <c r="B124" s="256"/>
      <c r="C124" s="256"/>
      <c r="D124" s="256"/>
      <c r="E124" s="256"/>
      <c r="F124" s="256"/>
      <c r="G124" s="280"/>
      <c r="H124" s="256"/>
      <c r="I124" s="256"/>
      <c r="J124" s="259"/>
      <c r="K124" s="259"/>
      <c r="L124" s="256"/>
      <c r="M124" s="281"/>
      <c r="N124" s="282"/>
      <c r="O124" s="283"/>
      <c r="P124" s="283"/>
      <c r="Q124" s="281"/>
      <c r="R124" s="282"/>
      <c r="S124" s="366"/>
      <c r="T124" s="371"/>
      <c r="U124" s="256"/>
      <c r="V124" s="261"/>
      <c r="W124" s="371"/>
      <c r="X124" s="256"/>
      <c r="Y124" s="261"/>
      <c r="Z124" s="371"/>
      <c r="AA124" s="256"/>
      <c r="AB124" s="261"/>
      <c r="AC124" s="259"/>
      <c r="AD124" s="259"/>
      <c r="AE124" s="256"/>
      <c r="AF124" s="260"/>
      <c r="AG124" s="256"/>
      <c r="AH124" s="256"/>
      <c r="AI124" s="256"/>
      <c r="AJ124" s="256"/>
      <c r="AK124" s="252"/>
      <c r="AL124" s="256"/>
      <c r="AM124" s="256"/>
      <c r="AN124" s="256"/>
      <c r="AO124" s="260"/>
      <c r="AP124" s="260"/>
      <c r="AQ124" s="256"/>
      <c r="AR124" s="256"/>
      <c r="AS124" s="256"/>
      <c r="AT124" s="256"/>
      <c r="AU124" s="256"/>
      <c r="AV124" s="256"/>
      <c r="AW124" s="256"/>
      <c r="AX124" s="256"/>
      <c r="AY124" s="256"/>
      <c r="AZ124" s="256"/>
      <c r="BA124" s="256"/>
      <c r="BB124" s="256"/>
    </row>
    <row r="125" spans="2:57">
      <c r="B125" s="256"/>
      <c r="C125" s="256"/>
      <c r="D125" s="256"/>
      <c r="E125" s="256"/>
      <c r="F125" s="256"/>
      <c r="G125" s="280"/>
      <c r="H125" s="256"/>
      <c r="I125" s="256"/>
      <c r="J125" s="259"/>
      <c r="K125" s="259"/>
      <c r="L125" s="256"/>
      <c r="M125" s="281"/>
      <c r="N125" s="282"/>
      <c r="O125" s="283"/>
      <c r="P125" s="283"/>
      <c r="Q125" s="281"/>
      <c r="R125" s="282"/>
      <c r="S125" s="366"/>
      <c r="T125" s="371"/>
      <c r="U125" s="256"/>
      <c r="V125" s="261"/>
      <c r="W125" s="371"/>
      <c r="X125" s="256"/>
      <c r="Y125" s="261"/>
      <c r="Z125" s="371"/>
      <c r="AA125" s="256"/>
      <c r="AB125" s="261"/>
      <c r="AC125" s="259"/>
      <c r="AD125" s="259"/>
      <c r="AE125" s="256"/>
      <c r="AF125" s="260"/>
      <c r="AG125" s="256"/>
      <c r="AH125" s="256"/>
      <c r="AI125" s="256"/>
      <c r="AJ125" s="256"/>
      <c r="AK125" s="252"/>
      <c r="AL125" s="256"/>
      <c r="AM125" s="256"/>
      <c r="AN125" s="256"/>
      <c r="AO125" s="1116"/>
      <c r="AP125" s="1116"/>
      <c r="AQ125" s="1115"/>
      <c r="AR125" s="1115"/>
      <c r="AS125" s="256"/>
      <c r="AT125" s="256"/>
      <c r="AU125" s="256"/>
      <c r="AV125" s="256"/>
      <c r="AW125" s="256"/>
      <c r="AX125" s="256"/>
      <c r="AY125" s="256"/>
      <c r="AZ125" s="256"/>
      <c r="BA125" s="256"/>
      <c r="BB125" s="256"/>
    </row>
    <row r="126" spans="2:57">
      <c r="B126" s="256"/>
      <c r="C126" s="256"/>
      <c r="D126" s="256"/>
      <c r="E126" s="256"/>
      <c r="F126" s="256"/>
      <c r="G126" s="280"/>
      <c r="H126" s="256"/>
      <c r="I126" s="256"/>
      <c r="J126" s="259"/>
      <c r="K126" s="259"/>
      <c r="L126" s="256"/>
      <c r="M126" s="281"/>
      <c r="N126" s="282"/>
      <c r="O126" s="283"/>
      <c r="P126" s="283"/>
      <c r="Q126" s="281"/>
      <c r="R126" s="282"/>
      <c r="S126" s="366"/>
      <c r="T126" s="371"/>
      <c r="U126" s="256"/>
      <c r="V126" s="261"/>
      <c r="W126" s="371"/>
      <c r="X126" s="256"/>
      <c r="Y126" s="261"/>
      <c r="Z126" s="371"/>
      <c r="AA126" s="256"/>
      <c r="AB126" s="261"/>
      <c r="AC126" s="259"/>
      <c r="AD126" s="259"/>
      <c r="AE126" s="256"/>
      <c r="AF126" s="260"/>
      <c r="AG126" s="256"/>
      <c r="AH126" s="256"/>
      <c r="AI126" s="256"/>
      <c r="AJ126" s="256"/>
      <c r="AK126" s="252"/>
      <c r="AL126" s="256"/>
      <c r="AM126" s="256"/>
      <c r="AN126" s="256"/>
      <c r="AO126" s="1116"/>
      <c r="AP126" s="1116"/>
      <c r="AQ126" s="1115"/>
      <c r="AR126" s="1115"/>
      <c r="AS126" s="256"/>
      <c r="AT126" s="256"/>
      <c r="AU126" s="256"/>
      <c r="AV126" s="256"/>
      <c r="AW126" s="256"/>
      <c r="AX126" s="256"/>
      <c r="AY126" s="256"/>
      <c r="AZ126" s="256"/>
      <c r="BA126" s="256"/>
      <c r="BB126" s="256"/>
    </row>
    <row r="127" spans="2:57" s="958" customFormat="1">
      <c r="G127" s="1117"/>
      <c r="J127" s="1118"/>
      <c r="K127" s="1118"/>
      <c r="M127" s="34"/>
      <c r="N127" s="959"/>
      <c r="O127" s="960"/>
      <c r="P127" s="960"/>
      <c r="Q127" s="34"/>
      <c r="R127" s="959"/>
      <c r="S127" s="961"/>
      <c r="T127" s="26"/>
      <c r="V127" s="1119"/>
      <c r="W127" s="26"/>
      <c r="Y127" s="1119"/>
      <c r="Z127" s="26"/>
      <c r="AB127" s="1119"/>
      <c r="AC127" s="1118"/>
      <c r="AD127" s="1118"/>
      <c r="AF127" s="1120"/>
      <c r="AK127" s="784"/>
      <c r="AO127" s="1120"/>
      <c r="AP127" s="1120"/>
    </row>
  </sheetData>
  <sheetProtection password="83D4" sheet="1" objects="1" scenarios="1"/>
  <mergeCells count="20">
    <mergeCell ref="AO25:AP25"/>
    <mergeCell ref="AO77:AP77"/>
    <mergeCell ref="AR48:AS48"/>
    <mergeCell ref="AR30:AS30"/>
    <mergeCell ref="G2:S2"/>
    <mergeCell ref="AO7:AP7"/>
    <mergeCell ref="AO6:AP6"/>
    <mergeCell ref="AR16:AS16"/>
    <mergeCell ref="AR6:AS6"/>
    <mergeCell ref="AR7:AS7"/>
    <mergeCell ref="AR40:AS40"/>
    <mergeCell ref="AO44:AP44"/>
    <mergeCell ref="AR36:AR37"/>
    <mergeCell ref="AR25:AS25"/>
    <mergeCell ref="AR21:AR22"/>
    <mergeCell ref="AO86:AP86"/>
    <mergeCell ref="AO45:AP45"/>
    <mergeCell ref="AO56:AP56"/>
    <mergeCell ref="AO63:AP63"/>
    <mergeCell ref="AO69:AP69"/>
  </mergeCells>
  <phoneticPr fontId="5"/>
  <conditionalFormatting sqref="F7:F116">
    <cfRule type="expression" dxfId="241" priority="115" stopIfTrue="1">
      <formula>I7=2</formula>
    </cfRule>
  </conditionalFormatting>
  <conditionalFormatting sqref="G7:G116">
    <cfRule type="expression" dxfId="240" priority="116" stopIfTrue="1">
      <formula>I7=2</formula>
    </cfRule>
  </conditionalFormatting>
  <conditionalFormatting sqref="W7:W116">
    <cfRule type="expression" dxfId="239" priority="121" stopIfTrue="1">
      <formula>I7=""</formula>
    </cfRule>
  </conditionalFormatting>
  <conditionalFormatting sqref="R7:R116">
    <cfRule type="expression" dxfId="238" priority="123" stopIfTrue="1">
      <formula>I7=""</formula>
    </cfRule>
  </conditionalFormatting>
  <conditionalFormatting sqref="X7:X116">
    <cfRule type="expression" dxfId="237" priority="235" stopIfTrue="1">
      <formula>I7=""</formula>
    </cfRule>
  </conditionalFormatting>
  <conditionalFormatting sqref="O7:O116">
    <cfRule type="expression" dxfId="236" priority="236" stopIfTrue="1">
      <formula>ISNA(P7)</formula>
    </cfRule>
    <cfRule type="expression" dxfId="235" priority="237" stopIfTrue="1">
      <formula>I7=""</formula>
    </cfRule>
  </conditionalFormatting>
  <conditionalFormatting sqref="U7:U116">
    <cfRule type="expression" dxfId="234" priority="245" stopIfTrue="1">
      <formula>ISNA(V7)</formula>
    </cfRule>
    <cfRule type="expression" dxfId="233" priority="246" stopIfTrue="1">
      <formula>I7=""</formula>
    </cfRule>
  </conditionalFormatting>
  <conditionalFormatting sqref="I7:I116">
    <cfRule type="cellIs" dxfId="232" priority="124" stopIfTrue="1" operator="equal">
      <formula>2</formula>
    </cfRule>
  </conditionalFormatting>
  <conditionalFormatting sqref="Q7 W7">
    <cfRule type="expression" dxfId="231" priority="125" stopIfTrue="1">
      <formula>$I$7=""</formula>
    </cfRule>
  </conditionalFormatting>
  <conditionalFormatting sqref="Q8 W8">
    <cfRule type="expression" dxfId="230" priority="126" stopIfTrue="1">
      <formula>$I$8=""</formula>
    </cfRule>
  </conditionalFormatting>
  <conditionalFormatting sqref="Q9 W9">
    <cfRule type="expression" dxfId="229" priority="127" stopIfTrue="1">
      <formula>$I$9=""</formula>
    </cfRule>
  </conditionalFormatting>
  <conditionalFormatting sqref="Q10 W10">
    <cfRule type="expression" dxfId="228" priority="128" stopIfTrue="1">
      <formula>$I$10=""</formula>
    </cfRule>
  </conditionalFormatting>
  <conditionalFormatting sqref="Q11 W11">
    <cfRule type="expression" dxfId="227" priority="129" stopIfTrue="1">
      <formula>$I$11=""</formula>
    </cfRule>
  </conditionalFormatting>
  <conditionalFormatting sqref="Q12 W12">
    <cfRule type="expression" dxfId="226" priority="130" stopIfTrue="1">
      <formula>$I$12=""</formula>
    </cfRule>
  </conditionalFormatting>
  <conditionalFormatting sqref="Q13 W13">
    <cfRule type="expression" dxfId="225" priority="131" stopIfTrue="1">
      <formula>$I$13=""</formula>
    </cfRule>
  </conditionalFormatting>
  <conditionalFormatting sqref="Q14 W14">
    <cfRule type="expression" dxfId="224" priority="132" stopIfTrue="1">
      <formula>$I$14=""</formula>
    </cfRule>
  </conditionalFormatting>
  <conditionalFormatting sqref="Q15 W15">
    <cfRule type="expression" dxfId="223" priority="133" stopIfTrue="1">
      <formula>$I$15=""</formula>
    </cfRule>
  </conditionalFormatting>
  <conditionalFormatting sqref="Q16 W16">
    <cfRule type="expression" dxfId="222" priority="134" stopIfTrue="1">
      <formula>$I$16=""</formula>
    </cfRule>
  </conditionalFormatting>
  <conditionalFormatting sqref="Q17 W17">
    <cfRule type="expression" dxfId="221" priority="135" stopIfTrue="1">
      <formula>$I$17=""</formula>
    </cfRule>
  </conditionalFormatting>
  <conditionalFormatting sqref="Q18 W18">
    <cfRule type="expression" dxfId="220" priority="136" stopIfTrue="1">
      <formula>$I$18=""</formula>
    </cfRule>
  </conditionalFormatting>
  <conditionalFormatting sqref="Q19 W19">
    <cfRule type="expression" dxfId="219" priority="137" stopIfTrue="1">
      <formula>$I$19=""</formula>
    </cfRule>
  </conditionalFormatting>
  <conditionalFormatting sqref="Q20 W20">
    <cfRule type="expression" dxfId="218" priority="138" stopIfTrue="1">
      <formula>$I$20=""</formula>
    </cfRule>
  </conditionalFormatting>
  <conditionalFormatting sqref="Q21 W21">
    <cfRule type="expression" dxfId="217" priority="139" stopIfTrue="1">
      <formula>$I$21=""</formula>
    </cfRule>
  </conditionalFormatting>
  <conditionalFormatting sqref="Q22 W22">
    <cfRule type="expression" dxfId="216" priority="140" stopIfTrue="1">
      <formula>$I$22=""</formula>
    </cfRule>
  </conditionalFormatting>
  <conditionalFormatting sqref="Q23 W23">
    <cfRule type="expression" dxfId="215" priority="141" stopIfTrue="1">
      <formula>$I$23=""</formula>
    </cfRule>
  </conditionalFormatting>
  <conditionalFormatting sqref="Q24 W24">
    <cfRule type="expression" dxfId="214" priority="142" stopIfTrue="1">
      <formula>$I$24=""</formula>
    </cfRule>
  </conditionalFormatting>
  <conditionalFormatting sqref="Q25 W25">
    <cfRule type="expression" dxfId="213" priority="143" stopIfTrue="1">
      <formula>$I$25=""</formula>
    </cfRule>
  </conditionalFormatting>
  <conditionalFormatting sqref="Q26 W26">
    <cfRule type="expression" dxfId="212" priority="144" stopIfTrue="1">
      <formula>$I$26=""</formula>
    </cfRule>
  </conditionalFormatting>
  <conditionalFormatting sqref="Q27 W27">
    <cfRule type="expression" dxfId="211" priority="145" stopIfTrue="1">
      <formula>$I$27=""</formula>
    </cfRule>
  </conditionalFormatting>
  <conditionalFormatting sqref="Q28 W28">
    <cfRule type="expression" dxfId="210" priority="146" stopIfTrue="1">
      <formula>$I$28=""</formula>
    </cfRule>
  </conditionalFormatting>
  <conditionalFormatting sqref="Q29 W29">
    <cfRule type="expression" dxfId="209" priority="147" stopIfTrue="1">
      <formula>$I$29=""</formula>
    </cfRule>
  </conditionalFormatting>
  <conditionalFormatting sqref="Q30 W30">
    <cfRule type="expression" dxfId="208" priority="148" stopIfTrue="1">
      <formula>$I$30=""</formula>
    </cfRule>
  </conditionalFormatting>
  <conditionalFormatting sqref="Q31 W31">
    <cfRule type="expression" dxfId="207" priority="149" stopIfTrue="1">
      <formula>$I$31=""</formula>
    </cfRule>
  </conditionalFormatting>
  <conditionalFormatting sqref="Q32 W32">
    <cfRule type="expression" dxfId="206" priority="150" stopIfTrue="1">
      <formula>$I$32=""</formula>
    </cfRule>
  </conditionalFormatting>
  <conditionalFormatting sqref="Q33 W33">
    <cfRule type="expression" dxfId="205" priority="151" stopIfTrue="1">
      <formula>$I$33=""</formula>
    </cfRule>
  </conditionalFormatting>
  <conditionalFormatting sqref="Q34 W34">
    <cfRule type="expression" dxfId="204" priority="152" stopIfTrue="1">
      <formula>$I$34=""</formula>
    </cfRule>
  </conditionalFormatting>
  <conditionalFormatting sqref="Q35 W35">
    <cfRule type="expression" dxfId="203" priority="153" stopIfTrue="1">
      <formula>$I$35=""</formula>
    </cfRule>
  </conditionalFormatting>
  <conditionalFormatting sqref="Q36 W36">
    <cfRule type="expression" dxfId="202" priority="154" stopIfTrue="1">
      <formula>$I$36=""</formula>
    </cfRule>
  </conditionalFormatting>
  <conditionalFormatting sqref="Q47 W47">
    <cfRule type="expression" dxfId="201" priority="155" stopIfTrue="1">
      <formula>$I$47=""</formula>
    </cfRule>
  </conditionalFormatting>
  <conditionalFormatting sqref="Q48 W48">
    <cfRule type="expression" dxfId="200" priority="156" stopIfTrue="1">
      <formula>$I$48=""</formula>
    </cfRule>
  </conditionalFormatting>
  <conditionalFormatting sqref="Q49 W49">
    <cfRule type="expression" dxfId="199" priority="157" stopIfTrue="1">
      <formula>$I$49=""</formula>
    </cfRule>
  </conditionalFormatting>
  <conditionalFormatting sqref="Q50 W50">
    <cfRule type="expression" dxfId="198" priority="158" stopIfTrue="1">
      <formula>$I$50=""</formula>
    </cfRule>
  </conditionalFormatting>
  <conditionalFormatting sqref="Q51 W51">
    <cfRule type="expression" dxfId="197" priority="159" stopIfTrue="1">
      <formula>$I$51=""</formula>
    </cfRule>
  </conditionalFormatting>
  <conditionalFormatting sqref="Q52 W52">
    <cfRule type="expression" dxfId="196" priority="160" stopIfTrue="1">
      <formula>$I$52=""</formula>
    </cfRule>
  </conditionalFormatting>
  <conditionalFormatting sqref="Q53 W53">
    <cfRule type="expression" dxfId="195" priority="161" stopIfTrue="1">
      <formula>$I$53=""</formula>
    </cfRule>
  </conditionalFormatting>
  <conditionalFormatting sqref="Q54 W54">
    <cfRule type="expression" dxfId="194" priority="162" stopIfTrue="1">
      <formula>$I$54=""</formula>
    </cfRule>
  </conditionalFormatting>
  <conditionalFormatting sqref="Q55 W55">
    <cfRule type="expression" dxfId="193" priority="163" stopIfTrue="1">
      <formula>$I$55=""</formula>
    </cfRule>
  </conditionalFormatting>
  <conditionalFormatting sqref="Q56 W56">
    <cfRule type="expression" dxfId="192" priority="164" stopIfTrue="1">
      <formula>$I$56=""</formula>
    </cfRule>
  </conditionalFormatting>
  <conditionalFormatting sqref="Q57 W57">
    <cfRule type="expression" dxfId="191" priority="165" stopIfTrue="1">
      <formula>$I$57=""</formula>
    </cfRule>
  </conditionalFormatting>
  <conditionalFormatting sqref="Q58 W58">
    <cfRule type="expression" dxfId="190" priority="166" stopIfTrue="1">
      <formula>$I$58=""</formula>
    </cfRule>
  </conditionalFormatting>
  <conditionalFormatting sqref="Q59 W59">
    <cfRule type="expression" dxfId="189" priority="167" stopIfTrue="1">
      <formula>$I$59=""</formula>
    </cfRule>
  </conditionalFormatting>
  <conditionalFormatting sqref="Q60 W60">
    <cfRule type="expression" dxfId="188" priority="168" stopIfTrue="1">
      <formula>$I$60=""</formula>
    </cfRule>
  </conditionalFormatting>
  <conditionalFormatting sqref="Q61 W61">
    <cfRule type="expression" dxfId="187" priority="169" stopIfTrue="1">
      <formula>$I$61=""</formula>
    </cfRule>
  </conditionalFormatting>
  <conditionalFormatting sqref="Q62 W62">
    <cfRule type="expression" dxfId="186" priority="170" stopIfTrue="1">
      <formula>$I$62=""</formula>
    </cfRule>
  </conditionalFormatting>
  <conditionalFormatting sqref="Q63 W63">
    <cfRule type="expression" dxfId="185" priority="171" stopIfTrue="1">
      <formula>$I$63=""</formula>
    </cfRule>
  </conditionalFormatting>
  <conditionalFormatting sqref="Q64 W64">
    <cfRule type="expression" dxfId="184" priority="172" stopIfTrue="1">
      <formula>$I$64=""</formula>
    </cfRule>
  </conditionalFormatting>
  <conditionalFormatting sqref="Q65 W65">
    <cfRule type="expression" dxfId="183" priority="173" stopIfTrue="1">
      <formula>$I$65=""</formula>
    </cfRule>
  </conditionalFormatting>
  <conditionalFormatting sqref="Q66 W66">
    <cfRule type="expression" dxfId="182" priority="174" stopIfTrue="1">
      <formula>$I$66=""</formula>
    </cfRule>
  </conditionalFormatting>
  <conditionalFormatting sqref="Q67 W67">
    <cfRule type="expression" dxfId="181" priority="175" stopIfTrue="1">
      <formula>$I$67=""</formula>
    </cfRule>
  </conditionalFormatting>
  <conditionalFormatting sqref="Q68 W68">
    <cfRule type="expression" dxfId="180" priority="176" stopIfTrue="1">
      <formula>$I$68=""</formula>
    </cfRule>
  </conditionalFormatting>
  <conditionalFormatting sqref="Q69 W69">
    <cfRule type="expression" dxfId="179" priority="177" stopIfTrue="1">
      <formula>$I$69=""</formula>
    </cfRule>
  </conditionalFormatting>
  <conditionalFormatting sqref="Q71 W71">
    <cfRule type="expression" dxfId="178" priority="178" stopIfTrue="1">
      <formula>$I$71=""</formula>
    </cfRule>
  </conditionalFormatting>
  <conditionalFormatting sqref="Q72 W72">
    <cfRule type="expression" dxfId="177" priority="179" stopIfTrue="1">
      <formula>$I$72=""</formula>
    </cfRule>
  </conditionalFormatting>
  <conditionalFormatting sqref="Q73 W73">
    <cfRule type="expression" dxfId="176" priority="180" stopIfTrue="1">
      <formula>$I$73=""</formula>
    </cfRule>
  </conditionalFormatting>
  <conditionalFormatting sqref="Q74 W74">
    <cfRule type="expression" dxfId="175" priority="181" stopIfTrue="1">
      <formula>$I$74=""</formula>
    </cfRule>
  </conditionalFormatting>
  <conditionalFormatting sqref="Q75 W75">
    <cfRule type="expression" dxfId="174" priority="182" stopIfTrue="1">
      <formula>$I$75=""</formula>
    </cfRule>
  </conditionalFormatting>
  <conditionalFormatting sqref="Q76 W76">
    <cfRule type="expression" dxfId="173" priority="183" stopIfTrue="1">
      <formula>$I$76=""</formula>
    </cfRule>
  </conditionalFormatting>
  <conditionalFormatting sqref="Q77 W77">
    <cfRule type="expression" dxfId="172" priority="184" stopIfTrue="1">
      <formula>$I$77=""</formula>
    </cfRule>
  </conditionalFormatting>
  <conditionalFormatting sqref="Q78 W78">
    <cfRule type="expression" dxfId="171" priority="185" stopIfTrue="1">
      <formula>$I$78=""</formula>
    </cfRule>
  </conditionalFormatting>
  <conditionalFormatting sqref="Q79 W79">
    <cfRule type="expression" dxfId="170" priority="186" stopIfTrue="1">
      <formula>$I$79=""</formula>
    </cfRule>
  </conditionalFormatting>
  <conditionalFormatting sqref="Q80 W80">
    <cfRule type="expression" dxfId="169" priority="187" stopIfTrue="1">
      <formula>$I$80=""</formula>
    </cfRule>
  </conditionalFormatting>
  <conditionalFormatting sqref="Q81 W81">
    <cfRule type="expression" dxfId="168" priority="188" stopIfTrue="1">
      <formula>$I$81=""</formula>
    </cfRule>
  </conditionalFormatting>
  <conditionalFormatting sqref="Q82 W82">
    <cfRule type="expression" dxfId="167" priority="189" stopIfTrue="1">
      <formula>$I$82=""</formula>
    </cfRule>
  </conditionalFormatting>
  <conditionalFormatting sqref="Q83 W83">
    <cfRule type="expression" dxfId="166" priority="190" stopIfTrue="1">
      <formula>$I$83=""</formula>
    </cfRule>
  </conditionalFormatting>
  <conditionalFormatting sqref="Q84 W84">
    <cfRule type="expression" dxfId="165" priority="191" stopIfTrue="1">
      <formula>$I$84=""</formula>
    </cfRule>
  </conditionalFormatting>
  <conditionalFormatting sqref="Q85 W85">
    <cfRule type="expression" dxfId="164" priority="192" stopIfTrue="1">
      <formula>$I$85=""</formula>
    </cfRule>
  </conditionalFormatting>
  <conditionalFormatting sqref="Q86 W86">
    <cfRule type="expression" dxfId="163" priority="193" stopIfTrue="1">
      <formula>$I$86=""</formula>
    </cfRule>
  </conditionalFormatting>
  <conditionalFormatting sqref="Q87 W87">
    <cfRule type="expression" dxfId="162" priority="194" stopIfTrue="1">
      <formula>$I$87=""</formula>
    </cfRule>
  </conditionalFormatting>
  <conditionalFormatting sqref="Q88 W88">
    <cfRule type="expression" dxfId="161" priority="195" stopIfTrue="1">
      <formula>$I$88=""</formula>
    </cfRule>
  </conditionalFormatting>
  <conditionalFormatting sqref="Q89 W89">
    <cfRule type="expression" dxfId="160" priority="196" stopIfTrue="1">
      <formula>$I$89=""</formula>
    </cfRule>
  </conditionalFormatting>
  <conditionalFormatting sqref="Q90 W90">
    <cfRule type="expression" dxfId="159" priority="197" stopIfTrue="1">
      <formula>$I$90=""</formula>
    </cfRule>
  </conditionalFormatting>
  <conditionalFormatting sqref="Q91 W91">
    <cfRule type="expression" dxfId="158" priority="198" stopIfTrue="1">
      <formula>$I$91=""</formula>
    </cfRule>
  </conditionalFormatting>
  <conditionalFormatting sqref="Q92 W92">
    <cfRule type="expression" dxfId="157" priority="199" stopIfTrue="1">
      <formula>$I$92=""</formula>
    </cfRule>
  </conditionalFormatting>
  <conditionalFormatting sqref="Q93 W93">
    <cfRule type="expression" dxfId="156" priority="200" stopIfTrue="1">
      <formula>$I$93=""</formula>
    </cfRule>
  </conditionalFormatting>
  <conditionalFormatting sqref="Q94 W94">
    <cfRule type="expression" dxfId="155" priority="201" stopIfTrue="1">
      <formula>$I$94=""</formula>
    </cfRule>
  </conditionalFormatting>
  <conditionalFormatting sqref="Q95 W95">
    <cfRule type="expression" dxfId="154" priority="202" stopIfTrue="1">
      <formula>$I$95=""</formula>
    </cfRule>
  </conditionalFormatting>
  <conditionalFormatting sqref="Q96 W96">
    <cfRule type="expression" dxfId="153" priority="203" stopIfTrue="1">
      <formula>$I$96=""</formula>
    </cfRule>
  </conditionalFormatting>
  <conditionalFormatting sqref="Q97 W97">
    <cfRule type="expression" dxfId="152" priority="204" stopIfTrue="1">
      <formula>$I$97=""</formula>
    </cfRule>
  </conditionalFormatting>
  <conditionalFormatting sqref="Q98 W98">
    <cfRule type="expression" dxfId="151" priority="205" stopIfTrue="1">
      <formula>$I$98=""</formula>
    </cfRule>
  </conditionalFormatting>
  <conditionalFormatting sqref="Q99 W99">
    <cfRule type="expression" dxfId="150" priority="206" stopIfTrue="1">
      <formula>$I$99=""</formula>
    </cfRule>
  </conditionalFormatting>
  <conditionalFormatting sqref="Q100 W100">
    <cfRule type="expression" dxfId="149" priority="207" stopIfTrue="1">
      <formula>$I$100=""</formula>
    </cfRule>
  </conditionalFormatting>
  <conditionalFormatting sqref="Q101 W101">
    <cfRule type="expression" dxfId="148" priority="208" stopIfTrue="1">
      <formula>$I$101=""</formula>
    </cfRule>
  </conditionalFormatting>
  <conditionalFormatting sqref="Q102 W102">
    <cfRule type="expression" dxfId="147" priority="209" stopIfTrue="1">
      <formula>$I$102=""</formula>
    </cfRule>
  </conditionalFormatting>
  <conditionalFormatting sqref="Q103 W103">
    <cfRule type="expression" dxfId="146" priority="210" stopIfTrue="1">
      <formula>$I$103=""</formula>
    </cfRule>
  </conditionalFormatting>
  <conditionalFormatting sqref="Q104 W104">
    <cfRule type="expression" dxfId="145" priority="211" stopIfTrue="1">
      <formula>$I$104=""</formula>
    </cfRule>
  </conditionalFormatting>
  <conditionalFormatting sqref="Q105 W105">
    <cfRule type="expression" dxfId="144" priority="212" stopIfTrue="1">
      <formula>$I$105=""</formula>
    </cfRule>
  </conditionalFormatting>
  <conditionalFormatting sqref="Q106 W106">
    <cfRule type="expression" dxfId="143" priority="213" stopIfTrue="1">
      <formula>$I$106=""</formula>
    </cfRule>
  </conditionalFormatting>
  <conditionalFormatting sqref="Q107 W107">
    <cfRule type="expression" dxfId="142" priority="214" stopIfTrue="1">
      <formula>$I$107=""</formula>
    </cfRule>
  </conditionalFormatting>
  <conditionalFormatting sqref="Q108 W108">
    <cfRule type="expression" dxfId="141" priority="215" stopIfTrue="1">
      <formula>$I$108=""</formula>
    </cfRule>
  </conditionalFormatting>
  <conditionalFormatting sqref="Q109 W109">
    <cfRule type="expression" dxfId="140" priority="216" stopIfTrue="1">
      <formula>$I$109=""</formula>
    </cfRule>
  </conditionalFormatting>
  <conditionalFormatting sqref="Q110 W110">
    <cfRule type="expression" dxfId="139" priority="217" stopIfTrue="1">
      <formula>$I$110=""</formula>
    </cfRule>
  </conditionalFormatting>
  <conditionalFormatting sqref="Q111 W111">
    <cfRule type="expression" dxfId="138" priority="218" stopIfTrue="1">
      <formula>$I$111=""</formula>
    </cfRule>
  </conditionalFormatting>
  <conditionalFormatting sqref="Q112 W112">
    <cfRule type="expression" dxfId="137" priority="219" stopIfTrue="1">
      <formula>$I$112=""</formula>
    </cfRule>
  </conditionalFormatting>
  <conditionalFormatting sqref="Q113 W113">
    <cfRule type="expression" dxfId="136" priority="220" stopIfTrue="1">
      <formula>$I$113=""</formula>
    </cfRule>
  </conditionalFormatting>
  <conditionalFormatting sqref="Q114 W114">
    <cfRule type="expression" dxfId="135" priority="221" stopIfTrue="1">
      <formula>$I$114=""</formula>
    </cfRule>
  </conditionalFormatting>
  <conditionalFormatting sqref="Q115 W115">
    <cfRule type="expression" dxfId="134" priority="222" stopIfTrue="1">
      <formula>$I$115=""</formula>
    </cfRule>
  </conditionalFormatting>
  <conditionalFormatting sqref="Q116 W116">
    <cfRule type="expression" dxfId="133" priority="223" stopIfTrue="1">
      <formula>$I$116=""</formula>
    </cfRule>
  </conditionalFormatting>
  <conditionalFormatting sqref="Q37 W37">
    <cfRule type="expression" dxfId="132" priority="224" stopIfTrue="1">
      <formula>$I$37=""</formula>
    </cfRule>
  </conditionalFormatting>
  <conditionalFormatting sqref="Q38 W38">
    <cfRule type="expression" dxfId="131" priority="225" stopIfTrue="1">
      <formula>$I$38=""</formula>
    </cfRule>
  </conditionalFormatting>
  <conditionalFormatting sqref="Q39 W39">
    <cfRule type="expression" dxfId="130" priority="226" stopIfTrue="1">
      <formula>$I$39=""</formula>
    </cfRule>
  </conditionalFormatting>
  <conditionalFormatting sqref="Q40 W40">
    <cfRule type="expression" dxfId="129" priority="227" stopIfTrue="1">
      <formula>$I$40=""</formula>
    </cfRule>
  </conditionalFormatting>
  <conditionalFormatting sqref="Q41 W41">
    <cfRule type="expression" dxfId="128" priority="228" stopIfTrue="1">
      <formula>$I$41=""</formula>
    </cfRule>
  </conditionalFormatting>
  <conditionalFormatting sqref="Q42 W42">
    <cfRule type="expression" dxfId="127" priority="229" stopIfTrue="1">
      <formula>$I$42=""</formula>
    </cfRule>
  </conditionalFormatting>
  <conditionalFormatting sqref="Q43 W43">
    <cfRule type="expression" dxfId="126" priority="230" stopIfTrue="1">
      <formula>$I$43=""</formula>
    </cfRule>
  </conditionalFormatting>
  <conditionalFormatting sqref="Q44 W44">
    <cfRule type="expression" dxfId="125" priority="231" stopIfTrue="1">
      <formula>$I$44=""</formula>
    </cfRule>
  </conditionalFormatting>
  <conditionalFormatting sqref="Q45 W45">
    <cfRule type="expression" dxfId="124" priority="232" stopIfTrue="1">
      <formula>$I$45=""</formula>
    </cfRule>
  </conditionalFormatting>
  <conditionalFormatting sqref="Q46 W46">
    <cfRule type="expression" dxfId="123" priority="233" stopIfTrue="1">
      <formula>$I$46=""</formula>
    </cfRule>
  </conditionalFormatting>
  <conditionalFormatting sqref="Q70 W70">
    <cfRule type="expression" dxfId="122" priority="234" stopIfTrue="1">
      <formula>$I$70=""</formula>
    </cfRule>
  </conditionalFormatting>
  <conditionalFormatting sqref="R7:R116">
    <cfRule type="cellIs" dxfId="121" priority="112" operator="equal">
      <formula>"学校"</formula>
    </cfRule>
    <cfRule type="expression" dxfId="120" priority="113">
      <formula>"学校"</formula>
    </cfRule>
  </conditionalFormatting>
  <conditionalFormatting sqref="X7:X116">
    <cfRule type="cellIs" dxfId="119" priority="111" operator="equal">
      <formula>"学校"</formula>
    </cfRule>
  </conditionalFormatting>
  <dataValidations count="13">
    <dataValidation imeMode="disabled" allowBlank="1" sqref="W6 S117:S65536 O117:O65536 Q6 R4"/>
    <dataValidation allowBlank="1" showInputMessage="1" showErrorMessage="1" prompt="#N/Aは種目選択ミス" sqref="V7:V116"/>
    <dataValidation allowBlank="1" showInputMessage="1" showErrorMessage="1" prompt="#N/A表示は種目選択ミス" sqref="P7:P116"/>
    <dataValidation imeMode="disabled" allowBlank="1" showInputMessage="1" prompt="記録は半角英数字で_x000a_例_x000a_11秒11→11.11_x000a_1分50秒00→1.50.00_x000a_15m50→15m50_x000a__x000a_" sqref="Q7:Q116 W7:W116"/>
    <dataValidation imeMode="hiragana" allowBlank="1" showInputMessage="1" showErrorMessage="1" sqref="P117:P65536 R6 P1 P3:P5 X6"/>
    <dataValidation errorStyle="warning" imeMode="hiragana" allowBlank="1" showInputMessage="1" showErrorMessage="1" sqref="T1:T5 T117:T65536"/>
    <dataValidation errorStyle="warning" imeMode="hiragana" allowBlank="1" showInputMessage="1" showErrorMessage="1" prompt="今年度、標準記録を突破した大会名を記載のこと" sqref="X7:X116"/>
    <dataValidation imeMode="halfAlpha" allowBlank="1" showInputMessage="1" showErrorMessage="1" sqref="AH6:AH116 V117:V65536 Y117:Y65536 Y1:Y5 AB1:AB1048576 AE6:AE116"/>
    <dataValidation type="list" errorStyle="warning" allowBlank="1" showInputMessage="1" showErrorMessage="1" sqref="AF7:AF116 W117:W118 AC7:AC116 Z117:Z118">
      <formula1>$AL$6:$AL$32</formula1>
    </dataValidation>
    <dataValidation imeMode="hiragana" allowBlank="1" showInputMessage="1" showErrorMessage="1" prompt="今年度、標準記録を突破した大会名を記載のこと" sqref="R7:R116"/>
    <dataValidation allowBlank="1" sqref="R5 R3"/>
    <dataValidation type="list" allowBlank="1" showInputMessage="1" showErrorMessage="1" sqref="O7:O116">
      <formula1>IF(I7=1,$AU$6:$AU$24,$AV$6:$AV$24)</formula1>
    </dataValidation>
    <dataValidation type="list" allowBlank="1" showInputMessage="1" showErrorMessage="1" sqref="U7:U116">
      <formula1>IF(I7=1,$AU$6:$AU$24,$AV$6:$AV$24)</formula1>
    </dataValidation>
  </dataValidations>
  <printOptions horizontalCentered="1"/>
  <pageMargins left="0.5" right="0.3" top="0.98425196850393704" bottom="0.98425196850393704" header="0.51181102362204722" footer="0.51181102362204722"/>
  <pageSetup paperSize="9" scale="71" fitToHeight="2" orientation="portrait" verticalDpi="300" r:id="rId1"/>
  <headerFooter alignWithMargins="0">
    <oddHeader>&amp;R&amp;D &amp;T</oddHeader>
    <oddFooter>&amp;L&amp;P&amp;R三重陸上競技協会</oddFooter>
  </headerFooter>
  <legacyDrawing r:id="rId2"/>
</worksheet>
</file>

<file path=xl/worksheets/sheet12.xml><?xml version="1.0" encoding="utf-8"?>
<worksheet xmlns="http://schemas.openxmlformats.org/spreadsheetml/2006/main" xmlns:r="http://schemas.openxmlformats.org/officeDocument/2006/relationships">
  <sheetPr codeName="Sheet5"/>
  <dimension ref="A1:G189"/>
  <sheetViews>
    <sheetView workbookViewId="0">
      <selection activeCell="K11" sqref="K11"/>
    </sheetView>
  </sheetViews>
  <sheetFormatPr defaultColWidth="5.625" defaultRowHeight="15" customHeight="1"/>
  <cols>
    <col min="1" max="1" width="15.125" bestFit="1" customWidth="1"/>
    <col min="2" max="2" width="9" style="2" customWidth="1"/>
    <col min="3" max="4" width="15.125" bestFit="1" customWidth="1"/>
    <col min="5" max="5" width="9" customWidth="1"/>
    <col min="6" max="6" width="5.625" style="3" customWidth="1"/>
    <col min="7" max="7" width="7.25" style="3" bestFit="1" customWidth="1"/>
    <col min="8" max="8" width="5.625" style="3" customWidth="1"/>
    <col min="9" max="9" width="7.5" style="3" bestFit="1" customWidth="1"/>
    <col min="10" max="16384" width="5.625" style="3"/>
  </cols>
  <sheetData>
    <row r="1" spans="1:7" s="74" customFormat="1" ht="15" customHeight="1">
      <c r="A1" t="s">
        <v>303</v>
      </c>
      <c r="B1" s="2" t="s">
        <v>302</v>
      </c>
      <c r="C1" t="s">
        <v>303</v>
      </c>
      <c r="D1" t="s">
        <v>304</v>
      </c>
      <c r="E1" t="s">
        <v>305</v>
      </c>
    </row>
    <row r="2" spans="1:7" ht="15" customHeight="1">
      <c r="A2" s="1052" t="s">
        <v>10</v>
      </c>
      <c r="B2" s="2" t="s">
        <v>871</v>
      </c>
      <c r="C2" s="1052" t="s">
        <v>10</v>
      </c>
      <c r="D2" t="s">
        <v>126</v>
      </c>
      <c r="E2">
        <v>100</v>
      </c>
      <c r="G2" s="3" t="s">
        <v>804</v>
      </c>
    </row>
    <row r="3" spans="1:7" ht="15" customHeight="1">
      <c r="A3" s="1052" t="s">
        <v>39</v>
      </c>
      <c r="B3" s="2" t="s">
        <v>872</v>
      </c>
      <c r="C3" s="1052" t="s">
        <v>39</v>
      </c>
      <c r="D3" t="s">
        <v>126</v>
      </c>
      <c r="E3">
        <v>100</v>
      </c>
      <c r="G3" s="3" t="s">
        <v>804</v>
      </c>
    </row>
    <row r="4" spans="1:7" ht="15" customHeight="1">
      <c r="A4" s="1052" t="s">
        <v>9</v>
      </c>
      <c r="B4" s="2" t="s">
        <v>873</v>
      </c>
      <c r="C4" s="1052" t="s">
        <v>9</v>
      </c>
      <c r="D4" t="s">
        <v>126</v>
      </c>
      <c r="E4">
        <v>100</v>
      </c>
      <c r="G4" s="3" t="s">
        <v>804</v>
      </c>
    </row>
    <row r="5" spans="1:7" ht="15" customHeight="1">
      <c r="A5" s="1052" t="s">
        <v>3</v>
      </c>
      <c r="B5" s="2" t="s">
        <v>874</v>
      </c>
      <c r="C5" s="1052" t="s">
        <v>3</v>
      </c>
      <c r="D5" t="s">
        <v>126</v>
      </c>
      <c r="E5">
        <v>100</v>
      </c>
      <c r="G5" s="3" t="s">
        <v>804</v>
      </c>
    </row>
    <row r="6" spans="1:7" ht="15" customHeight="1">
      <c r="A6" s="1052" t="s">
        <v>11</v>
      </c>
      <c r="B6" s="2" t="s">
        <v>875</v>
      </c>
      <c r="C6" s="1052" t="s">
        <v>786</v>
      </c>
      <c r="D6" t="s">
        <v>126</v>
      </c>
      <c r="E6">
        <v>100</v>
      </c>
      <c r="G6" s="3" t="s">
        <v>804</v>
      </c>
    </row>
    <row r="7" spans="1:7" ht="15" customHeight="1">
      <c r="A7" s="1052" t="s">
        <v>153</v>
      </c>
      <c r="B7" s="2" t="s">
        <v>876</v>
      </c>
      <c r="C7" s="1052" t="s">
        <v>153</v>
      </c>
      <c r="D7" t="s">
        <v>126</v>
      </c>
      <c r="E7">
        <v>100</v>
      </c>
      <c r="G7" s="3" t="s">
        <v>804</v>
      </c>
    </row>
    <row r="8" spans="1:7" ht="15" customHeight="1">
      <c r="A8" s="1052" t="s">
        <v>748</v>
      </c>
      <c r="B8" s="2" t="s">
        <v>877</v>
      </c>
      <c r="C8" s="1052" t="s">
        <v>748</v>
      </c>
      <c r="D8" t="s">
        <v>126</v>
      </c>
      <c r="E8">
        <v>100</v>
      </c>
      <c r="G8" s="3" t="s">
        <v>804</v>
      </c>
    </row>
    <row r="9" spans="1:7" ht="15" customHeight="1">
      <c r="A9" s="1052" t="s">
        <v>12</v>
      </c>
      <c r="B9" s="2" t="s">
        <v>878</v>
      </c>
      <c r="C9" s="1052" t="s">
        <v>12</v>
      </c>
      <c r="D9" t="s">
        <v>126</v>
      </c>
      <c r="E9">
        <v>100</v>
      </c>
      <c r="G9" s="3" t="s">
        <v>804</v>
      </c>
    </row>
    <row r="10" spans="1:7" ht="15" customHeight="1">
      <c r="A10" s="1052" t="s">
        <v>749</v>
      </c>
      <c r="B10" s="2" t="s">
        <v>879</v>
      </c>
      <c r="C10" s="1052" t="s">
        <v>749</v>
      </c>
      <c r="D10" t="s">
        <v>126</v>
      </c>
      <c r="E10">
        <v>100</v>
      </c>
      <c r="G10" s="3" t="s">
        <v>804</v>
      </c>
    </row>
    <row r="11" spans="1:7" ht="15" customHeight="1">
      <c r="A11" s="1052" t="s">
        <v>750</v>
      </c>
      <c r="B11" s="2" t="s">
        <v>880</v>
      </c>
      <c r="C11" s="1052" t="s">
        <v>750</v>
      </c>
      <c r="D11" t="s">
        <v>126</v>
      </c>
      <c r="E11">
        <v>100</v>
      </c>
      <c r="G11" s="3" t="s">
        <v>804</v>
      </c>
    </row>
    <row r="12" spans="1:7" ht="15" customHeight="1">
      <c r="A12" s="1052" t="s">
        <v>41</v>
      </c>
      <c r="B12" s="2" t="s">
        <v>881</v>
      </c>
      <c r="C12" s="1052" t="s">
        <v>41</v>
      </c>
      <c r="D12" t="s">
        <v>127</v>
      </c>
      <c r="E12">
        <v>100</v>
      </c>
      <c r="G12" s="3" t="s">
        <v>804</v>
      </c>
    </row>
    <row r="13" spans="1:7" ht="15" customHeight="1">
      <c r="A13" s="1052" t="s">
        <v>152</v>
      </c>
      <c r="B13" s="2" t="s">
        <v>882</v>
      </c>
      <c r="C13" s="1052" t="s">
        <v>152</v>
      </c>
      <c r="D13" t="s">
        <v>329</v>
      </c>
      <c r="E13">
        <v>100</v>
      </c>
      <c r="G13" s="3" t="s">
        <v>804</v>
      </c>
    </row>
    <row r="14" spans="1:7" ht="15" customHeight="1">
      <c r="A14" s="1052" t="s">
        <v>8</v>
      </c>
      <c r="B14" s="2" t="s">
        <v>883</v>
      </c>
      <c r="C14" s="1052" t="s">
        <v>8</v>
      </c>
      <c r="D14" t="s">
        <v>329</v>
      </c>
      <c r="E14">
        <v>100</v>
      </c>
      <c r="G14" s="3" t="s">
        <v>804</v>
      </c>
    </row>
    <row r="15" spans="1:7" ht="15" customHeight="1">
      <c r="A15" s="1052" t="s">
        <v>13</v>
      </c>
      <c r="B15" s="2" t="s">
        <v>884</v>
      </c>
      <c r="C15" s="1052" t="s">
        <v>13</v>
      </c>
      <c r="D15" t="s">
        <v>329</v>
      </c>
      <c r="E15">
        <v>100</v>
      </c>
      <c r="G15" s="3" t="s">
        <v>804</v>
      </c>
    </row>
    <row r="16" spans="1:7" ht="15" customHeight="1">
      <c r="A16" s="1052" t="s">
        <v>42</v>
      </c>
      <c r="B16" s="2" t="s">
        <v>885</v>
      </c>
      <c r="C16" s="1052" t="s">
        <v>42</v>
      </c>
      <c r="D16" t="s">
        <v>128</v>
      </c>
      <c r="E16">
        <v>100</v>
      </c>
      <c r="G16" s="3" t="s">
        <v>804</v>
      </c>
    </row>
    <row r="17" spans="1:7" ht="15" customHeight="1">
      <c r="A17" s="1052" t="s">
        <v>14</v>
      </c>
      <c r="B17" s="2" t="s">
        <v>886</v>
      </c>
      <c r="C17" s="1052" t="s">
        <v>14</v>
      </c>
      <c r="D17" t="s">
        <v>128</v>
      </c>
      <c r="E17">
        <v>100</v>
      </c>
      <c r="G17" s="3" t="s">
        <v>804</v>
      </c>
    </row>
    <row r="18" spans="1:7" ht="15" customHeight="1">
      <c r="A18" s="1052" t="s">
        <v>43</v>
      </c>
      <c r="B18" s="2" t="s">
        <v>887</v>
      </c>
      <c r="C18" s="1052" t="s">
        <v>43</v>
      </c>
      <c r="D18" t="s">
        <v>329</v>
      </c>
      <c r="E18">
        <v>100</v>
      </c>
      <c r="G18" s="3" t="s">
        <v>804</v>
      </c>
    </row>
    <row r="19" spans="1:7" ht="15" customHeight="1">
      <c r="A19" s="1052" t="s">
        <v>44</v>
      </c>
      <c r="B19" s="2" t="s">
        <v>888</v>
      </c>
      <c r="C19" s="1052" t="s">
        <v>44</v>
      </c>
      <c r="D19" t="s">
        <v>165</v>
      </c>
      <c r="E19">
        <v>101</v>
      </c>
      <c r="G19" s="3" t="s">
        <v>805</v>
      </c>
    </row>
    <row r="20" spans="1:7" ht="15" customHeight="1">
      <c r="A20" s="1052" t="s">
        <v>45</v>
      </c>
      <c r="B20" s="2" t="s">
        <v>889</v>
      </c>
      <c r="C20" s="1052" t="s">
        <v>45</v>
      </c>
      <c r="D20" t="s">
        <v>165</v>
      </c>
      <c r="E20">
        <v>101</v>
      </c>
      <c r="G20" s="3" t="s">
        <v>805</v>
      </c>
    </row>
    <row r="21" spans="1:7" ht="15" customHeight="1">
      <c r="A21" s="1052" t="s">
        <v>46</v>
      </c>
      <c r="B21" s="2" t="s">
        <v>890</v>
      </c>
      <c r="C21" s="1052" t="s">
        <v>46</v>
      </c>
      <c r="D21" t="s">
        <v>165</v>
      </c>
      <c r="E21">
        <v>101</v>
      </c>
      <c r="G21" s="3" t="s">
        <v>805</v>
      </c>
    </row>
    <row r="22" spans="1:7" ht="15" customHeight="1">
      <c r="A22" s="1052" t="s">
        <v>47</v>
      </c>
      <c r="B22" s="2" t="s">
        <v>891</v>
      </c>
      <c r="C22" s="1052" t="s">
        <v>47</v>
      </c>
      <c r="D22" t="s">
        <v>165</v>
      </c>
      <c r="E22">
        <v>101</v>
      </c>
      <c r="G22" s="3" t="s">
        <v>805</v>
      </c>
    </row>
    <row r="23" spans="1:7" ht="15" customHeight="1">
      <c r="A23" s="1052" t="s">
        <v>48</v>
      </c>
      <c r="B23" s="2" t="s">
        <v>892</v>
      </c>
      <c r="C23" s="1052" t="s">
        <v>48</v>
      </c>
      <c r="D23" t="s">
        <v>165</v>
      </c>
      <c r="E23">
        <v>101</v>
      </c>
      <c r="G23" s="3" t="s">
        <v>805</v>
      </c>
    </row>
    <row r="24" spans="1:7" ht="15" customHeight="1">
      <c r="A24" s="1052" t="s">
        <v>49</v>
      </c>
      <c r="B24" s="2" t="s">
        <v>893</v>
      </c>
      <c r="C24" s="1052" t="s">
        <v>49</v>
      </c>
      <c r="D24" t="s">
        <v>165</v>
      </c>
      <c r="E24">
        <v>101</v>
      </c>
      <c r="G24" s="3" t="s">
        <v>805</v>
      </c>
    </row>
    <row r="25" spans="1:7" ht="15" customHeight="1">
      <c r="A25" s="1052" t="s">
        <v>50</v>
      </c>
      <c r="B25" s="2" t="s">
        <v>894</v>
      </c>
      <c r="C25" s="1052" t="s">
        <v>50</v>
      </c>
      <c r="D25" t="s">
        <v>165</v>
      </c>
      <c r="E25">
        <v>101</v>
      </c>
      <c r="G25" s="3" t="s">
        <v>805</v>
      </c>
    </row>
    <row r="26" spans="1:7" ht="15" customHeight="1">
      <c r="A26" s="1052" t="s">
        <v>279</v>
      </c>
      <c r="B26" s="2" t="s">
        <v>895</v>
      </c>
      <c r="C26" s="1052" t="s">
        <v>279</v>
      </c>
      <c r="D26" t="s">
        <v>165</v>
      </c>
      <c r="E26">
        <v>101</v>
      </c>
      <c r="G26" s="3" t="s">
        <v>805</v>
      </c>
    </row>
    <row r="27" spans="1:7" ht="15" customHeight="1">
      <c r="A27" s="1052" t="s">
        <v>51</v>
      </c>
      <c r="B27" s="2" t="s">
        <v>896</v>
      </c>
      <c r="C27" s="1052" t="s">
        <v>51</v>
      </c>
      <c r="D27" t="s">
        <v>165</v>
      </c>
      <c r="E27">
        <v>101</v>
      </c>
      <c r="G27" s="3" t="s">
        <v>805</v>
      </c>
    </row>
    <row r="28" spans="1:7" ht="15" customHeight="1">
      <c r="A28" s="1052" t="s">
        <v>52</v>
      </c>
      <c r="B28" s="2" t="s">
        <v>897</v>
      </c>
      <c r="C28" s="1052" t="s">
        <v>52</v>
      </c>
      <c r="D28" t="s">
        <v>165</v>
      </c>
      <c r="E28">
        <v>101</v>
      </c>
      <c r="G28" s="3" t="s">
        <v>805</v>
      </c>
    </row>
    <row r="29" spans="1:7" ht="15" customHeight="1">
      <c r="A29" s="1052" t="s">
        <v>53</v>
      </c>
      <c r="B29" s="2" t="s">
        <v>898</v>
      </c>
      <c r="C29" s="1052" t="s">
        <v>53</v>
      </c>
      <c r="D29" t="s">
        <v>165</v>
      </c>
      <c r="E29">
        <v>101</v>
      </c>
      <c r="G29" s="3" t="s">
        <v>805</v>
      </c>
    </row>
    <row r="30" spans="1:7" ht="15" customHeight="1">
      <c r="A30" s="1052" t="s">
        <v>175</v>
      </c>
      <c r="B30" s="2" t="s">
        <v>899</v>
      </c>
      <c r="C30" s="1052" t="s">
        <v>175</v>
      </c>
      <c r="D30" t="s">
        <v>165</v>
      </c>
      <c r="E30">
        <v>101</v>
      </c>
      <c r="G30" s="3" t="s">
        <v>805</v>
      </c>
    </row>
    <row r="31" spans="1:7" ht="15" customHeight="1">
      <c r="A31" s="1052" t="s">
        <v>54</v>
      </c>
      <c r="B31" s="2" t="s">
        <v>900</v>
      </c>
      <c r="C31" s="1052" t="s">
        <v>54</v>
      </c>
      <c r="D31" t="s">
        <v>165</v>
      </c>
      <c r="E31">
        <v>101</v>
      </c>
      <c r="G31" s="3" t="s">
        <v>805</v>
      </c>
    </row>
    <row r="32" spans="1:7" ht="15" customHeight="1">
      <c r="A32" s="1052" t="s">
        <v>751</v>
      </c>
      <c r="B32" s="2" t="s">
        <v>901</v>
      </c>
      <c r="C32" s="1052" t="s">
        <v>751</v>
      </c>
      <c r="D32" t="s">
        <v>165</v>
      </c>
      <c r="E32">
        <v>101</v>
      </c>
      <c r="G32" s="3" t="s">
        <v>805</v>
      </c>
    </row>
    <row r="33" spans="1:7" ht="15" customHeight="1">
      <c r="A33" s="1052" t="s">
        <v>55</v>
      </c>
      <c r="B33" s="2" t="s">
        <v>902</v>
      </c>
      <c r="C33" s="1052" t="s">
        <v>55</v>
      </c>
      <c r="D33" t="s">
        <v>165</v>
      </c>
      <c r="E33">
        <v>101</v>
      </c>
      <c r="G33" s="3" t="s">
        <v>805</v>
      </c>
    </row>
    <row r="34" spans="1:7" ht="15" customHeight="1">
      <c r="A34" s="1052" t="s">
        <v>56</v>
      </c>
      <c r="B34" s="2" t="s">
        <v>903</v>
      </c>
      <c r="C34" s="1052" t="s">
        <v>56</v>
      </c>
      <c r="D34" t="s">
        <v>165</v>
      </c>
      <c r="E34">
        <v>101</v>
      </c>
      <c r="G34" s="3" t="s">
        <v>805</v>
      </c>
    </row>
    <row r="35" spans="1:7" ht="15" customHeight="1">
      <c r="A35" s="1052" t="s">
        <v>57</v>
      </c>
      <c r="B35" s="2" t="s">
        <v>904</v>
      </c>
      <c r="C35" s="1052" t="s">
        <v>57</v>
      </c>
      <c r="D35" t="s">
        <v>165</v>
      </c>
      <c r="E35">
        <v>101</v>
      </c>
      <c r="G35" s="3" t="s">
        <v>805</v>
      </c>
    </row>
    <row r="36" spans="1:7" ht="15" customHeight="1">
      <c r="A36" s="1052" t="s">
        <v>58</v>
      </c>
      <c r="B36" s="2" t="s">
        <v>905</v>
      </c>
      <c r="C36" s="1052" t="s">
        <v>58</v>
      </c>
      <c r="D36" t="s">
        <v>165</v>
      </c>
      <c r="E36">
        <v>101</v>
      </c>
      <c r="G36" s="3" t="s">
        <v>805</v>
      </c>
    </row>
    <row r="37" spans="1:7" ht="15" customHeight="1">
      <c r="A37" s="1052" t="s">
        <v>59</v>
      </c>
      <c r="B37" s="2" t="s">
        <v>906</v>
      </c>
      <c r="C37" s="1052" t="s">
        <v>59</v>
      </c>
      <c r="D37" t="s">
        <v>165</v>
      </c>
      <c r="E37">
        <v>101</v>
      </c>
      <c r="G37" s="3" t="s">
        <v>805</v>
      </c>
    </row>
    <row r="38" spans="1:7" ht="15" customHeight="1">
      <c r="A38" s="1052" t="s">
        <v>60</v>
      </c>
      <c r="B38" s="2" t="s">
        <v>907</v>
      </c>
      <c r="C38" s="1052" t="s">
        <v>60</v>
      </c>
      <c r="D38" t="s">
        <v>165</v>
      </c>
      <c r="E38">
        <v>101</v>
      </c>
      <c r="G38" s="3" t="s">
        <v>805</v>
      </c>
    </row>
    <row r="39" spans="1:7" ht="15" customHeight="1">
      <c r="A39" s="1052" t="s">
        <v>301</v>
      </c>
      <c r="B39" s="2" t="s">
        <v>908</v>
      </c>
      <c r="C39" s="1052" t="s">
        <v>301</v>
      </c>
      <c r="D39" t="s">
        <v>165</v>
      </c>
      <c r="E39">
        <v>101</v>
      </c>
      <c r="G39" s="3" t="s">
        <v>805</v>
      </c>
    </row>
    <row r="40" spans="1:7" ht="15" customHeight="1">
      <c r="A40" s="1052" t="s">
        <v>167</v>
      </c>
      <c r="B40" s="2" t="s">
        <v>909</v>
      </c>
      <c r="C40" s="1052" t="s">
        <v>167</v>
      </c>
      <c r="D40" t="s">
        <v>165</v>
      </c>
      <c r="E40">
        <v>101</v>
      </c>
      <c r="G40" s="3" t="s">
        <v>805</v>
      </c>
    </row>
    <row r="41" spans="1:7" ht="15" customHeight="1">
      <c r="A41" s="1052" t="s">
        <v>114</v>
      </c>
      <c r="B41" s="2" t="s">
        <v>910</v>
      </c>
      <c r="C41" s="1052" t="s">
        <v>114</v>
      </c>
      <c r="D41" t="s">
        <v>165</v>
      </c>
      <c r="E41">
        <v>101</v>
      </c>
      <c r="G41" s="3" t="s">
        <v>805</v>
      </c>
    </row>
    <row r="42" spans="1:7" ht="15" customHeight="1">
      <c r="A42" s="1052" t="s">
        <v>280</v>
      </c>
      <c r="B42" s="2" t="s">
        <v>911</v>
      </c>
      <c r="C42" s="1052" t="s">
        <v>280</v>
      </c>
      <c r="D42" t="s">
        <v>162</v>
      </c>
      <c r="E42">
        <v>101</v>
      </c>
      <c r="G42" s="3" t="s">
        <v>805</v>
      </c>
    </row>
    <row r="43" spans="1:7" ht="15" customHeight="1">
      <c r="A43" s="1052" t="s">
        <v>61</v>
      </c>
      <c r="B43" s="2" t="s">
        <v>912</v>
      </c>
      <c r="C43" s="1052" t="s">
        <v>61</v>
      </c>
      <c r="D43" t="s">
        <v>162</v>
      </c>
      <c r="E43">
        <v>101</v>
      </c>
      <c r="G43" s="3" t="s">
        <v>805</v>
      </c>
    </row>
    <row r="44" spans="1:7" ht="15" customHeight="1">
      <c r="A44" s="1052" t="s">
        <v>62</v>
      </c>
      <c r="B44" s="2" t="s">
        <v>913</v>
      </c>
      <c r="C44" s="1052" t="s">
        <v>62</v>
      </c>
      <c r="D44" t="s">
        <v>165</v>
      </c>
      <c r="E44">
        <v>101</v>
      </c>
      <c r="G44" s="3" t="s">
        <v>805</v>
      </c>
    </row>
    <row r="45" spans="1:7" ht="15" customHeight="1">
      <c r="A45" s="1052" t="s">
        <v>63</v>
      </c>
      <c r="B45" s="2" t="s">
        <v>914</v>
      </c>
      <c r="C45" s="1052" t="s">
        <v>63</v>
      </c>
      <c r="D45" t="s">
        <v>162</v>
      </c>
      <c r="E45">
        <v>101</v>
      </c>
      <c r="G45" s="3" t="s">
        <v>805</v>
      </c>
    </row>
    <row r="46" spans="1:7" ht="15" customHeight="1">
      <c r="A46" s="1052" t="s">
        <v>281</v>
      </c>
      <c r="B46" s="2" t="s">
        <v>915</v>
      </c>
      <c r="C46" s="1052" t="s">
        <v>281</v>
      </c>
      <c r="D46" t="s">
        <v>162</v>
      </c>
      <c r="E46">
        <v>101</v>
      </c>
      <c r="G46" s="3" t="s">
        <v>805</v>
      </c>
    </row>
    <row r="47" spans="1:7" ht="15" customHeight="1">
      <c r="A47" s="1052" t="s">
        <v>6</v>
      </c>
      <c r="B47" s="2" t="s">
        <v>916</v>
      </c>
      <c r="C47" s="1052" t="s">
        <v>6</v>
      </c>
      <c r="D47" t="s">
        <v>116</v>
      </c>
      <c r="E47">
        <v>103</v>
      </c>
      <c r="G47" s="3" t="s">
        <v>806</v>
      </c>
    </row>
    <row r="48" spans="1:7" ht="15" customHeight="1">
      <c r="A48" s="1052" t="s">
        <v>145</v>
      </c>
      <c r="B48" s="2" t="s">
        <v>917</v>
      </c>
      <c r="C48" s="1052" t="s">
        <v>145</v>
      </c>
      <c r="D48" t="s">
        <v>116</v>
      </c>
      <c r="E48">
        <v>103</v>
      </c>
      <c r="G48" s="3" t="s">
        <v>806</v>
      </c>
    </row>
    <row r="49" spans="1:7" ht="15" customHeight="1">
      <c r="A49" s="1052" t="s">
        <v>282</v>
      </c>
      <c r="B49" s="2" t="s">
        <v>918</v>
      </c>
      <c r="C49" s="1052" t="s">
        <v>282</v>
      </c>
      <c r="D49" t="s">
        <v>116</v>
      </c>
      <c r="E49">
        <v>103</v>
      </c>
      <c r="G49" s="3" t="s">
        <v>806</v>
      </c>
    </row>
    <row r="50" spans="1:7" ht="15" customHeight="1">
      <c r="A50" s="1052" t="s">
        <v>4</v>
      </c>
      <c r="B50" s="2" t="s">
        <v>919</v>
      </c>
      <c r="C50" s="1052" t="s">
        <v>4</v>
      </c>
      <c r="D50" t="s">
        <v>116</v>
      </c>
      <c r="E50">
        <v>103</v>
      </c>
      <c r="G50" s="3" t="s">
        <v>806</v>
      </c>
    </row>
    <row r="51" spans="1:7" ht="15" customHeight="1">
      <c r="A51" s="1052" t="s">
        <v>38</v>
      </c>
      <c r="B51" s="2" t="s">
        <v>920</v>
      </c>
      <c r="C51" s="1052" t="s">
        <v>38</v>
      </c>
      <c r="D51" t="s">
        <v>116</v>
      </c>
      <c r="E51">
        <v>103</v>
      </c>
      <c r="G51" s="3" t="s">
        <v>806</v>
      </c>
    </row>
    <row r="52" spans="1:7" ht="15" customHeight="1">
      <c r="A52" s="1052" t="s">
        <v>283</v>
      </c>
      <c r="B52" s="2" t="s">
        <v>921</v>
      </c>
      <c r="C52" s="1052" t="s">
        <v>283</v>
      </c>
      <c r="D52" t="s">
        <v>116</v>
      </c>
      <c r="E52">
        <v>103</v>
      </c>
      <c r="G52" s="3" t="s">
        <v>806</v>
      </c>
    </row>
    <row r="53" spans="1:7" ht="15" customHeight="1">
      <c r="A53" s="1052" t="s">
        <v>64</v>
      </c>
      <c r="B53" s="2" t="s">
        <v>922</v>
      </c>
      <c r="C53" s="1052" t="s">
        <v>64</v>
      </c>
      <c r="D53" t="s">
        <v>116</v>
      </c>
      <c r="E53">
        <v>103</v>
      </c>
      <c r="G53" s="3" t="s">
        <v>806</v>
      </c>
    </row>
    <row r="54" spans="1:7" ht="15" customHeight="1">
      <c r="A54" s="1052" t="s">
        <v>65</v>
      </c>
      <c r="B54" s="2" t="s">
        <v>923</v>
      </c>
      <c r="C54" s="1052" t="s">
        <v>65</v>
      </c>
      <c r="D54" t="s">
        <v>116</v>
      </c>
      <c r="E54">
        <v>103</v>
      </c>
      <c r="G54" s="3" t="s">
        <v>806</v>
      </c>
    </row>
    <row r="55" spans="1:7" ht="15" customHeight="1">
      <c r="A55" s="1052" t="s">
        <v>146</v>
      </c>
      <c r="B55" s="2" t="s">
        <v>924</v>
      </c>
      <c r="C55" s="1052" t="s">
        <v>146</v>
      </c>
      <c r="D55" t="s">
        <v>116</v>
      </c>
      <c r="E55">
        <v>103</v>
      </c>
      <c r="G55" s="3" t="s">
        <v>806</v>
      </c>
    </row>
    <row r="56" spans="1:7" ht="15" customHeight="1">
      <c r="A56" s="1052" t="s">
        <v>66</v>
      </c>
      <c r="B56" s="2" t="s">
        <v>925</v>
      </c>
      <c r="C56" s="1052" t="s">
        <v>66</v>
      </c>
      <c r="D56" t="s">
        <v>116</v>
      </c>
      <c r="E56">
        <v>103</v>
      </c>
      <c r="G56" s="3" t="s">
        <v>806</v>
      </c>
    </row>
    <row r="57" spans="1:7" ht="15" customHeight="1">
      <c r="A57" s="1052" t="s">
        <v>170</v>
      </c>
      <c r="B57" s="2" t="s">
        <v>926</v>
      </c>
      <c r="C57" s="1052" t="s">
        <v>170</v>
      </c>
      <c r="D57" t="s">
        <v>116</v>
      </c>
      <c r="E57">
        <v>103</v>
      </c>
      <c r="G57" s="3" t="s">
        <v>806</v>
      </c>
    </row>
    <row r="58" spans="1:7" ht="15" customHeight="1">
      <c r="A58" s="1052" t="s">
        <v>284</v>
      </c>
      <c r="B58" s="2" t="s">
        <v>927</v>
      </c>
      <c r="C58" s="1052" t="s">
        <v>284</v>
      </c>
      <c r="D58" t="s">
        <v>118</v>
      </c>
      <c r="E58">
        <v>103</v>
      </c>
      <c r="G58" s="3" t="s">
        <v>806</v>
      </c>
    </row>
    <row r="59" spans="1:7" ht="15" customHeight="1">
      <c r="A59" s="1052" t="s">
        <v>285</v>
      </c>
      <c r="B59" s="2" t="s">
        <v>928</v>
      </c>
      <c r="C59" s="1052" t="s">
        <v>285</v>
      </c>
      <c r="D59" t="s">
        <v>118</v>
      </c>
      <c r="E59">
        <v>103</v>
      </c>
      <c r="G59" s="3" t="s">
        <v>806</v>
      </c>
    </row>
    <row r="60" spans="1:7" ht="15" customHeight="1">
      <c r="A60" s="1052" t="s">
        <v>67</v>
      </c>
      <c r="B60" s="2" t="s">
        <v>929</v>
      </c>
      <c r="C60" s="1052" t="s">
        <v>67</v>
      </c>
      <c r="D60" t="s">
        <v>118</v>
      </c>
      <c r="E60">
        <v>103</v>
      </c>
      <c r="G60" s="3" t="s">
        <v>806</v>
      </c>
    </row>
    <row r="61" spans="1:7" ht="15" customHeight="1">
      <c r="A61" s="1052" t="s">
        <v>134</v>
      </c>
      <c r="B61" s="2" t="s">
        <v>930</v>
      </c>
      <c r="C61" s="1052" t="s">
        <v>134</v>
      </c>
      <c r="D61" t="s">
        <v>117</v>
      </c>
      <c r="E61">
        <v>104</v>
      </c>
      <c r="G61" s="3" t="s">
        <v>807</v>
      </c>
    </row>
    <row r="62" spans="1:7" ht="15" customHeight="1">
      <c r="A62" s="1052" t="s">
        <v>68</v>
      </c>
      <c r="B62" s="2" t="s">
        <v>931</v>
      </c>
      <c r="C62" s="1052" t="s">
        <v>68</v>
      </c>
      <c r="D62" t="s">
        <v>117</v>
      </c>
      <c r="E62">
        <v>104</v>
      </c>
      <c r="G62" s="3" t="s">
        <v>807</v>
      </c>
    </row>
    <row r="63" spans="1:7" ht="15" customHeight="1">
      <c r="A63" s="1052" t="s">
        <v>135</v>
      </c>
      <c r="B63" s="2" t="s">
        <v>932</v>
      </c>
      <c r="C63" s="1052" t="s">
        <v>135</v>
      </c>
      <c r="D63" t="s">
        <v>117</v>
      </c>
      <c r="E63">
        <v>104</v>
      </c>
      <c r="G63" s="3" t="s">
        <v>807</v>
      </c>
    </row>
    <row r="64" spans="1:7" ht="15" customHeight="1">
      <c r="A64" s="1052" t="s">
        <v>133</v>
      </c>
      <c r="B64" s="2" t="s">
        <v>933</v>
      </c>
      <c r="C64" s="1052" t="s">
        <v>133</v>
      </c>
      <c r="D64" t="s">
        <v>117</v>
      </c>
      <c r="E64">
        <v>104</v>
      </c>
      <c r="G64" s="3" t="s">
        <v>807</v>
      </c>
    </row>
    <row r="65" spans="1:7" ht="15" customHeight="1">
      <c r="A65" s="1052" t="s">
        <v>138</v>
      </c>
      <c r="B65" s="2" t="s">
        <v>934</v>
      </c>
      <c r="C65" s="1052" t="s">
        <v>138</v>
      </c>
      <c r="D65" t="s">
        <v>117</v>
      </c>
      <c r="E65">
        <v>104</v>
      </c>
      <c r="G65" s="3" t="s">
        <v>807</v>
      </c>
    </row>
    <row r="66" spans="1:7" ht="15" customHeight="1">
      <c r="A66" s="1052" t="s">
        <v>136</v>
      </c>
      <c r="B66" s="2" t="s">
        <v>935</v>
      </c>
      <c r="C66" s="1052" t="s">
        <v>136</v>
      </c>
      <c r="D66" t="s">
        <v>117</v>
      </c>
      <c r="E66">
        <v>104</v>
      </c>
      <c r="G66" s="3" t="s">
        <v>807</v>
      </c>
    </row>
    <row r="67" spans="1:7" ht="15" customHeight="1">
      <c r="A67" s="1052" t="s">
        <v>190</v>
      </c>
      <c r="B67" s="2" t="s">
        <v>936</v>
      </c>
      <c r="C67" s="1052" t="s">
        <v>190</v>
      </c>
      <c r="D67" t="s">
        <v>117</v>
      </c>
      <c r="E67">
        <v>104</v>
      </c>
      <c r="G67" s="3" t="s">
        <v>807</v>
      </c>
    </row>
    <row r="68" spans="1:7" ht="15" customHeight="1">
      <c r="A68" s="1052" t="s">
        <v>757</v>
      </c>
      <c r="B68" s="2" t="s">
        <v>937</v>
      </c>
      <c r="C68" s="1052" t="s">
        <v>757</v>
      </c>
      <c r="D68" t="s">
        <v>117</v>
      </c>
      <c r="E68">
        <v>104</v>
      </c>
      <c r="G68" s="3" t="s">
        <v>807</v>
      </c>
    </row>
    <row r="69" spans="1:7" ht="15" customHeight="1">
      <c r="A69" s="1052" t="s">
        <v>137</v>
      </c>
      <c r="B69" s="2" t="s">
        <v>938</v>
      </c>
      <c r="C69" s="1052" t="s">
        <v>137</v>
      </c>
      <c r="D69" t="s">
        <v>117</v>
      </c>
      <c r="E69">
        <v>104</v>
      </c>
      <c r="G69" s="3" t="s">
        <v>807</v>
      </c>
    </row>
    <row r="70" spans="1:7" ht="15" customHeight="1">
      <c r="A70" s="1052" t="s">
        <v>168</v>
      </c>
      <c r="B70" s="2" t="s">
        <v>939</v>
      </c>
      <c r="C70" s="1052" t="s">
        <v>168</v>
      </c>
      <c r="D70" t="s">
        <v>117</v>
      </c>
      <c r="E70">
        <v>104</v>
      </c>
      <c r="G70" s="3" t="s">
        <v>807</v>
      </c>
    </row>
    <row r="71" spans="1:7" ht="15" customHeight="1">
      <c r="A71" s="1052" t="s">
        <v>758</v>
      </c>
      <c r="B71" s="2" t="s">
        <v>940</v>
      </c>
      <c r="C71" s="1052" t="s">
        <v>758</v>
      </c>
      <c r="D71" t="s">
        <v>117</v>
      </c>
      <c r="E71">
        <v>104</v>
      </c>
      <c r="G71" s="3" t="s">
        <v>807</v>
      </c>
    </row>
    <row r="72" spans="1:7" ht="15" customHeight="1">
      <c r="A72" s="1052" t="s">
        <v>759</v>
      </c>
      <c r="B72" s="2" t="s">
        <v>941</v>
      </c>
      <c r="C72" s="1052" t="s">
        <v>759</v>
      </c>
      <c r="D72" t="s">
        <v>117</v>
      </c>
      <c r="E72">
        <v>104</v>
      </c>
      <c r="G72" s="3" t="s">
        <v>807</v>
      </c>
    </row>
    <row r="73" spans="1:7" ht="15" customHeight="1">
      <c r="A73" s="1052" t="s">
        <v>32</v>
      </c>
      <c r="B73" s="2" t="s">
        <v>942</v>
      </c>
      <c r="C73" s="1052" t="s">
        <v>32</v>
      </c>
      <c r="D73" t="s">
        <v>117</v>
      </c>
      <c r="E73">
        <v>104</v>
      </c>
      <c r="G73" s="3" t="s">
        <v>807</v>
      </c>
    </row>
    <row r="74" spans="1:7" ht="15" customHeight="1">
      <c r="A74" s="1052" t="s">
        <v>69</v>
      </c>
      <c r="B74" s="2" t="s">
        <v>943</v>
      </c>
      <c r="C74" s="1052" t="s">
        <v>69</v>
      </c>
      <c r="D74" t="s">
        <v>117</v>
      </c>
      <c r="E74">
        <v>104</v>
      </c>
      <c r="G74" s="3" t="s">
        <v>807</v>
      </c>
    </row>
    <row r="75" spans="1:7" ht="15" customHeight="1">
      <c r="A75" s="1052" t="s">
        <v>70</v>
      </c>
      <c r="B75" s="2" t="s">
        <v>944</v>
      </c>
      <c r="C75" s="1052" t="s">
        <v>70</v>
      </c>
      <c r="D75" t="s">
        <v>117</v>
      </c>
      <c r="E75">
        <v>104</v>
      </c>
      <c r="G75" s="3" t="s">
        <v>807</v>
      </c>
    </row>
    <row r="76" spans="1:7" ht="15" customHeight="1">
      <c r="A76" s="1052" t="s">
        <v>139</v>
      </c>
      <c r="B76" s="2" t="s">
        <v>945</v>
      </c>
      <c r="C76" s="1052" t="s">
        <v>139</v>
      </c>
      <c r="D76" t="s">
        <v>117</v>
      </c>
      <c r="E76">
        <v>104</v>
      </c>
      <c r="G76" s="3" t="s">
        <v>807</v>
      </c>
    </row>
    <row r="77" spans="1:7" ht="15" customHeight="1">
      <c r="A77" s="1052" t="s">
        <v>189</v>
      </c>
      <c r="B77" s="2" t="s">
        <v>946</v>
      </c>
      <c r="C77" s="1052" t="s">
        <v>189</v>
      </c>
      <c r="D77" t="s">
        <v>117</v>
      </c>
      <c r="E77">
        <v>104</v>
      </c>
      <c r="G77" s="3" t="s">
        <v>807</v>
      </c>
    </row>
    <row r="78" spans="1:7" ht="15" customHeight="1">
      <c r="A78" s="1052" t="s">
        <v>286</v>
      </c>
      <c r="B78" s="2" t="s">
        <v>947</v>
      </c>
      <c r="C78" s="1052" t="s">
        <v>286</v>
      </c>
      <c r="D78" t="s">
        <v>117</v>
      </c>
      <c r="E78">
        <v>104</v>
      </c>
      <c r="G78" s="3" t="s">
        <v>807</v>
      </c>
    </row>
    <row r="79" spans="1:7" ht="15" customHeight="1">
      <c r="A79" s="1052" t="s">
        <v>143</v>
      </c>
      <c r="B79" s="2" t="s">
        <v>948</v>
      </c>
      <c r="C79" s="1052" t="s">
        <v>143</v>
      </c>
      <c r="D79" t="s">
        <v>117</v>
      </c>
      <c r="E79">
        <v>104</v>
      </c>
      <c r="G79" s="3" t="s">
        <v>807</v>
      </c>
    </row>
    <row r="80" spans="1:7" ht="15" customHeight="1">
      <c r="A80" s="1052" t="s">
        <v>148</v>
      </c>
      <c r="B80" s="2" t="s">
        <v>949</v>
      </c>
      <c r="C80" s="1052" t="s">
        <v>148</v>
      </c>
      <c r="D80" t="s">
        <v>117</v>
      </c>
      <c r="E80">
        <v>104</v>
      </c>
      <c r="G80" s="3" t="s">
        <v>807</v>
      </c>
    </row>
    <row r="81" spans="1:7" ht="15" customHeight="1">
      <c r="A81" s="1052" t="s">
        <v>71</v>
      </c>
      <c r="B81" s="2" t="s">
        <v>950</v>
      </c>
      <c r="C81" s="1052" t="s">
        <v>71</v>
      </c>
      <c r="D81" t="s">
        <v>117</v>
      </c>
      <c r="E81">
        <v>104</v>
      </c>
      <c r="G81" s="3" t="s">
        <v>807</v>
      </c>
    </row>
    <row r="82" spans="1:7" ht="15" customHeight="1">
      <c r="A82" s="1052" t="s">
        <v>35</v>
      </c>
      <c r="B82" s="2" t="s">
        <v>951</v>
      </c>
      <c r="C82" s="1052" t="s">
        <v>35</v>
      </c>
      <c r="D82" t="s">
        <v>117</v>
      </c>
      <c r="E82">
        <v>104</v>
      </c>
      <c r="G82" s="3" t="s">
        <v>807</v>
      </c>
    </row>
    <row r="83" spans="1:7" ht="15" customHeight="1">
      <c r="A83" s="1052" t="s">
        <v>179</v>
      </c>
      <c r="B83" s="2" t="s">
        <v>952</v>
      </c>
      <c r="C83" s="1052" t="s">
        <v>179</v>
      </c>
      <c r="D83" t="s">
        <v>117</v>
      </c>
      <c r="E83">
        <v>104</v>
      </c>
      <c r="G83" s="3" t="s">
        <v>807</v>
      </c>
    </row>
    <row r="84" spans="1:7" ht="15" customHeight="1">
      <c r="A84" s="1052" t="s">
        <v>37</v>
      </c>
      <c r="B84" s="2" t="s">
        <v>953</v>
      </c>
      <c r="C84" s="1052" t="s">
        <v>37</v>
      </c>
      <c r="D84" t="s">
        <v>119</v>
      </c>
      <c r="E84">
        <v>105</v>
      </c>
      <c r="G84" s="3" t="s">
        <v>808</v>
      </c>
    </row>
    <row r="85" spans="1:7" ht="15" customHeight="1">
      <c r="A85" s="1052" t="s">
        <v>72</v>
      </c>
      <c r="B85" s="2" t="s">
        <v>954</v>
      </c>
      <c r="C85" s="1052" t="s">
        <v>72</v>
      </c>
      <c r="D85" t="s">
        <v>117</v>
      </c>
      <c r="E85">
        <v>104</v>
      </c>
      <c r="G85" s="3" t="s">
        <v>807</v>
      </c>
    </row>
    <row r="86" spans="1:7" ht="15" customHeight="1">
      <c r="A86" s="1052" t="s">
        <v>156</v>
      </c>
      <c r="B86" s="2" t="s">
        <v>955</v>
      </c>
      <c r="C86" s="1052" t="s">
        <v>156</v>
      </c>
      <c r="D86" t="s">
        <v>119</v>
      </c>
      <c r="E86">
        <v>105</v>
      </c>
      <c r="G86" s="3" t="s">
        <v>808</v>
      </c>
    </row>
    <row r="87" spans="1:7" ht="15" customHeight="1">
      <c r="A87" s="1052" t="s">
        <v>73</v>
      </c>
      <c r="B87" s="2" t="s">
        <v>956</v>
      </c>
      <c r="C87" s="1052" t="s">
        <v>73</v>
      </c>
      <c r="D87" t="s">
        <v>119</v>
      </c>
      <c r="E87">
        <v>105</v>
      </c>
      <c r="G87" s="3" t="s">
        <v>808</v>
      </c>
    </row>
    <row r="88" spans="1:7" ht="15" customHeight="1">
      <c r="A88" s="1052" t="s">
        <v>74</v>
      </c>
      <c r="B88" s="2" t="s">
        <v>957</v>
      </c>
      <c r="C88" s="1052" t="s">
        <v>74</v>
      </c>
      <c r="D88" t="s">
        <v>119</v>
      </c>
      <c r="E88">
        <v>105</v>
      </c>
      <c r="G88" s="3" t="s">
        <v>808</v>
      </c>
    </row>
    <row r="89" spans="1:7" ht="15" customHeight="1">
      <c r="A89" s="1052" t="s">
        <v>75</v>
      </c>
      <c r="B89" s="2" t="s">
        <v>958</v>
      </c>
      <c r="C89" s="1052" t="s">
        <v>75</v>
      </c>
      <c r="D89" t="s">
        <v>119</v>
      </c>
      <c r="E89">
        <v>105</v>
      </c>
      <c r="G89" s="3" t="s">
        <v>808</v>
      </c>
    </row>
    <row r="90" spans="1:7" ht="15" customHeight="1">
      <c r="A90" s="1052" t="s">
        <v>287</v>
      </c>
      <c r="B90" s="2" t="s">
        <v>959</v>
      </c>
      <c r="C90" s="1052" t="s">
        <v>287</v>
      </c>
      <c r="D90" t="s">
        <v>119</v>
      </c>
      <c r="E90">
        <v>105</v>
      </c>
      <c r="G90" s="3" t="s">
        <v>808</v>
      </c>
    </row>
    <row r="91" spans="1:7" ht="15" customHeight="1">
      <c r="A91" s="1052" t="s">
        <v>288</v>
      </c>
      <c r="B91" s="2" t="s">
        <v>960</v>
      </c>
      <c r="C91" s="1052" t="s">
        <v>288</v>
      </c>
      <c r="D91" t="s">
        <v>119</v>
      </c>
      <c r="E91">
        <v>105</v>
      </c>
      <c r="G91" s="3" t="s">
        <v>808</v>
      </c>
    </row>
    <row r="92" spans="1:7" ht="15" customHeight="1">
      <c r="A92" s="1052" t="s">
        <v>76</v>
      </c>
      <c r="B92" s="2" t="s">
        <v>961</v>
      </c>
      <c r="C92" s="1052" t="s">
        <v>76</v>
      </c>
      <c r="D92" t="s">
        <v>119</v>
      </c>
      <c r="E92">
        <v>105</v>
      </c>
      <c r="G92" s="3" t="s">
        <v>808</v>
      </c>
    </row>
    <row r="93" spans="1:7" ht="15" customHeight="1">
      <c r="A93" s="1052" t="s">
        <v>752</v>
      </c>
      <c r="B93" s="2" t="s">
        <v>962</v>
      </c>
      <c r="C93" s="1052" t="s">
        <v>752</v>
      </c>
      <c r="D93" t="s">
        <v>119</v>
      </c>
      <c r="E93">
        <v>105</v>
      </c>
      <c r="G93" s="3" t="s">
        <v>808</v>
      </c>
    </row>
    <row r="94" spans="1:7" ht="15" customHeight="1">
      <c r="A94" s="1052" t="s">
        <v>166</v>
      </c>
      <c r="B94" s="2" t="s">
        <v>963</v>
      </c>
      <c r="C94" s="1052" t="s">
        <v>166</v>
      </c>
      <c r="D94" t="s">
        <v>119</v>
      </c>
      <c r="E94">
        <v>105</v>
      </c>
      <c r="G94" s="3" t="s">
        <v>808</v>
      </c>
    </row>
    <row r="95" spans="1:7" ht="15" customHeight="1">
      <c r="A95" s="1052" t="s">
        <v>172</v>
      </c>
      <c r="B95" s="2" t="s">
        <v>964</v>
      </c>
      <c r="C95" s="1052" t="s">
        <v>172</v>
      </c>
      <c r="D95" t="s">
        <v>119</v>
      </c>
      <c r="E95">
        <v>105</v>
      </c>
      <c r="G95" s="3" t="s">
        <v>808</v>
      </c>
    </row>
    <row r="96" spans="1:7" ht="15" customHeight="1">
      <c r="A96" s="1052" t="s">
        <v>77</v>
      </c>
      <c r="B96" s="2" t="s">
        <v>965</v>
      </c>
      <c r="C96" s="1052" t="s">
        <v>77</v>
      </c>
      <c r="D96" t="s">
        <v>119</v>
      </c>
      <c r="E96">
        <v>105</v>
      </c>
      <c r="G96" s="3" t="s">
        <v>808</v>
      </c>
    </row>
    <row r="97" spans="1:7" ht="15" customHeight="1">
      <c r="A97" s="1052" t="s">
        <v>78</v>
      </c>
      <c r="B97" s="2" t="s">
        <v>966</v>
      </c>
      <c r="C97" s="1052" t="s">
        <v>78</v>
      </c>
      <c r="D97" t="s">
        <v>119</v>
      </c>
      <c r="E97">
        <v>105</v>
      </c>
      <c r="G97" s="3" t="s">
        <v>808</v>
      </c>
    </row>
    <row r="98" spans="1:7" ht="15" customHeight="1">
      <c r="A98" s="1052" t="s">
        <v>188</v>
      </c>
      <c r="B98" s="2" t="s">
        <v>967</v>
      </c>
      <c r="C98" s="1052" t="s">
        <v>188</v>
      </c>
      <c r="D98" t="s">
        <v>129</v>
      </c>
      <c r="E98">
        <v>105</v>
      </c>
      <c r="G98" s="3" t="s">
        <v>808</v>
      </c>
    </row>
    <row r="99" spans="1:7" ht="15" customHeight="1">
      <c r="A99" s="1052" t="s">
        <v>155</v>
      </c>
      <c r="B99" s="2" t="s">
        <v>968</v>
      </c>
      <c r="C99" s="1052" t="s">
        <v>155</v>
      </c>
      <c r="D99" t="s">
        <v>129</v>
      </c>
      <c r="E99">
        <v>105</v>
      </c>
      <c r="G99" s="3" t="s">
        <v>808</v>
      </c>
    </row>
    <row r="100" spans="1:7" ht="15" customHeight="1">
      <c r="A100" s="1052" t="s">
        <v>79</v>
      </c>
      <c r="B100" s="2" t="s">
        <v>969</v>
      </c>
      <c r="C100" s="1052" t="s">
        <v>79</v>
      </c>
      <c r="D100" t="s">
        <v>129</v>
      </c>
      <c r="E100">
        <v>105</v>
      </c>
      <c r="G100" s="3" t="s">
        <v>808</v>
      </c>
    </row>
    <row r="101" spans="1:7" ht="15" customHeight="1">
      <c r="A101" s="1052" t="s">
        <v>80</v>
      </c>
      <c r="B101" s="2" t="s">
        <v>970</v>
      </c>
      <c r="C101" s="1052" t="s">
        <v>80</v>
      </c>
      <c r="D101" t="s">
        <v>129</v>
      </c>
      <c r="E101">
        <v>105</v>
      </c>
      <c r="G101" s="3" t="s">
        <v>808</v>
      </c>
    </row>
    <row r="102" spans="1:7" ht="15" customHeight="1">
      <c r="A102" s="1052" t="s">
        <v>81</v>
      </c>
      <c r="B102" s="2" t="s">
        <v>971</v>
      </c>
      <c r="C102" s="1052" t="s">
        <v>81</v>
      </c>
      <c r="D102" t="s">
        <v>129</v>
      </c>
      <c r="E102">
        <v>105</v>
      </c>
      <c r="G102" s="3" t="s">
        <v>808</v>
      </c>
    </row>
    <row r="103" spans="1:7" ht="15" customHeight="1">
      <c r="A103" s="1052" t="s">
        <v>289</v>
      </c>
      <c r="B103" s="2" t="s">
        <v>972</v>
      </c>
      <c r="C103" s="1052" t="s">
        <v>289</v>
      </c>
      <c r="D103" t="s">
        <v>129</v>
      </c>
      <c r="E103">
        <v>105</v>
      </c>
      <c r="G103" s="3" t="s">
        <v>808</v>
      </c>
    </row>
    <row r="104" spans="1:7" ht="15" customHeight="1">
      <c r="A104" s="1052" t="s">
        <v>142</v>
      </c>
      <c r="B104" s="2" t="s">
        <v>973</v>
      </c>
      <c r="C104" s="1052" t="s">
        <v>142</v>
      </c>
      <c r="D104" t="s">
        <v>123</v>
      </c>
      <c r="E104">
        <v>106</v>
      </c>
      <c r="G104" s="3" t="s">
        <v>809</v>
      </c>
    </row>
    <row r="105" spans="1:7" ht="15" customHeight="1">
      <c r="A105" s="1052" t="s">
        <v>82</v>
      </c>
      <c r="B105" s="2" t="s">
        <v>974</v>
      </c>
      <c r="C105" s="1052" t="s">
        <v>82</v>
      </c>
      <c r="D105" t="s">
        <v>123</v>
      </c>
      <c r="E105">
        <v>106</v>
      </c>
      <c r="G105" s="3" t="s">
        <v>809</v>
      </c>
    </row>
    <row r="106" spans="1:7" ht="15" customHeight="1">
      <c r="A106" s="1052" t="s">
        <v>290</v>
      </c>
      <c r="B106" s="2" t="s">
        <v>975</v>
      </c>
      <c r="C106" s="1052" t="s">
        <v>290</v>
      </c>
      <c r="D106" t="s">
        <v>123</v>
      </c>
      <c r="E106">
        <v>106</v>
      </c>
      <c r="G106" s="3" t="s">
        <v>809</v>
      </c>
    </row>
    <row r="107" spans="1:7" ht="15" customHeight="1">
      <c r="A107" s="1052" t="s">
        <v>760</v>
      </c>
      <c r="B107" s="2" t="s">
        <v>976</v>
      </c>
      <c r="C107" s="1052" t="s">
        <v>760</v>
      </c>
      <c r="D107" t="s">
        <v>123</v>
      </c>
      <c r="E107">
        <v>106</v>
      </c>
      <c r="G107" s="3" t="s">
        <v>809</v>
      </c>
    </row>
    <row r="108" spans="1:7" ht="15" customHeight="1">
      <c r="A108" s="1052" t="s">
        <v>83</v>
      </c>
      <c r="B108" s="2" t="s">
        <v>977</v>
      </c>
      <c r="C108" s="1052" t="s">
        <v>83</v>
      </c>
      <c r="D108" t="s">
        <v>123</v>
      </c>
      <c r="E108">
        <v>106</v>
      </c>
      <c r="G108" s="3" t="s">
        <v>809</v>
      </c>
    </row>
    <row r="109" spans="1:7" ht="15" customHeight="1">
      <c r="A109" s="1052" t="s">
        <v>7</v>
      </c>
      <c r="B109" s="2" t="s">
        <v>978</v>
      </c>
      <c r="C109" s="1052" t="s">
        <v>7</v>
      </c>
      <c r="D109" t="s">
        <v>123</v>
      </c>
      <c r="E109">
        <v>106</v>
      </c>
      <c r="G109" s="3" t="s">
        <v>809</v>
      </c>
    </row>
    <row r="110" spans="1:7" ht="15" customHeight="1">
      <c r="A110" s="1052" t="s">
        <v>160</v>
      </c>
      <c r="B110" s="2" t="s">
        <v>979</v>
      </c>
      <c r="C110" s="1052" t="s">
        <v>160</v>
      </c>
      <c r="D110" t="s">
        <v>123</v>
      </c>
      <c r="E110">
        <v>106</v>
      </c>
      <c r="G110" s="3" t="s">
        <v>809</v>
      </c>
    </row>
    <row r="111" spans="1:7" ht="15" customHeight="1">
      <c r="A111" s="1052" t="s">
        <v>1</v>
      </c>
      <c r="B111" s="2" t="s">
        <v>980</v>
      </c>
      <c r="C111" s="1052" t="s">
        <v>1</v>
      </c>
      <c r="D111" t="s">
        <v>123</v>
      </c>
      <c r="E111">
        <v>106</v>
      </c>
      <c r="G111" s="3" t="s">
        <v>809</v>
      </c>
    </row>
    <row r="112" spans="1:7" ht="15" customHeight="1">
      <c r="A112" s="1052" t="s">
        <v>84</v>
      </c>
      <c r="B112" s="2" t="s">
        <v>981</v>
      </c>
      <c r="C112" s="1052" t="s">
        <v>84</v>
      </c>
      <c r="D112" t="s">
        <v>123</v>
      </c>
      <c r="E112">
        <v>106</v>
      </c>
      <c r="G112" s="3" t="s">
        <v>809</v>
      </c>
    </row>
    <row r="113" spans="1:7" ht="15" customHeight="1">
      <c r="A113" s="1052" t="s">
        <v>15</v>
      </c>
      <c r="B113" s="2" t="s">
        <v>982</v>
      </c>
      <c r="C113" s="1052" t="s">
        <v>15</v>
      </c>
      <c r="D113" t="s">
        <v>123</v>
      </c>
      <c r="E113">
        <v>106</v>
      </c>
      <c r="G113" s="3" t="s">
        <v>809</v>
      </c>
    </row>
    <row r="114" spans="1:7" ht="15" customHeight="1">
      <c r="A114" s="1052" t="s">
        <v>85</v>
      </c>
      <c r="B114" s="2" t="s">
        <v>983</v>
      </c>
      <c r="C114" s="1052" t="s">
        <v>85</v>
      </c>
      <c r="D114" t="s">
        <v>407</v>
      </c>
      <c r="E114">
        <v>106</v>
      </c>
      <c r="G114" s="3" t="s">
        <v>809</v>
      </c>
    </row>
    <row r="115" spans="1:7" ht="15" customHeight="1">
      <c r="A115" s="1052" t="s">
        <v>186</v>
      </c>
      <c r="B115" s="2" t="s">
        <v>984</v>
      </c>
      <c r="C115" s="1052" t="s">
        <v>186</v>
      </c>
      <c r="D115" t="s">
        <v>407</v>
      </c>
      <c r="E115">
        <v>106</v>
      </c>
      <c r="G115" s="3" t="s">
        <v>809</v>
      </c>
    </row>
    <row r="116" spans="1:7" ht="15" customHeight="1">
      <c r="A116" s="1052" t="s">
        <v>151</v>
      </c>
      <c r="B116" s="2" t="s">
        <v>985</v>
      </c>
      <c r="C116" s="1052" t="s">
        <v>151</v>
      </c>
      <c r="D116" t="s">
        <v>407</v>
      </c>
      <c r="E116">
        <v>106</v>
      </c>
      <c r="G116" s="3" t="s">
        <v>809</v>
      </c>
    </row>
    <row r="117" spans="1:7" ht="15" customHeight="1">
      <c r="A117" s="1052" t="s">
        <v>86</v>
      </c>
      <c r="B117" s="2" t="s">
        <v>986</v>
      </c>
      <c r="C117" s="1052" t="s">
        <v>86</v>
      </c>
      <c r="D117" t="s">
        <v>124</v>
      </c>
      <c r="E117">
        <v>106</v>
      </c>
      <c r="G117" s="3" t="s">
        <v>809</v>
      </c>
    </row>
    <row r="118" spans="1:7" ht="15" customHeight="1">
      <c r="A118" s="1052" t="s">
        <v>187</v>
      </c>
      <c r="B118" s="2" t="s">
        <v>987</v>
      </c>
      <c r="C118" s="1052" t="s">
        <v>187</v>
      </c>
      <c r="D118" t="s">
        <v>124</v>
      </c>
      <c r="E118">
        <v>106</v>
      </c>
      <c r="G118" s="3" t="s">
        <v>809</v>
      </c>
    </row>
    <row r="119" spans="1:7" ht="15" customHeight="1">
      <c r="A119" s="1052" t="s">
        <v>753</v>
      </c>
      <c r="B119" s="2" t="s">
        <v>988</v>
      </c>
      <c r="C119" s="1052" t="s">
        <v>753</v>
      </c>
      <c r="D119" t="s">
        <v>124</v>
      </c>
      <c r="E119">
        <v>106</v>
      </c>
      <c r="G119" s="3" t="s">
        <v>809</v>
      </c>
    </row>
    <row r="120" spans="1:7" ht="15" customHeight="1">
      <c r="A120" s="1052" t="s">
        <v>174</v>
      </c>
      <c r="B120" s="2" t="s">
        <v>989</v>
      </c>
      <c r="C120" s="1052" t="s">
        <v>174</v>
      </c>
      <c r="D120" t="s">
        <v>124</v>
      </c>
      <c r="E120">
        <v>106</v>
      </c>
      <c r="G120" s="3" t="s">
        <v>809</v>
      </c>
    </row>
    <row r="121" spans="1:7" ht="15" customHeight="1">
      <c r="A121" s="1052" t="s">
        <v>87</v>
      </c>
      <c r="B121" s="2" t="s">
        <v>990</v>
      </c>
      <c r="C121" s="1052" t="s">
        <v>87</v>
      </c>
      <c r="D121" t="s">
        <v>124</v>
      </c>
      <c r="E121">
        <v>106</v>
      </c>
      <c r="G121" s="3" t="s">
        <v>809</v>
      </c>
    </row>
    <row r="122" spans="1:7" ht="15" customHeight="1">
      <c r="A122" s="1052" t="s">
        <v>754</v>
      </c>
      <c r="B122" s="2" t="s">
        <v>991</v>
      </c>
      <c r="C122" s="1052" t="s">
        <v>754</v>
      </c>
      <c r="D122" t="s">
        <v>124</v>
      </c>
      <c r="E122">
        <v>106</v>
      </c>
      <c r="G122" s="3" t="s">
        <v>809</v>
      </c>
    </row>
    <row r="123" spans="1:7" ht="15" customHeight="1">
      <c r="A123" s="1052" t="s">
        <v>169</v>
      </c>
      <c r="B123" s="2" t="s">
        <v>992</v>
      </c>
      <c r="C123" s="1052" t="s">
        <v>169</v>
      </c>
      <c r="D123" t="s">
        <v>124</v>
      </c>
      <c r="E123">
        <v>106</v>
      </c>
      <c r="G123" s="3" t="s">
        <v>809</v>
      </c>
    </row>
    <row r="124" spans="1:7" ht="15" customHeight="1">
      <c r="A124" s="1052" t="s">
        <v>5</v>
      </c>
      <c r="B124" s="2" t="s">
        <v>993</v>
      </c>
      <c r="C124" s="1052" t="s">
        <v>5</v>
      </c>
      <c r="D124" t="s">
        <v>125</v>
      </c>
      <c r="E124">
        <v>107</v>
      </c>
      <c r="G124" s="3" t="s">
        <v>810</v>
      </c>
    </row>
    <row r="125" spans="1:7" ht="15" customHeight="1">
      <c r="A125" s="1052" t="s">
        <v>2</v>
      </c>
      <c r="B125" s="2" t="s">
        <v>994</v>
      </c>
      <c r="C125" s="1052" t="s">
        <v>2</v>
      </c>
      <c r="D125" t="s">
        <v>125</v>
      </c>
      <c r="E125">
        <v>107</v>
      </c>
      <c r="G125" s="3" t="s">
        <v>810</v>
      </c>
    </row>
    <row r="126" spans="1:7" ht="15" customHeight="1">
      <c r="A126" s="1052" t="s">
        <v>88</v>
      </c>
      <c r="B126" s="2" t="s">
        <v>995</v>
      </c>
      <c r="C126" s="1052" t="s">
        <v>88</v>
      </c>
      <c r="D126" t="s">
        <v>125</v>
      </c>
      <c r="E126">
        <v>107</v>
      </c>
      <c r="G126" s="3" t="s">
        <v>810</v>
      </c>
    </row>
    <row r="127" spans="1:7" ht="15" customHeight="1">
      <c r="A127" s="1052" t="s">
        <v>89</v>
      </c>
      <c r="B127" s="2" t="s">
        <v>996</v>
      </c>
      <c r="C127" s="1052" t="s">
        <v>89</v>
      </c>
      <c r="D127" t="s">
        <v>125</v>
      </c>
      <c r="E127">
        <v>107</v>
      </c>
      <c r="G127" s="3" t="s">
        <v>810</v>
      </c>
    </row>
    <row r="128" spans="1:7" ht="15" customHeight="1">
      <c r="A128" s="1052" t="s">
        <v>140</v>
      </c>
      <c r="B128" s="2" t="s">
        <v>997</v>
      </c>
      <c r="C128" s="1052" t="s">
        <v>140</v>
      </c>
      <c r="D128" t="s">
        <v>125</v>
      </c>
      <c r="E128">
        <v>107</v>
      </c>
      <c r="G128" s="3" t="s">
        <v>810</v>
      </c>
    </row>
    <row r="129" spans="1:7" ht="15" customHeight="1">
      <c r="A129" s="1052" t="s">
        <v>36</v>
      </c>
      <c r="B129" s="2" t="s">
        <v>998</v>
      </c>
      <c r="C129" s="1052" t="s">
        <v>36</v>
      </c>
      <c r="D129" t="s">
        <v>125</v>
      </c>
      <c r="E129">
        <v>107</v>
      </c>
      <c r="G129" s="3" t="s">
        <v>810</v>
      </c>
    </row>
    <row r="130" spans="1:7" ht="15" customHeight="1">
      <c r="A130" s="1052" t="s">
        <v>90</v>
      </c>
      <c r="B130" s="2" t="s">
        <v>999</v>
      </c>
      <c r="C130" s="1052" t="s">
        <v>90</v>
      </c>
      <c r="D130" t="s">
        <v>328</v>
      </c>
      <c r="E130">
        <v>107</v>
      </c>
      <c r="G130" s="3" t="s">
        <v>810</v>
      </c>
    </row>
    <row r="131" spans="1:7" ht="15" customHeight="1">
      <c r="A131" s="1052" t="s">
        <v>150</v>
      </c>
      <c r="B131" s="2" t="s">
        <v>1000</v>
      </c>
      <c r="C131" s="1052" t="s">
        <v>150</v>
      </c>
      <c r="D131" t="s">
        <v>328</v>
      </c>
      <c r="E131">
        <v>107</v>
      </c>
      <c r="G131" s="3" t="s">
        <v>810</v>
      </c>
    </row>
    <row r="132" spans="1:7" ht="15" customHeight="1">
      <c r="A132" s="1052" t="s">
        <v>147</v>
      </c>
      <c r="B132" s="2" t="s">
        <v>1001</v>
      </c>
      <c r="C132" s="1052" t="s">
        <v>147</v>
      </c>
      <c r="D132" t="s">
        <v>328</v>
      </c>
      <c r="E132">
        <v>107</v>
      </c>
      <c r="G132" s="3" t="s">
        <v>810</v>
      </c>
    </row>
    <row r="133" spans="1:7" ht="15" customHeight="1">
      <c r="A133" s="1052" t="s">
        <v>91</v>
      </c>
      <c r="B133" s="2" t="s">
        <v>1002</v>
      </c>
      <c r="C133" s="1052" t="s">
        <v>91</v>
      </c>
      <c r="D133" t="s">
        <v>328</v>
      </c>
      <c r="E133">
        <v>107</v>
      </c>
      <c r="G133" s="3" t="s">
        <v>810</v>
      </c>
    </row>
    <row r="134" spans="1:7" ht="15" customHeight="1">
      <c r="A134" s="1052" t="s">
        <v>33</v>
      </c>
      <c r="B134" s="2" t="s">
        <v>1003</v>
      </c>
      <c r="C134" s="1052" t="s">
        <v>33</v>
      </c>
      <c r="D134" t="s">
        <v>328</v>
      </c>
      <c r="E134">
        <v>107</v>
      </c>
      <c r="G134" s="3" t="s">
        <v>810</v>
      </c>
    </row>
    <row r="135" spans="1:7" ht="15" customHeight="1">
      <c r="A135" s="1052" t="s">
        <v>92</v>
      </c>
      <c r="B135" s="2" t="s">
        <v>1004</v>
      </c>
      <c r="C135" s="1052" t="s">
        <v>92</v>
      </c>
      <c r="D135" t="s">
        <v>328</v>
      </c>
      <c r="E135">
        <v>107</v>
      </c>
      <c r="G135" s="3" t="s">
        <v>810</v>
      </c>
    </row>
    <row r="136" spans="1:7" ht="15" customHeight="1">
      <c r="A136" s="1052" t="s">
        <v>0</v>
      </c>
      <c r="B136" s="2" t="s">
        <v>1005</v>
      </c>
      <c r="C136" s="1052" t="s">
        <v>0</v>
      </c>
      <c r="D136" t="s">
        <v>328</v>
      </c>
      <c r="E136">
        <v>107</v>
      </c>
      <c r="G136" s="3" t="s">
        <v>810</v>
      </c>
    </row>
    <row r="137" spans="1:7" ht="15" customHeight="1">
      <c r="A137" s="1052" t="s">
        <v>149</v>
      </c>
      <c r="B137" s="2" t="s">
        <v>1006</v>
      </c>
      <c r="C137" s="1052" t="s">
        <v>149</v>
      </c>
      <c r="D137" t="s">
        <v>328</v>
      </c>
      <c r="E137">
        <v>107</v>
      </c>
      <c r="G137" s="3" t="s">
        <v>810</v>
      </c>
    </row>
    <row r="138" spans="1:7" ht="15" customHeight="1">
      <c r="A138" s="1052" t="s">
        <v>93</v>
      </c>
      <c r="B138" s="2" t="s">
        <v>1007</v>
      </c>
      <c r="C138" s="1052" t="s">
        <v>93</v>
      </c>
      <c r="D138" t="s">
        <v>328</v>
      </c>
      <c r="E138">
        <v>107</v>
      </c>
      <c r="G138" s="3" t="s">
        <v>810</v>
      </c>
    </row>
    <row r="139" spans="1:7" ht="15" customHeight="1">
      <c r="A139" s="1052" t="s">
        <v>144</v>
      </c>
      <c r="B139" s="2" t="s">
        <v>1008</v>
      </c>
      <c r="C139" s="1052" t="s">
        <v>144</v>
      </c>
      <c r="D139" t="s">
        <v>328</v>
      </c>
      <c r="E139">
        <v>107</v>
      </c>
      <c r="G139" s="3" t="s">
        <v>810</v>
      </c>
    </row>
    <row r="140" spans="1:7" ht="15" customHeight="1">
      <c r="A140" s="1052" t="s">
        <v>94</v>
      </c>
      <c r="B140" s="2" t="s">
        <v>1009</v>
      </c>
      <c r="C140" s="1052" t="s">
        <v>94</v>
      </c>
      <c r="D140" t="s">
        <v>328</v>
      </c>
      <c r="E140">
        <v>107</v>
      </c>
      <c r="G140" s="3" t="s">
        <v>810</v>
      </c>
    </row>
    <row r="141" spans="1:7" ht="15" customHeight="1">
      <c r="A141" s="1052" t="s">
        <v>292</v>
      </c>
      <c r="B141" s="2" t="s">
        <v>1010</v>
      </c>
      <c r="C141" s="1052" t="s">
        <v>292</v>
      </c>
      <c r="D141" t="s">
        <v>331</v>
      </c>
      <c r="E141">
        <v>108</v>
      </c>
      <c r="G141" s="3" t="s">
        <v>811</v>
      </c>
    </row>
    <row r="142" spans="1:7" ht="15" customHeight="1">
      <c r="A142" s="1052" t="s">
        <v>755</v>
      </c>
      <c r="B142" s="2" t="s">
        <v>1011</v>
      </c>
      <c r="C142" s="1052" t="s">
        <v>755</v>
      </c>
      <c r="D142" t="s">
        <v>331</v>
      </c>
      <c r="E142">
        <v>108</v>
      </c>
      <c r="G142" s="3" t="s">
        <v>811</v>
      </c>
    </row>
    <row r="143" spans="1:7" ht="15" customHeight="1">
      <c r="A143" s="1052" t="s">
        <v>293</v>
      </c>
      <c r="B143" s="2" t="s">
        <v>1012</v>
      </c>
      <c r="C143" s="1052" t="s">
        <v>293</v>
      </c>
      <c r="D143" t="s">
        <v>331</v>
      </c>
      <c r="E143">
        <v>108</v>
      </c>
      <c r="G143" s="3" t="s">
        <v>811</v>
      </c>
    </row>
    <row r="144" spans="1:7" ht="15" customHeight="1">
      <c r="A144" s="1052" t="s">
        <v>95</v>
      </c>
      <c r="B144" s="2" t="s">
        <v>1013</v>
      </c>
      <c r="C144" s="1052" t="s">
        <v>95</v>
      </c>
      <c r="D144" t="s">
        <v>331</v>
      </c>
      <c r="E144">
        <v>108</v>
      </c>
      <c r="G144" s="3" t="s">
        <v>811</v>
      </c>
    </row>
    <row r="145" spans="1:7" ht="15" customHeight="1">
      <c r="A145" s="1052" t="s">
        <v>96</v>
      </c>
      <c r="B145" s="2" t="s">
        <v>1014</v>
      </c>
      <c r="C145" s="1052" t="s">
        <v>96</v>
      </c>
      <c r="D145" t="s">
        <v>331</v>
      </c>
      <c r="E145">
        <v>108</v>
      </c>
      <c r="G145" s="3" t="s">
        <v>811</v>
      </c>
    </row>
    <row r="146" spans="1:7" ht="15" customHeight="1">
      <c r="A146" s="1052" t="s">
        <v>115</v>
      </c>
      <c r="B146" s="2" t="s">
        <v>1015</v>
      </c>
      <c r="C146" s="1052" t="s">
        <v>115</v>
      </c>
      <c r="D146" t="s">
        <v>331</v>
      </c>
      <c r="E146">
        <v>108</v>
      </c>
      <c r="G146" s="3" t="s">
        <v>811</v>
      </c>
    </row>
    <row r="147" spans="1:7" ht="15" customHeight="1">
      <c r="A147" s="1052" t="s">
        <v>178</v>
      </c>
      <c r="B147" s="2" t="s">
        <v>1016</v>
      </c>
      <c r="C147" s="1052" t="s">
        <v>178</v>
      </c>
      <c r="D147" t="s">
        <v>120</v>
      </c>
      <c r="E147">
        <v>109</v>
      </c>
      <c r="G147" s="3" t="s">
        <v>812</v>
      </c>
    </row>
    <row r="148" spans="1:7" ht="15" customHeight="1">
      <c r="A148" s="1052" t="s">
        <v>157</v>
      </c>
      <c r="B148" s="2" t="s">
        <v>1017</v>
      </c>
      <c r="C148" s="1052" t="s">
        <v>157</v>
      </c>
      <c r="D148" t="s">
        <v>120</v>
      </c>
      <c r="E148">
        <v>109</v>
      </c>
      <c r="G148" s="3" t="s">
        <v>812</v>
      </c>
    </row>
    <row r="149" spans="1:7" ht="15" customHeight="1">
      <c r="A149" s="1052" t="s">
        <v>294</v>
      </c>
      <c r="B149" s="2" t="s">
        <v>1018</v>
      </c>
      <c r="C149" s="1052" t="s">
        <v>294</v>
      </c>
      <c r="D149" t="s">
        <v>120</v>
      </c>
      <c r="E149">
        <v>109</v>
      </c>
      <c r="G149" s="3" t="s">
        <v>812</v>
      </c>
    </row>
    <row r="150" spans="1:7" ht="15" customHeight="1">
      <c r="A150" s="1052" t="s">
        <v>295</v>
      </c>
      <c r="B150" s="2" t="s">
        <v>1019</v>
      </c>
      <c r="C150" s="1052" t="s">
        <v>295</v>
      </c>
      <c r="D150" t="s">
        <v>120</v>
      </c>
      <c r="E150">
        <v>109</v>
      </c>
      <c r="G150" s="3" t="s">
        <v>812</v>
      </c>
    </row>
    <row r="151" spans="1:7" ht="15" customHeight="1">
      <c r="A151" s="1052" t="s">
        <v>756</v>
      </c>
      <c r="B151" s="2" t="s">
        <v>1020</v>
      </c>
      <c r="C151" s="1052" t="s">
        <v>756</v>
      </c>
      <c r="D151" t="s">
        <v>120</v>
      </c>
      <c r="E151">
        <v>109</v>
      </c>
      <c r="G151" s="3" t="s">
        <v>812</v>
      </c>
    </row>
    <row r="152" spans="1:7" ht="15" customHeight="1">
      <c r="A152" s="1052" t="s">
        <v>158</v>
      </c>
      <c r="B152" s="2" t="s">
        <v>1021</v>
      </c>
      <c r="C152" s="1052" t="s">
        <v>158</v>
      </c>
      <c r="D152" t="s">
        <v>331</v>
      </c>
      <c r="E152">
        <v>109</v>
      </c>
      <c r="G152" s="3" t="s">
        <v>812</v>
      </c>
    </row>
    <row r="153" spans="1:7" ht="15" customHeight="1">
      <c r="A153" s="1052" t="s">
        <v>141</v>
      </c>
      <c r="B153" s="2" t="s">
        <v>1022</v>
      </c>
      <c r="C153" s="1052" t="s">
        <v>141</v>
      </c>
      <c r="D153" t="s">
        <v>331</v>
      </c>
      <c r="E153">
        <v>109</v>
      </c>
      <c r="G153" s="3" t="s">
        <v>812</v>
      </c>
    </row>
    <row r="154" spans="1:7" ht="15" customHeight="1">
      <c r="A154" s="1052" t="s">
        <v>161</v>
      </c>
      <c r="B154" s="2" t="s">
        <v>1023</v>
      </c>
      <c r="C154" s="1052" t="s">
        <v>161</v>
      </c>
      <c r="D154" t="s">
        <v>331</v>
      </c>
      <c r="E154">
        <v>109</v>
      </c>
      <c r="G154" s="3" t="s">
        <v>812</v>
      </c>
    </row>
    <row r="155" spans="1:7" ht="15" customHeight="1">
      <c r="A155" s="1052" t="s">
        <v>296</v>
      </c>
      <c r="B155" s="2" t="s">
        <v>1024</v>
      </c>
      <c r="C155" s="1052" t="s">
        <v>296</v>
      </c>
      <c r="D155" t="s">
        <v>331</v>
      </c>
      <c r="E155">
        <v>109</v>
      </c>
      <c r="G155" s="3" t="s">
        <v>812</v>
      </c>
    </row>
    <row r="156" spans="1:7" ht="15" customHeight="1">
      <c r="A156" s="1052" t="s">
        <v>97</v>
      </c>
      <c r="B156" s="2" t="s">
        <v>1025</v>
      </c>
      <c r="C156" s="1052" t="s">
        <v>97</v>
      </c>
      <c r="D156" t="s">
        <v>331</v>
      </c>
      <c r="E156">
        <v>109</v>
      </c>
      <c r="G156" s="3" t="s">
        <v>812</v>
      </c>
    </row>
    <row r="157" spans="1:7" ht="15" customHeight="1">
      <c r="A157" s="1052" t="s">
        <v>98</v>
      </c>
      <c r="B157" s="2" t="s">
        <v>1026</v>
      </c>
      <c r="C157" s="1052" t="s">
        <v>98</v>
      </c>
      <c r="D157" t="s">
        <v>331</v>
      </c>
      <c r="E157">
        <v>109</v>
      </c>
      <c r="G157" s="3" t="s">
        <v>812</v>
      </c>
    </row>
    <row r="158" spans="1:7" ht="15" customHeight="1">
      <c r="A158" s="1052" t="s">
        <v>176</v>
      </c>
      <c r="B158" s="2" t="s">
        <v>1027</v>
      </c>
      <c r="C158" s="1052" t="s">
        <v>176</v>
      </c>
      <c r="D158" t="s">
        <v>121</v>
      </c>
      <c r="E158">
        <v>109</v>
      </c>
      <c r="G158" s="3" t="s">
        <v>812</v>
      </c>
    </row>
    <row r="159" spans="1:7" ht="15" customHeight="1">
      <c r="A159" s="1052" t="s">
        <v>99</v>
      </c>
      <c r="B159" s="2" t="s">
        <v>1028</v>
      </c>
      <c r="C159" s="1052" t="s">
        <v>99</v>
      </c>
      <c r="D159" t="s">
        <v>121</v>
      </c>
      <c r="E159">
        <v>110</v>
      </c>
      <c r="G159" s="3" t="s">
        <v>813</v>
      </c>
    </row>
    <row r="160" spans="1:7" ht="15" customHeight="1">
      <c r="A160" s="1052" t="s">
        <v>100</v>
      </c>
      <c r="B160" s="2" t="s">
        <v>1029</v>
      </c>
      <c r="C160" s="1052" t="s">
        <v>100</v>
      </c>
      <c r="D160" t="s">
        <v>121</v>
      </c>
      <c r="E160">
        <v>110</v>
      </c>
      <c r="G160" s="3" t="s">
        <v>813</v>
      </c>
    </row>
    <row r="161" spans="1:7" ht="15" customHeight="1">
      <c r="A161" s="1052" t="s">
        <v>101</v>
      </c>
      <c r="B161" s="2" t="s">
        <v>1030</v>
      </c>
      <c r="C161" s="1052" t="s">
        <v>101</v>
      </c>
      <c r="D161" t="s">
        <v>121</v>
      </c>
      <c r="E161">
        <v>110</v>
      </c>
      <c r="G161" s="3" t="s">
        <v>813</v>
      </c>
    </row>
    <row r="162" spans="1:7" ht="15" customHeight="1">
      <c r="A162" s="1052" t="s">
        <v>159</v>
      </c>
      <c r="B162" s="2" t="s">
        <v>1031</v>
      </c>
      <c r="C162" s="1052" t="s">
        <v>159</v>
      </c>
      <c r="D162" t="s">
        <v>163</v>
      </c>
      <c r="E162">
        <v>110</v>
      </c>
      <c r="G162" s="3" t="s">
        <v>813</v>
      </c>
    </row>
    <row r="163" spans="1:7" ht="15" customHeight="1">
      <c r="A163" s="1052" t="s">
        <v>102</v>
      </c>
      <c r="B163" s="2" t="s">
        <v>1032</v>
      </c>
      <c r="C163" s="1052" t="s">
        <v>102</v>
      </c>
      <c r="D163" t="s">
        <v>163</v>
      </c>
      <c r="E163">
        <v>110</v>
      </c>
      <c r="G163" s="3" t="s">
        <v>813</v>
      </c>
    </row>
    <row r="164" spans="1:7" ht="15" customHeight="1">
      <c r="A164" s="1052" t="s">
        <v>34</v>
      </c>
      <c r="B164" s="2" t="s">
        <v>1033</v>
      </c>
      <c r="C164" s="1052" t="s">
        <v>34</v>
      </c>
      <c r="D164" t="s">
        <v>163</v>
      </c>
      <c r="E164">
        <v>110</v>
      </c>
      <c r="G164" s="3" t="s">
        <v>813</v>
      </c>
    </row>
    <row r="165" spans="1:7" ht="15" customHeight="1">
      <c r="A165" s="1052" t="s">
        <v>103</v>
      </c>
      <c r="B165" s="2" t="s">
        <v>1034</v>
      </c>
      <c r="C165" s="1052" t="s">
        <v>103</v>
      </c>
      <c r="D165" t="s">
        <v>163</v>
      </c>
      <c r="E165">
        <v>110</v>
      </c>
      <c r="G165" s="3" t="s">
        <v>813</v>
      </c>
    </row>
    <row r="166" spans="1:7" ht="15" customHeight="1">
      <c r="A166" s="1052" t="s">
        <v>104</v>
      </c>
      <c r="B166" s="2" t="s">
        <v>1035</v>
      </c>
      <c r="C166" s="1052" t="s">
        <v>104</v>
      </c>
      <c r="D166" t="s">
        <v>122</v>
      </c>
      <c r="E166">
        <v>111</v>
      </c>
      <c r="G166" s="3" t="s">
        <v>814</v>
      </c>
    </row>
    <row r="167" spans="1:7" ht="15" customHeight="1">
      <c r="A167" s="1052" t="s">
        <v>105</v>
      </c>
      <c r="B167" s="2" t="s">
        <v>1036</v>
      </c>
      <c r="C167" s="1052" t="s">
        <v>105</v>
      </c>
      <c r="D167" t="s">
        <v>122</v>
      </c>
      <c r="E167">
        <v>111</v>
      </c>
      <c r="G167" s="3" t="s">
        <v>814</v>
      </c>
    </row>
    <row r="168" spans="1:7" ht="15" customHeight="1">
      <c r="A168" s="1052" t="s">
        <v>177</v>
      </c>
      <c r="B168" s="2" t="s">
        <v>1037</v>
      </c>
      <c r="C168" s="1052" t="s">
        <v>177</v>
      </c>
      <c r="D168" t="s">
        <v>122</v>
      </c>
      <c r="E168">
        <v>111</v>
      </c>
      <c r="G168" s="3" t="s">
        <v>814</v>
      </c>
    </row>
    <row r="169" spans="1:7" ht="15" customHeight="1">
      <c r="A169" s="1052" t="s">
        <v>106</v>
      </c>
      <c r="B169" s="2" t="s">
        <v>1038</v>
      </c>
      <c r="C169" s="1052" t="s">
        <v>106</v>
      </c>
      <c r="D169" t="s">
        <v>122</v>
      </c>
      <c r="E169">
        <v>111</v>
      </c>
      <c r="G169" s="3" t="s">
        <v>814</v>
      </c>
    </row>
    <row r="170" spans="1:7" ht="15" customHeight="1">
      <c r="A170" s="1052" t="s">
        <v>107</v>
      </c>
      <c r="B170" s="2" t="s">
        <v>1039</v>
      </c>
      <c r="C170" s="1052" t="s">
        <v>107</v>
      </c>
      <c r="D170" t="s">
        <v>122</v>
      </c>
      <c r="E170">
        <v>111</v>
      </c>
      <c r="G170" s="3" t="s">
        <v>814</v>
      </c>
    </row>
    <row r="171" spans="1:7" ht="15" customHeight="1">
      <c r="A171" s="1052" t="s">
        <v>108</v>
      </c>
      <c r="B171" s="2" t="s">
        <v>1040</v>
      </c>
      <c r="C171" s="1052" t="s">
        <v>108</v>
      </c>
      <c r="D171" t="s">
        <v>122</v>
      </c>
      <c r="E171">
        <v>111</v>
      </c>
      <c r="G171" s="3" t="s">
        <v>814</v>
      </c>
    </row>
    <row r="172" spans="1:7" ht="15" customHeight="1">
      <c r="A172" s="1052" t="s">
        <v>109</v>
      </c>
      <c r="B172" s="2" t="s">
        <v>1041</v>
      </c>
      <c r="C172" s="1052" t="s">
        <v>109</v>
      </c>
      <c r="D172" t="s">
        <v>122</v>
      </c>
      <c r="E172">
        <v>111</v>
      </c>
      <c r="G172" s="3" t="s">
        <v>814</v>
      </c>
    </row>
    <row r="173" spans="1:7" ht="15" customHeight="1">
      <c r="A173" s="1052" t="s">
        <v>110</v>
      </c>
      <c r="B173" s="2" t="s">
        <v>1042</v>
      </c>
      <c r="C173" s="1052" t="s">
        <v>110</v>
      </c>
      <c r="D173" t="s">
        <v>122</v>
      </c>
      <c r="E173">
        <v>111</v>
      </c>
      <c r="G173" s="3" t="s">
        <v>814</v>
      </c>
    </row>
    <row r="174" spans="1:7" ht="15" customHeight="1">
      <c r="A174" s="1052" t="s">
        <v>111</v>
      </c>
      <c r="B174" s="2" t="s">
        <v>1043</v>
      </c>
      <c r="C174" s="1052" t="s">
        <v>111</v>
      </c>
      <c r="D174" t="s">
        <v>130</v>
      </c>
      <c r="E174">
        <v>111</v>
      </c>
      <c r="G174" s="3" t="s">
        <v>814</v>
      </c>
    </row>
    <row r="175" spans="1:7" ht="15" customHeight="1">
      <c r="A175" s="1052" t="s">
        <v>112</v>
      </c>
      <c r="B175" s="2" t="s">
        <v>1044</v>
      </c>
      <c r="C175" s="1052" t="s">
        <v>112</v>
      </c>
      <c r="D175" t="s">
        <v>130</v>
      </c>
      <c r="E175">
        <v>111</v>
      </c>
      <c r="G175" s="3" t="s">
        <v>814</v>
      </c>
    </row>
    <row r="176" spans="1:7" ht="15" customHeight="1">
      <c r="A176" s="1052" t="s">
        <v>297</v>
      </c>
      <c r="B176" s="2" t="s">
        <v>1045</v>
      </c>
      <c r="C176" s="1052" t="s">
        <v>297</v>
      </c>
      <c r="D176" t="s">
        <v>130</v>
      </c>
      <c r="E176">
        <v>111</v>
      </c>
      <c r="G176" s="3" t="s">
        <v>814</v>
      </c>
    </row>
    <row r="177" spans="1:7" ht="15" customHeight="1">
      <c r="A177" s="1053" t="s">
        <v>298</v>
      </c>
      <c r="B177" s="2" t="s">
        <v>1046</v>
      </c>
      <c r="C177" s="1053" t="s">
        <v>298</v>
      </c>
      <c r="D177" t="s">
        <v>130</v>
      </c>
      <c r="E177">
        <v>111</v>
      </c>
      <c r="G177" s="3" t="s">
        <v>814</v>
      </c>
    </row>
    <row r="178" spans="1:7" ht="15" customHeight="1">
      <c r="A178" s="1053" t="s">
        <v>113</v>
      </c>
      <c r="B178" s="2" t="s">
        <v>1047</v>
      </c>
      <c r="C178" s="1053" t="s">
        <v>113</v>
      </c>
      <c r="D178" t="s">
        <v>130</v>
      </c>
      <c r="E178">
        <v>111</v>
      </c>
      <c r="G178" s="3" t="s">
        <v>814</v>
      </c>
    </row>
    <row r="179" spans="1:7" ht="15" customHeight="1">
      <c r="A179" s="1053" t="s">
        <v>299</v>
      </c>
      <c r="B179" s="2" t="s">
        <v>1048</v>
      </c>
      <c r="C179" s="1053" t="s">
        <v>299</v>
      </c>
      <c r="D179" t="s">
        <v>130</v>
      </c>
      <c r="E179">
        <v>111</v>
      </c>
      <c r="G179" s="3" t="s">
        <v>814</v>
      </c>
    </row>
    <row r="180" spans="1:7" ht="15" customHeight="1">
      <c r="A180" t="s">
        <v>818</v>
      </c>
      <c r="B180" t="s">
        <v>1049</v>
      </c>
      <c r="C180" t="s">
        <v>803</v>
      </c>
      <c r="D180" t="s">
        <v>802</v>
      </c>
      <c r="E180">
        <v>101</v>
      </c>
      <c r="G180" s="3" t="s">
        <v>815</v>
      </c>
    </row>
    <row r="181" spans="1:7" ht="15" customHeight="1">
      <c r="A181" t="s">
        <v>828</v>
      </c>
      <c r="B181" s="2" t="s">
        <v>1050</v>
      </c>
      <c r="C181" t="s">
        <v>828</v>
      </c>
      <c r="D181" t="s">
        <v>423</v>
      </c>
      <c r="E181">
        <v>101</v>
      </c>
      <c r="G181" s="3" t="s">
        <v>805</v>
      </c>
    </row>
    <row r="182" spans="1:7" ht="15" customHeight="1">
      <c r="A182" t="s">
        <v>816</v>
      </c>
      <c r="B182" t="s">
        <v>1051</v>
      </c>
      <c r="C182" t="s">
        <v>799</v>
      </c>
      <c r="D182" t="s">
        <v>802</v>
      </c>
      <c r="E182">
        <v>103</v>
      </c>
      <c r="G182" s="3" t="s">
        <v>806</v>
      </c>
    </row>
    <row r="183" spans="1:7" ht="15" customHeight="1">
      <c r="A183" s="1168" t="s">
        <v>823</v>
      </c>
      <c r="B183" s="2" t="s">
        <v>1052</v>
      </c>
      <c r="C183" s="1168" t="s">
        <v>823</v>
      </c>
      <c r="D183" t="s">
        <v>423</v>
      </c>
      <c r="E183">
        <v>103</v>
      </c>
      <c r="G183" s="3" t="s">
        <v>806</v>
      </c>
    </row>
    <row r="184" spans="1:7" ht="15" customHeight="1">
      <c r="A184" t="s">
        <v>825</v>
      </c>
      <c r="B184" s="2" t="s">
        <v>1053</v>
      </c>
      <c r="C184" t="s">
        <v>825</v>
      </c>
      <c r="D184" t="s">
        <v>423</v>
      </c>
      <c r="E184">
        <v>104</v>
      </c>
      <c r="G184" s="3" t="s">
        <v>830</v>
      </c>
    </row>
    <row r="185" spans="1:7" ht="15" customHeight="1">
      <c r="A185" t="s">
        <v>827</v>
      </c>
      <c r="B185" s="2" t="s">
        <v>1054</v>
      </c>
      <c r="C185" t="s">
        <v>827</v>
      </c>
      <c r="D185" t="s">
        <v>423</v>
      </c>
      <c r="E185">
        <v>104</v>
      </c>
      <c r="G185" s="3" t="s">
        <v>830</v>
      </c>
    </row>
    <row r="186" spans="1:7" ht="15" customHeight="1">
      <c r="A186" t="s">
        <v>820</v>
      </c>
      <c r="B186" t="s">
        <v>1055</v>
      </c>
      <c r="C186" t="s">
        <v>800</v>
      </c>
      <c r="D186" t="s">
        <v>802</v>
      </c>
      <c r="E186">
        <v>108</v>
      </c>
      <c r="G186" s="3" t="s">
        <v>811</v>
      </c>
    </row>
    <row r="187" spans="1:7" ht="15" customHeight="1">
      <c r="A187" s="1168" t="s">
        <v>824</v>
      </c>
      <c r="B187" s="1168" t="s">
        <v>1052</v>
      </c>
      <c r="C187" s="1168" t="s">
        <v>824</v>
      </c>
      <c r="D187" t="s">
        <v>423</v>
      </c>
      <c r="E187">
        <v>108</v>
      </c>
      <c r="G187" s="3" t="s">
        <v>829</v>
      </c>
    </row>
    <row r="188" spans="1:7" ht="15" customHeight="1">
      <c r="A188" t="s">
        <v>822</v>
      </c>
      <c r="B188" t="s">
        <v>1056</v>
      </c>
      <c r="C188" t="s">
        <v>801</v>
      </c>
      <c r="D188" t="s">
        <v>802</v>
      </c>
      <c r="E188">
        <v>109</v>
      </c>
      <c r="G188" s="3" t="s">
        <v>812</v>
      </c>
    </row>
    <row r="189" spans="1:7" ht="15" customHeight="1">
      <c r="A189" t="s">
        <v>826</v>
      </c>
      <c r="B189" s="2" t="s">
        <v>1057</v>
      </c>
      <c r="C189" t="s">
        <v>826</v>
      </c>
      <c r="D189" t="s">
        <v>423</v>
      </c>
      <c r="E189">
        <v>111</v>
      </c>
      <c r="G189" s="3" t="s">
        <v>814</v>
      </c>
    </row>
  </sheetData>
  <sortState ref="A182:I191">
    <sortCondition ref="E182:E191"/>
  </sortState>
  <phoneticPr fontId="4"/>
  <pageMargins left="0.78740157480314965" right="0.59055118110236227" top="0.78740157480314965" bottom="0.78740157480314965" header="0.51181102362204722" footer="0.51181102362204722"/>
  <pageSetup paperSize="13" orientation="landscape" horizontalDpi="4294967292" verticalDpi="300"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22">
    <pageSetUpPr fitToPage="1"/>
  </sheetPr>
  <dimension ref="A1:W77"/>
  <sheetViews>
    <sheetView showGridLines="0" showZeros="0" zoomScaleNormal="100" workbookViewId="0">
      <selection activeCell="G16" sqref="G16"/>
    </sheetView>
  </sheetViews>
  <sheetFormatPr defaultRowHeight="13.5"/>
  <cols>
    <col min="1" max="2" width="9" style="576"/>
    <col min="3" max="3" width="16.125" style="576" customWidth="1"/>
    <col min="4" max="4" width="15.5" style="576" customWidth="1"/>
    <col min="5" max="5" width="5.25" style="591" customWidth="1"/>
    <col min="6" max="6" width="4.75" style="591" hidden="1" customWidth="1"/>
    <col min="7" max="9" width="9" style="576"/>
    <col min="10" max="10" width="16.125" style="576" customWidth="1"/>
    <col min="11" max="11" width="15.5" style="576" customWidth="1"/>
    <col min="12" max="12" width="5.5" style="576" bestFit="1" customWidth="1"/>
    <col min="13" max="13" width="4.75" style="576" hidden="1" customWidth="1"/>
    <col min="14" max="14" width="6.5" style="593" hidden="1" customWidth="1"/>
    <col min="15" max="15" width="5.25" style="593" hidden="1" customWidth="1"/>
    <col min="16" max="16" width="5" style="593" hidden="1" customWidth="1"/>
    <col min="17" max="17" width="9" style="593"/>
    <col min="18" max="19" width="12.625" style="593" customWidth="1"/>
    <col min="20" max="22" width="9" style="593"/>
    <col min="23" max="16384" width="9" style="576"/>
  </cols>
  <sheetData>
    <row r="1" spans="1:23" ht="24">
      <c r="A1" s="1123" t="s">
        <v>840</v>
      </c>
      <c r="B1" s="575"/>
      <c r="C1" s="575"/>
      <c r="D1" s="575"/>
      <c r="E1" s="579"/>
      <c r="F1" s="579"/>
      <c r="G1" s="592" t="s">
        <v>641</v>
      </c>
      <c r="H1" s="575"/>
      <c r="I1" s="575"/>
      <c r="J1" s="575"/>
      <c r="K1" s="575"/>
      <c r="L1" s="575"/>
      <c r="M1" s="575"/>
      <c r="Q1" s="575"/>
      <c r="R1" s="1148" t="s">
        <v>721</v>
      </c>
      <c r="S1" s="1148" t="s">
        <v>722</v>
      </c>
      <c r="T1" s="1124"/>
      <c r="U1" s="1124"/>
      <c r="V1" s="1124"/>
      <c r="W1" s="1124"/>
    </row>
    <row r="2" spans="1:23">
      <c r="A2" s="578"/>
      <c r="B2" s="575"/>
      <c r="C2" s="575"/>
      <c r="D2" s="575"/>
      <c r="E2" s="579"/>
      <c r="F2" s="579"/>
      <c r="G2" s="575"/>
      <c r="H2" s="575"/>
      <c r="I2" s="575"/>
      <c r="J2" s="575"/>
      <c r="K2" s="575"/>
      <c r="L2" s="575"/>
      <c r="M2" s="575"/>
      <c r="Q2" s="575"/>
      <c r="R2" s="1124"/>
      <c r="S2" s="1124"/>
      <c r="T2" s="1124"/>
      <c r="U2" s="1124"/>
      <c r="V2" s="1124"/>
      <c r="W2" s="1124"/>
    </row>
    <row r="3" spans="1:23">
      <c r="A3" s="575"/>
      <c r="B3" s="575"/>
      <c r="C3" s="575"/>
      <c r="D3" s="575"/>
      <c r="E3" s="579"/>
      <c r="F3" s="579"/>
      <c r="G3" s="575"/>
      <c r="H3" s="575"/>
      <c r="I3" s="575"/>
      <c r="J3" s="575"/>
      <c r="K3" s="575"/>
      <c r="L3" s="575"/>
      <c r="M3" s="575"/>
      <c r="Q3" s="575"/>
      <c r="R3" s="1124"/>
      <c r="S3" s="1124"/>
      <c r="T3" s="1124"/>
      <c r="U3" s="1124"/>
      <c r="V3" s="1124"/>
      <c r="W3" s="1124"/>
    </row>
    <row r="4" spans="1:23">
      <c r="A4" s="575"/>
      <c r="B4" s="575"/>
      <c r="C4" s="575"/>
      <c r="D4" s="575"/>
      <c r="E4" s="579"/>
      <c r="F4" s="579"/>
      <c r="G4" s="575"/>
      <c r="H4" s="575"/>
      <c r="I4" s="575"/>
      <c r="J4" s="575"/>
      <c r="K4" s="575"/>
      <c r="L4" s="575"/>
      <c r="M4" s="575"/>
      <c r="Q4" s="575"/>
      <c r="R4" s="1124"/>
      <c r="S4" s="1124"/>
      <c r="T4" s="1124"/>
      <c r="U4" s="1124"/>
      <c r="V4" s="1124"/>
      <c r="W4" s="1124"/>
    </row>
    <row r="5" spans="1:23" ht="16.5" customHeight="1" thickBot="1">
      <c r="A5" s="580" t="s">
        <v>610</v>
      </c>
      <c r="B5" s="1494">
        <f>名簿!O4</f>
        <v>0</v>
      </c>
      <c r="C5" s="1494"/>
      <c r="D5" s="575"/>
      <c r="E5" s="579"/>
      <c r="F5" s="579"/>
      <c r="G5" s="575"/>
      <c r="H5" s="575"/>
      <c r="I5" s="575"/>
      <c r="J5" s="575"/>
      <c r="K5" s="575"/>
      <c r="L5" s="575"/>
      <c r="M5" s="575"/>
      <c r="Q5" s="575"/>
      <c r="R5" s="1124"/>
      <c r="S5" s="1124"/>
      <c r="T5" s="1124"/>
      <c r="U5" s="1124"/>
      <c r="V5" s="1124"/>
      <c r="W5" s="1124"/>
    </row>
    <row r="6" spans="1:23" ht="19.5" thickBot="1">
      <c r="A6" s="580"/>
      <c r="B6" s="581"/>
      <c r="C6" s="575"/>
      <c r="D6" s="575"/>
      <c r="E6" s="579"/>
      <c r="F6" s="579"/>
      <c r="G6" s="1229" t="s">
        <v>849</v>
      </c>
      <c r="H6" s="1231"/>
      <c r="I6" s="1230" t="s">
        <v>850</v>
      </c>
      <c r="J6" s="575"/>
      <c r="K6" s="575"/>
      <c r="L6" s="575"/>
      <c r="M6" s="575"/>
      <c r="Q6" s="575"/>
      <c r="R6" s="1124"/>
      <c r="S6" s="1124"/>
      <c r="T6" s="1124"/>
      <c r="U6" s="1124"/>
      <c r="V6" s="1124"/>
      <c r="W6" s="1124"/>
    </row>
    <row r="7" spans="1:23" ht="18.75">
      <c r="A7" s="580" t="s">
        <v>274</v>
      </c>
      <c r="B7" s="1495">
        <f>名簿!D1</f>
        <v>0</v>
      </c>
      <c r="C7" s="1495"/>
      <c r="D7" s="579"/>
      <c r="E7" s="579"/>
      <c r="F7" s="579"/>
      <c r="G7" s="575"/>
      <c r="H7" s="575"/>
      <c r="I7" s="575"/>
      <c r="J7" s="575"/>
      <c r="K7" s="575"/>
      <c r="L7" s="575"/>
      <c r="M7" s="575"/>
      <c r="Q7" s="575"/>
      <c r="R7" s="1124"/>
      <c r="S7" s="1124"/>
      <c r="T7" s="1124"/>
      <c r="U7" s="1124"/>
      <c r="V7" s="1124"/>
      <c r="W7" s="1124"/>
    </row>
    <row r="8" spans="1:23">
      <c r="A8" s="575"/>
      <c r="B8" s="575"/>
      <c r="C8" s="575"/>
      <c r="D8" s="579" t="s">
        <v>643</v>
      </c>
      <c r="E8" s="579"/>
      <c r="F8" s="579"/>
      <c r="G8" s="575"/>
      <c r="H8" s="575"/>
      <c r="I8" s="575"/>
      <c r="J8" s="575"/>
      <c r="K8" s="575"/>
      <c r="L8" s="575"/>
      <c r="M8" s="575"/>
      <c r="Q8" s="575"/>
      <c r="R8" s="1124"/>
      <c r="S8" s="1124"/>
      <c r="T8" s="1124"/>
      <c r="U8" s="1124"/>
      <c r="V8" s="1124"/>
      <c r="W8" s="1124"/>
    </row>
    <row r="9" spans="1:23" ht="18.75">
      <c r="A9" s="580" t="s">
        <v>463</v>
      </c>
      <c r="B9" s="1496">
        <f>名簿!I1</f>
        <v>0</v>
      </c>
      <c r="C9" s="1495"/>
      <c r="D9" s="594">
        <f>P58*4000+H6*800</f>
        <v>0</v>
      </c>
      <c r="E9" s="579"/>
      <c r="F9" s="579"/>
      <c r="G9" s="575"/>
      <c r="H9" s="575"/>
      <c r="I9" s="575"/>
      <c r="J9" s="575"/>
      <c r="K9" s="575"/>
      <c r="L9" s="575"/>
      <c r="M9" s="575"/>
      <c r="Q9" s="575"/>
      <c r="R9" s="1124"/>
      <c r="S9" s="1124"/>
      <c r="T9" s="1124"/>
      <c r="U9" s="1124"/>
      <c r="V9" s="1124"/>
      <c r="W9" s="1124"/>
    </row>
    <row r="10" spans="1:23">
      <c r="A10" s="575"/>
      <c r="B10" s="575"/>
      <c r="C10" s="575"/>
      <c r="D10" s="575"/>
      <c r="E10" s="579"/>
      <c r="F10" s="579"/>
      <c r="G10" s="575"/>
      <c r="H10" s="575"/>
      <c r="I10" s="575"/>
      <c r="J10" s="575"/>
      <c r="K10" s="575"/>
      <c r="L10" s="575"/>
      <c r="M10" s="575"/>
      <c r="Q10" s="575"/>
      <c r="R10" s="1124"/>
      <c r="S10" s="1124"/>
      <c r="T10" s="1124"/>
      <c r="U10" s="1124"/>
      <c r="V10" s="1124"/>
      <c r="W10" s="1124"/>
    </row>
    <row r="11" spans="1:23">
      <c r="A11" s="575"/>
      <c r="B11" s="575"/>
      <c r="C11" s="575"/>
      <c r="D11" s="575"/>
      <c r="E11" s="579"/>
      <c r="F11" s="579"/>
      <c r="G11" s="575"/>
      <c r="H11" s="575"/>
      <c r="I11" s="575"/>
      <c r="J11" s="575"/>
      <c r="K11" s="575"/>
      <c r="L11" s="575"/>
      <c r="M11" s="575"/>
      <c r="Q11" s="575"/>
      <c r="R11" s="1124"/>
      <c r="S11" s="1124"/>
      <c r="T11" s="1124"/>
      <c r="U11" s="1124"/>
      <c r="V11" s="1124"/>
      <c r="W11" s="1124"/>
    </row>
    <row r="12" spans="1:23">
      <c r="A12" s="595" t="s">
        <v>723</v>
      </c>
      <c r="B12" s="753">
        <f>$B$7</f>
        <v>0</v>
      </c>
      <c r="C12" s="752"/>
      <c r="D12" s="575" t="s">
        <v>732</v>
      </c>
      <c r="E12" s="579"/>
      <c r="F12" s="579"/>
      <c r="G12" s="575"/>
      <c r="H12" s="595" t="s">
        <v>723</v>
      </c>
      <c r="I12" s="753">
        <f>$B$7</f>
        <v>0</v>
      </c>
      <c r="J12" s="752"/>
      <c r="K12" s="575" t="s">
        <v>732</v>
      </c>
      <c r="L12" s="575"/>
      <c r="M12" s="575"/>
      <c r="Q12" s="575"/>
      <c r="R12" s="1124"/>
      <c r="S12" s="1124"/>
      <c r="T12" s="1124"/>
      <c r="U12" s="1124"/>
      <c r="V12" s="1124"/>
      <c r="W12" s="1124"/>
    </row>
    <row r="13" spans="1:23" ht="14.25" thickBot="1">
      <c r="A13" s="595" t="s">
        <v>731</v>
      </c>
      <c r="B13" s="575"/>
      <c r="C13" s="575"/>
      <c r="D13" s="575"/>
      <c r="E13" s="579"/>
      <c r="F13" s="579"/>
      <c r="G13" s="575"/>
      <c r="H13" s="595" t="s">
        <v>730</v>
      </c>
      <c r="I13" s="575"/>
      <c r="J13" s="575"/>
      <c r="K13" s="575"/>
      <c r="L13" s="579"/>
      <c r="M13" s="579"/>
      <c r="Q13" s="575"/>
      <c r="R13" s="1124"/>
      <c r="S13" s="1124"/>
      <c r="T13" s="1124"/>
      <c r="U13" s="1124"/>
      <c r="V13" s="1124"/>
      <c r="W13" s="1124"/>
    </row>
    <row r="14" spans="1:23">
      <c r="A14" s="596"/>
      <c r="B14" s="597" t="s">
        <v>659</v>
      </c>
      <c r="C14" s="597" t="s">
        <v>465</v>
      </c>
      <c r="D14" s="597" t="s">
        <v>660</v>
      </c>
      <c r="E14" s="582" t="s">
        <v>203</v>
      </c>
      <c r="F14" s="612" t="s">
        <v>682</v>
      </c>
      <c r="G14" s="575"/>
      <c r="H14" s="596"/>
      <c r="I14" s="597" t="s">
        <v>663</v>
      </c>
      <c r="J14" s="597" t="s">
        <v>465</v>
      </c>
      <c r="K14" s="597" t="s">
        <v>660</v>
      </c>
      <c r="L14" s="582" t="s">
        <v>203</v>
      </c>
      <c r="M14" s="612" t="s">
        <v>682</v>
      </c>
      <c r="Q14" s="575"/>
      <c r="R14" s="1124">
        <f>B12</f>
        <v>0</v>
      </c>
      <c r="S14" s="1124">
        <f>I12</f>
        <v>0</v>
      </c>
      <c r="T14" s="1124"/>
      <c r="U14" s="1124"/>
      <c r="V14" s="1124"/>
      <c r="W14" s="1124"/>
    </row>
    <row r="15" spans="1:23">
      <c r="A15" s="598">
        <v>1</v>
      </c>
      <c r="B15" s="608"/>
      <c r="C15" s="583" t="str">
        <f>IF(B15="","",VLOOKUP(B15,名簿!$E$4:$CN$113,87,FALSE))</f>
        <v/>
      </c>
      <c r="D15" s="1096" t="str">
        <f>IF(B15="","",VLOOKUP(B15,名簿!$E$4:$Z$113,22,FALSE))</f>
        <v/>
      </c>
      <c r="E15" s="599" t="str">
        <f>IF(B15="","",VLOOKUP(B15,名簿!$E$4:$J$113,5,FALSE))</f>
        <v/>
      </c>
      <c r="F15" s="613" t="str">
        <f>IF(B15="","",VLOOKUP(B15,名簿!$E$4:$J$113,4,FALSE))</f>
        <v/>
      </c>
      <c r="G15" s="575"/>
      <c r="H15" s="598">
        <v>1</v>
      </c>
      <c r="I15" s="608"/>
      <c r="J15" s="583" t="str">
        <f>IF(I15="","",VLOOKUP(I15,名簿!$E$4:$CN$113,87,FALSE))</f>
        <v/>
      </c>
      <c r="K15" s="1096" t="str">
        <f>IF(I15="","",VLOOKUP(I15,名簿!$E$4:$Z$113,22,FALSE))</f>
        <v/>
      </c>
      <c r="L15" s="599" t="str">
        <f>IF(I15="","",VLOOKUP(I15,名簿!$E$4:$J$113,5,FALSE))</f>
        <v/>
      </c>
      <c r="M15" s="613" t="str">
        <f>IF(I15="","",VLOOKUP(I15,名簿!$E$4:$J$113,4,FALSE))</f>
        <v/>
      </c>
      <c r="N15" s="593" t="str">
        <f>IF(C15="","",1)</f>
        <v/>
      </c>
      <c r="O15" s="593" t="str">
        <f>IF(J15="","",1)</f>
        <v/>
      </c>
      <c r="Q15" s="575"/>
      <c r="R15" s="1174" t="str">
        <f>CONCATENATE(C15,$R$1,E15,$S$1)</f>
        <v>()</v>
      </c>
      <c r="S15" s="1174" t="str">
        <f>CONCATENATE(J15,$R$1,L15,$S$1)</f>
        <v>()</v>
      </c>
      <c r="T15" s="1124"/>
      <c r="U15" s="1124"/>
      <c r="V15" s="1124"/>
      <c r="W15" s="1124"/>
    </row>
    <row r="16" spans="1:23">
      <c r="A16" s="598">
        <v>2</v>
      </c>
      <c r="B16" s="608"/>
      <c r="C16" s="583" t="str">
        <f>IF(B16="","",VLOOKUP(B16,名簿!$E$4:$CN$113,87,FALSE))</f>
        <v/>
      </c>
      <c r="D16" s="1096" t="str">
        <f>IF(B16="","",VLOOKUP(B16,名簿!$E$4:$Z$113,22,FALSE))</f>
        <v/>
      </c>
      <c r="E16" s="599" t="str">
        <f>IF(B16="","",VLOOKUP(B16,名簿!$E$4:$J$113,5,FALSE))</f>
        <v/>
      </c>
      <c r="F16" s="613" t="str">
        <f>IF(B16="","",VLOOKUP(B16,名簿!$E$4:$J$113,4,FALSE))</f>
        <v/>
      </c>
      <c r="G16" s="575"/>
      <c r="H16" s="598">
        <v>2</v>
      </c>
      <c r="I16" s="608"/>
      <c r="J16" s="583" t="str">
        <f>IF(I16="","",VLOOKUP(I16,名簿!$E$4:$CN$113,87,FALSE))</f>
        <v/>
      </c>
      <c r="K16" s="1096" t="str">
        <f>IF(I16="","",VLOOKUP(I16,名簿!$E$4:$Z$113,22,FALSE))</f>
        <v/>
      </c>
      <c r="L16" s="599" t="str">
        <f>IF(I16="","",VLOOKUP(I16,名簿!$E$4:$J$113,5,FALSE))</f>
        <v/>
      </c>
      <c r="M16" s="613" t="str">
        <f>IF(I16="","",VLOOKUP(I16,名簿!$E$4:$J$113,4,FALSE))</f>
        <v/>
      </c>
      <c r="Q16" s="575"/>
      <c r="R16" s="1175" t="str">
        <f t="shared" ref="R16:R58" si="0">CONCATENATE(C16,$R$1,E16,$S$1)</f>
        <v>()</v>
      </c>
      <c r="S16" s="1175" t="str">
        <f t="shared" ref="S16:S58" si="1">CONCATENATE(J16,$R$1,L16,$S$1)</f>
        <v>()</v>
      </c>
      <c r="T16" s="1124"/>
      <c r="U16" s="1124"/>
      <c r="V16" s="1124"/>
      <c r="W16" s="1124"/>
    </row>
    <row r="17" spans="1:23">
      <c r="A17" s="598">
        <v>3</v>
      </c>
      <c r="B17" s="608"/>
      <c r="C17" s="583" t="str">
        <f>IF(B17="","",VLOOKUP(B17,名簿!$E$4:$CN$113,87,FALSE))</f>
        <v/>
      </c>
      <c r="D17" s="1096" t="str">
        <f>IF(B17="","",VLOOKUP(B17,名簿!$E$4:$Z$113,22,FALSE))</f>
        <v/>
      </c>
      <c r="E17" s="599" t="str">
        <f>IF(B17="","",VLOOKUP(B17,名簿!$E$4:$J$113,5,FALSE))</f>
        <v/>
      </c>
      <c r="F17" s="613" t="str">
        <f>IF(B17="","",VLOOKUP(B17,名簿!$E$4:$J$113,4,FALSE))</f>
        <v/>
      </c>
      <c r="G17" s="575"/>
      <c r="H17" s="598">
        <v>3</v>
      </c>
      <c r="I17" s="608"/>
      <c r="J17" s="583" t="str">
        <f>IF(I17="","",VLOOKUP(I17,名簿!$E$4:$CN$113,87,FALSE))</f>
        <v/>
      </c>
      <c r="K17" s="1096" t="str">
        <f>IF(I17="","",VLOOKUP(I17,名簿!$E$4:$Z$113,22,FALSE))</f>
        <v/>
      </c>
      <c r="L17" s="599" t="str">
        <f>IF(I17="","",VLOOKUP(I17,名簿!$E$4:$J$113,5,FALSE))</f>
        <v/>
      </c>
      <c r="M17" s="613" t="str">
        <f>IF(I17="","",VLOOKUP(I17,名簿!$E$4:$J$113,4,FALSE))</f>
        <v/>
      </c>
      <c r="Q17" s="575"/>
      <c r="R17" s="1175" t="str">
        <f t="shared" si="0"/>
        <v>()</v>
      </c>
      <c r="S17" s="1175" t="str">
        <f t="shared" si="1"/>
        <v>()</v>
      </c>
      <c r="T17" s="1124"/>
      <c r="U17" s="1124"/>
      <c r="V17" s="1124"/>
      <c r="W17" s="1124"/>
    </row>
    <row r="18" spans="1:23">
      <c r="A18" s="598">
        <v>4</v>
      </c>
      <c r="B18" s="608"/>
      <c r="C18" s="583" t="str">
        <f>IF(B18="","",VLOOKUP(B18,名簿!$E$4:$CN$113,87,FALSE))</f>
        <v/>
      </c>
      <c r="D18" s="1096" t="str">
        <f>IF(B18="","",VLOOKUP(B18,名簿!$E$4:$Z$113,22,FALSE))</f>
        <v/>
      </c>
      <c r="E18" s="599" t="str">
        <f>IF(B18="","",VLOOKUP(B18,名簿!$E$4:$J$113,5,FALSE))</f>
        <v/>
      </c>
      <c r="F18" s="613" t="str">
        <f>IF(B18="","",VLOOKUP(B18,名簿!$E$4:$J$113,4,FALSE))</f>
        <v/>
      </c>
      <c r="G18" s="575"/>
      <c r="H18" s="598">
        <v>4</v>
      </c>
      <c r="I18" s="608"/>
      <c r="J18" s="583" t="str">
        <f>IF(I18="","",VLOOKUP(I18,名簿!$E$4:$CN$113,87,FALSE))</f>
        <v/>
      </c>
      <c r="K18" s="1096" t="str">
        <f>IF(I18="","",VLOOKUP(I18,名簿!$E$4:$Z$113,22,FALSE))</f>
        <v/>
      </c>
      <c r="L18" s="599" t="str">
        <f>IF(I18="","",VLOOKUP(I18,名簿!$E$4:$J$113,5,FALSE))</f>
        <v/>
      </c>
      <c r="M18" s="613" t="str">
        <f>IF(I18="","",VLOOKUP(I18,名簿!$E$4:$J$113,4,FALSE))</f>
        <v/>
      </c>
      <c r="Q18" s="575"/>
      <c r="R18" s="1175" t="str">
        <f t="shared" si="0"/>
        <v>()</v>
      </c>
      <c r="S18" s="1175" t="str">
        <f t="shared" si="1"/>
        <v>()</v>
      </c>
      <c r="T18" s="1124"/>
      <c r="U18" s="1124"/>
      <c r="V18" s="1124"/>
      <c r="W18" s="1124"/>
    </row>
    <row r="19" spans="1:23">
      <c r="A19" s="598">
        <v>5</v>
      </c>
      <c r="B19" s="608"/>
      <c r="C19" s="583" t="str">
        <f>IF(B19="","",VLOOKUP(B19,名簿!$E$4:$CN$113,87,FALSE))</f>
        <v/>
      </c>
      <c r="D19" s="1096" t="str">
        <f>IF(B19="","",VLOOKUP(B19,名簿!$E$4:$Z$113,22,FALSE))</f>
        <v/>
      </c>
      <c r="E19" s="599" t="str">
        <f>IF(B19="","",VLOOKUP(B19,名簿!$E$4:$J$113,5,FALSE))</f>
        <v/>
      </c>
      <c r="F19" s="613" t="str">
        <f>IF(B19="","",VLOOKUP(B19,名簿!$E$4:$J$113,4,FALSE))</f>
        <v/>
      </c>
      <c r="G19" s="575"/>
      <c r="H19" s="598">
        <v>5</v>
      </c>
      <c r="I19" s="608"/>
      <c r="J19" s="583" t="str">
        <f>IF(I19="","",VLOOKUP(I19,名簿!$E$4:$CN$113,87,FALSE))</f>
        <v/>
      </c>
      <c r="K19" s="1096" t="str">
        <f>IF(I19="","",VLOOKUP(I19,名簿!$E$4:$Z$113,22,FALSE))</f>
        <v/>
      </c>
      <c r="L19" s="599" t="str">
        <f>IF(I19="","",VLOOKUP(I19,名簿!$E$4:$J$113,5,FALSE))</f>
        <v/>
      </c>
      <c r="M19" s="613" t="str">
        <f>IF(I19="","",VLOOKUP(I19,名簿!$E$4:$J$113,4,FALSE))</f>
        <v/>
      </c>
      <c r="Q19" s="575"/>
      <c r="R19" s="1175" t="str">
        <f t="shared" si="0"/>
        <v>()</v>
      </c>
      <c r="S19" s="1175" t="str">
        <f t="shared" si="1"/>
        <v>()</v>
      </c>
      <c r="T19" s="1124"/>
      <c r="U19" s="1124"/>
      <c r="V19" s="1124"/>
      <c r="W19" s="1124"/>
    </row>
    <row r="20" spans="1:23">
      <c r="A20" s="598">
        <v>6</v>
      </c>
      <c r="B20" s="608"/>
      <c r="C20" s="583" t="str">
        <f>IF(B20="","",VLOOKUP(B20,名簿!$E$4:$CN$113,87,FALSE))</f>
        <v/>
      </c>
      <c r="D20" s="1096" t="str">
        <f>IF(B20="","",VLOOKUP(B20,名簿!$E$4:$Z$113,22,FALSE))</f>
        <v/>
      </c>
      <c r="E20" s="599" t="str">
        <f>IF(B20="","",VLOOKUP(B20,名簿!$E$4:$J$113,5,FALSE))</f>
        <v/>
      </c>
      <c r="F20" s="613" t="str">
        <f>IF(B20="","",VLOOKUP(B20,名簿!$E$4:$J$113,4,FALSE))</f>
        <v/>
      </c>
      <c r="G20" s="575"/>
      <c r="H20" s="598">
        <v>6</v>
      </c>
      <c r="I20" s="608"/>
      <c r="J20" s="583" t="str">
        <f>IF(I20="","",VLOOKUP(I20,名簿!$E$4:$CN$113,87,FALSE))</f>
        <v/>
      </c>
      <c r="K20" s="1096" t="str">
        <f>IF(I20="","",VLOOKUP(I20,名簿!$E$4:$Z$113,22,FALSE))</f>
        <v/>
      </c>
      <c r="L20" s="599" t="str">
        <f>IF(I20="","",VLOOKUP(I20,名簿!$E$4:$J$113,5,FALSE))</f>
        <v/>
      </c>
      <c r="M20" s="613" t="str">
        <f>IF(I20="","",VLOOKUP(I20,名簿!$E$4:$J$113,4,FALSE))</f>
        <v/>
      </c>
      <c r="Q20" s="575"/>
      <c r="R20" s="1175" t="str">
        <f t="shared" si="0"/>
        <v>()</v>
      </c>
      <c r="S20" s="1175" t="str">
        <f t="shared" si="1"/>
        <v>()</v>
      </c>
      <c r="T20" s="1124"/>
      <c r="U20" s="1124"/>
      <c r="V20" s="1124"/>
      <c r="W20" s="1124"/>
    </row>
    <row r="21" spans="1:23">
      <c r="A21" s="598">
        <v>7</v>
      </c>
      <c r="B21" s="608"/>
      <c r="C21" s="583" t="str">
        <f>IF(B21="","",VLOOKUP(B21,名簿!$E$4:$CN$113,87,FALSE))</f>
        <v/>
      </c>
      <c r="D21" s="1096" t="str">
        <f>IF(B21="","",VLOOKUP(B21,名簿!$E$4:$Z$113,22,FALSE))</f>
        <v/>
      </c>
      <c r="E21" s="599" t="str">
        <f>IF(B21="","",VLOOKUP(B21,名簿!$E$4:$J$113,5,FALSE))</f>
        <v/>
      </c>
      <c r="F21" s="613" t="str">
        <f>IF(B21="","",VLOOKUP(B21,名簿!$E$4:$J$113,4,FALSE))</f>
        <v/>
      </c>
      <c r="G21" s="575"/>
      <c r="H21" s="598">
        <v>7</v>
      </c>
      <c r="I21" s="608"/>
      <c r="J21" s="583" t="str">
        <f>IF(I21="","",VLOOKUP(I21,名簿!$E$4:$CN$113,87,FALSE))</f>
        <v/>
      </c>
      <c r="K21" s="1096" t="str">
        <f>IF(I21="","",VLOOKUP(I21,名簿!$E$4:$Z$113,22,FALSE))</f>
        <v/>
      </c>
      <c r="L21" s="599" t="str">
        <f>IF(I21="","",VLOOKUP(I21,名簿!$E$4:$J$113,5,FALSE))</f>
        <v/>
      </c>
      <c r="M21" s="613" t="str">
        <f>IF(I21="","",VLOOKUP(I21,名簿!$E$4:$J$113,4,FALSE))</f>
        <v/>
      </c>
      <c r="Q21" s="575"/>
      <c r="R21" s="1175" t="str">
        <f t="shared" si="0"/>
        <v>()</v>
      </c>
      <c r="S21" s="1175" t="str">
        <f t="shared" si="1"/>
        <v>()</v>
      </c>
      <c r="T21" s="1124"/>
      <c r="U21" s="1124"/>
      <c r="V21" s="1124"/>
      <c r="W21" s="1124"/>
    </row>
    <row r="22" spans="1:23" ht="14.25" thickBot="1">
      <c r="A22" s="600">
        <v>8</v>
      </c>
      <c r="B22" s="609"/>
      <c r="C22" s="715" t="str">
        <f>IF(B22="","",VLOOKUP(B22,名簿!$E$4:$CN$113,87,FALSE))</f>
        <v/>
      </c>
      <c r="D22" s="1097" t="str">
        <f>IF(B22="","",VLOOKUP(B22,名簿!$E$4:$Z$113,22,FALSE))</f>
        <v/>
      </c>
      <c r="E22" s="1098" t="str">
        <f>IF(B22="","",VLOOKUP(B22,名簿!$E$4:$J$113,5,FALSE))</f>
        <v/>
      </c>
      <c r="F22" s="614" t="str">
        <f>IF(B22="","",VLOOKUP(B22,名簿!$E$4:$J$113,4,FALSE))</f>
        <v/>
      </c>
      <c r="G22" s="575"/>
      <c r="H22" s="600">
        <v>8</v>
      </c>
      <c r="I22" s="609"/>
      <c r="J22" s="715" t="str">
        <f>IF(I22="","",VLOOKUP(I22,名簿!$E$4:$CN$113,87,FALSE))</f>
        <v/>
      </c>
      <c r="K22" s="1097" t="str">
        <f>IF(I22="","",VLOOKUP(I22,名簿!$E$4:$Z$113,22,FALSE))</f>
        <v/>
      </c>
      <c r="L22" s="1098" t="str">
        <f>IF(I22="","",VLOOKUP(I22,名簿!$E$4:$J$113,5,FALSE))</f>
        <v/>
      </c>
      <c r="M22" s="614" t="str">
        <f>IF(I22="","",VLOOKUP(I22,名簿!$E$4:$J$113,4,FALSE))</f>
        <v/>
      </c>
      <c r="Q22" s="575"/>
      <c r="R22" s="1176" t="str">
        <f t="shared" si="0"/>
        <v>()</v>
      </c>
      <c r="S22" s="1176" t="str">
        <f t="shared" si="1"/>
        <v>()</v>
      </c>
      <c r="T22" s="1124"/>
      <c r="U22" s="1124"/>
      <c r="V22" s="1124"/>
      <c r="W22" s="1124"/>
    </row>
    <row r="23" spans="1:23">
      <c r="A23" s="595"/>
      <c r="B23" s="575"/>
      <c r="C23" s="575"/>
      <c r="D23" s="575"/>
      <c r="E23" s="579"/>
      <c r="F23" s="579"/>
      <c r="G23" s="575"/>
      <c r="H23" s="595"/>
      <c r="I23" s="575"/>
      <c r="J23" s="575"/>
      <c r="K23" s="575"/>
      <c r="L23" s="579"/>
      <c r="M23" s="579"/>
      <c r="Q23" s="575"/>
      <c r="R23" s="1177"/>
      <c r="S23" s="1177"/>
      <c r="T23" s="1124"/>
      <c r="U23" s="1124"/>
      <c r="V23" s="1124"/>
      <c r="W23" s="1124"/>
    </row>
    <row r="24" spans="1:23">
      <c r="A24" s="595" t="s">
        <v>723</v>
      </c>
      <c r="B24" s="753">
        <f>$B$7</f>
        <v>0</v>
      </c>
      <c r="C24" s="752"/>
      <c r="D24" s="575" t="s">
        <v>732</v>
      </c>
      <c r="E24" s="579"/>
      <c r="F24" s="579"/>
      <c r="G24" s="575"/>
      <c r="H24" s="595" t="s">
        <v>723</v>
      </c>
      <c r="I24" s="753">
        <f>$B$7</f>
        <v>0</v>
      </c>
      <c r="J24" s="752"/>
      <c r="K24" s="575" t="s">
        <v>732</v>
      </c>
      <c r="L24" s="575"/>
      <c r="M24" s="575"/>
      <c r="Q24" s="575"/>
      <c r="R24" s="1177"/>
      <c r="S24" s="1177"/>
      <c r="T24" s="1124"/>
      <c r="U24" s="1124"/>
      <c r="V24" s="1124"/>
      <c r="W24" s="1124"/>
    </row>
    <row r="25" spans="1:23" ht="14.25" thickBot="1">
      <c r="A25" s="595" t="s">
        <v>724</v>
      </c>
      <c r="B25" s="575"/>
      <c r="C25" s="575"/>
      <c r="D25" s="575"/>
      <c r="E25" s="579"/>
      <c r="F25" s="579"/>
      <c r="G25" s="575"/>
      <c r="H25" s="595" t="s">
        <v>725</v>
      </c>
      <c r="I25" s="575"/>
      <c r="J25" s="575"/>
      <c r="K25" s="575"/>
      <c r="L25" s="579"/>
      <c r="M25" s="579"/>
      <c r="Q25" s="575"/>
      <c r="R25" s="1177"/>
      <c r="S25" s="1177"/>
      <c r="T25" s="1124"/>
      <c r="U25" s="1124"/>
      <c r="V25" s="1124"/>
      <c r="W25" s="1124"/>
    </row>
    <row r="26" spans="1:23">
      <c r="A26" s="596"/>
      <c r="B26" s="597" t="s">
        <v>659</v>
      </c>
      <c r="C26" s="597" t="s">
        <v>465</v>
      </c>
      <c r="D26" s="597" t="s">
        <v>660</v>
      </c>
      <c r="E26" s="582" t="s">
        <v>203</v>
      </c>
      <c r="F26" s="612" t="s">
        <v>682</v>
      </c>
      <c r="G26" s="575"/>
      <c r="H26" s="596"/>
      <c r="I26" s="597" t="s">
        <v>663</v>
      </c>
      <c r="J26" s="597" t="s">
        <v>465</v>
      </c>
      <c r="K26" s="597" t="s">
        <v>660</v>
      </c>
      <c r="L26" s="582" t="s">
        <v>203</v>
      </c>
      <c r="M26" s="612" t="s">
        <v>682</v>
      </c>
      <c r="Q26" s="575"/>
      <c r="R26" s="1177">
        <f>B24</f>
        <v>0</v>
      </c>
      <c r="S26" s="1177">
        <f>I24</f>
        <v>0</v>
      </c>
      <c r="T26" s="1124"/>
      <c r="U26" s="1124"/>
      <c r="V26" s="1124"/>
      <c r="W26" s="1124"/>
    </row>
    <row r="27" spans="1:23">
      <c r="A27" s="598">
        <v>1</v>
      </c>
      <c r="B27" s="608"/>
      <c r="C27" s="583" t="str">
        <f>IF(B27="","",VLOOKUP(B27,名簿!$E$4:$CN$113,87,FALSE))</f>
        <v/>
      </c>
      <c r="D27" s="1096" t="str">
        <f>IF(B27="","",VLOOKUP(B27,名簿!$E$4:$Z$113,22,FALSE))</f>
        <v/>
      </c>
      <c r="E27" s="599" t="str">
        <f>IF(B27="","",VLOOKUP(B27,名簿!$E$4:$J$113,5,FALSE))</f>
        <v/>
      </c>
      <c r="F27" s="613" t="str">
        <f>IF(B27="","",VLOOKUP(B27,名簿!$E$4:$J$113,4,FALSE))</f>
        <v/>
      </c>
      <c r="G27" s="575"/>
      <c r="H27" s="598">
        <v>1</v>
      </c>
      <c r="I27" s="608"/>
      <c r="J27" s="583" t="str">
        <f>IF(I27="","",VLOOKUP(I27,名簿!$E$4:$CN$113,87,FALSE))</f>
        <v/>
      </c>
      <c r="K27" s="1096" t="str">
        <f>IF(I27="","",VLOOKUP(I27,名簿!$E$4:$Z$113,22,FALSE))</f>
        <v/>
      </c>
      <c r="L27" s="599" t="str">
        <f>IF(I27="","",VLOOKUP(I27,名簿!$E$4:$J$113,5,FALSE))</f>
        <v/>
      </c>
      <c r="M27" s="613" t="str">
        <f>IF(I27="","",VLOOKUP(I27,名簿!$E$4:$J$113,4,FALSE))</f>
        <v/>
      </c>
      <c r="N27" s="593" t="str">
        <f>IF(C27="","",1)</f>
        <v/>
      </c>
      <c r="O27" s="593" t="str">
        <f>IF(J27="","",1)</f>
        <v/>
      </c>
      <c r="Q27" s="575"/>
      <c r="R27" s="1174" t="str">
        <f t="shared" si="0"/>
        <v>()</v>
      </c>
      <c r="S27" s="1174" t="str">
        <f t="shared" si="1"/>
        <v>()</v>
      </c>
      <c r="T27" s="1124"/>
      <c r="U27" s="1124"/>
      <c r="V27" s="1124"/>
      <c r="W27" s="1124"/>
    </row>
    <row r="28" spans="1:23">
      <c r="A28" s="598">
        <v>2</v>
      </c>
      <c r="B28" s="608"/>
      <c r="C28" s="583" t="str">
        <f>IF(B28="","",VLOOKUP(B28,名簿!$E$4:$CN$113,87,FALSE))</f>
        <v/>
      </c>
      <c r="D28" s="1096" t="str">
        <f>IF(B28="","",VLOOKUP(B28,名簿!$E$4:$Z$113,22,FALSE))</f>
        <v/>
      </c>
      <c r="E28" s="599" t="str">
        <f>IF(B28="","",VLOOKUP(B28,名簿!$E$4:$J$113,5,FALSE))</f>
        <v/>
      </c>
      <c r="F28" s="613" t="str">
        <f>IF(B28="","",VLOOKUP(B28,名簿!$E$4:$J$113,4,FALSE))</f>
        <v/>
      </c>
      <c r="G28" s="575"/>
      <c r="H28" s="598">
        <v>2</v>
      </c>
      <c r="I28" s="608"/>
      <c r="J28" s="583" t="str">
        <f>IF(I28="","",VLOOKUP(I28,名簿!$E$4:$CN$113,87,FALSE))</f>
        <v/>
      </c>
      <c r="K28" s="1096" t="str">
        <f>IF(I28="","",VLOOKUP(I28,名簿!$E$4:$Z$113,22,FALSE))</f>
        <v/>
      </c>
      <c r="L28" s="599" t="str">
        <f>IF(I28="","",VLOOKUP(I28,名簿!$E$4:$J$113,5,FALSE))</f>
        <v/>
      </c>
      <c r="M28" s="613" t="str">
        <f>IF(I28="","",VLOOKUP(I28,名簿!$E$4:$J$113,4,FALSE))</f>
        <v/>
      </c>
      <c r="Q28" s="575"/>
      <c r="R28" s="1175" t="str">
        <f t="shared" si="0"/>
        <v>()</v>
      </c>
      <c r="S28" s="1175" t="str">
        <f t="shared" si="1"/>
        <v>()</v>
      </c>
      <c r="T28" s="1124"/>
      <c r="U28" s="1124"/>
      <c r="V28" s="1124"/>
      <c r="W28" s="1124"/>
    </row>
    <row r="29" spans="1:23">
      <c r="A29" s="598">
        <v>3</v>
      </c>
      <c r="B29" s="608"/>
      <c r="C29" s="583" t="str">
        <f>IF(B29="","",VLOOKUP(B29,名簿!$E$4:$CN$113,87,FALSE))</f>
        <v/>
      </c>
      <c r="D29" s="1096" t="str">
        <f>IF(B29="","",VLOOKUP(B29,名簿!$E$4:$Z$113,22,FALSE))</f>
        <v/>
      </c>
      <c r="E29" s="599" t="str">
        <f>IF(B29="","",VLOOKUP(B29,名簿!$E$4:$J$113,5,FALSE))</f>
        <v/>
      </c>
      <c r="F29" s="613" t="str">
        <f>IF(B29="","",VLOOKUP(B29,名簿!$E$4:$J$113,4,FALSE))</f>
        <v/>
      </c>
      <c r="G29" s="575"/>
      <c r="H29" s="598">
        <v>3</v>
      </c>
      <c r="I29" s="608"/>
      <c r="J29" s="583" t="str">
        <f>IF(I29="","",VLOOKUP(I29,名簿!$E$4:$CN$113,87,FALSE))</f>
        <v/>
      </c>
      <c r="K29" s="1096" t="str">
        <f>IF(I29="","",VLOOKUP(I29,名簿!$E$4:$Z$113,22,FALSE))</f>
        <v/>
      </c>
      <c r="L29" s="599" t="str">
        <f>IF(I29="","",VLOOKUP(I29,名簿!$E$4:$J$113,5,FALSE))</f>
        <v/>
      </c>
      <c r="M29" s="613" t="str">
        <f>IF(I29="","",VLOOKUP(I29,名簿!$E$4:$J$113,4,FALSE))</f>
        <v/>
      </c>
      <c r="Q29" s="575"/>
      <c r="R29" s="1175" t="str">
        <f t="shared" si="0"/>
        <v>()</v>
      </c>
      <c r="S29" s="1175" t="str">
        <f t="shared" si="1"/>
        <v>()</v>
      </c>
      <c r="T29" s="1124"/>
      <c r="U29" s="1124"/>
      <c r="V29" s="1124"/>
      <c r="W29" s="1124"/>
    </row>
    <row r="30" spans="1:23">
      <c r="A30" s="598">
        <v>4</v>
      </c>
      <c r="B30" s="608"/>
      <c r="C30" s="583" t="str">
        <f>IF(B30="","",VLOOKUP(B30,名簿!$E$4:$CN$113,87,FALSE))</f>
        <v/>
      </c>
      <c r="D30" s="1096" t="str">
        <f>IF(B30="","",VLOOKUP(B30,名簿!$E$4:$Z$113,22,FALSE))</f>
        <v/>
      </c>
      <c r="E30" s="599" t="str">
        <f>IF(B30="","",VLOOKUP(B30,名簿!$E$4:$J$113,5,FALSE))</f>
        <v/>
      </c>
      <c r="F30" s="613" t="str">
        <f>IF(B30="","",VLOOKUP(B30,名簿!$E$4:$J$113,4,FALSE))</f>
        <v/>
      </c>
      <c r="G30" s="575"/>
      <c r="H30" s="598">
        <v>4</v>
      </c>
      <c r="I30" s="608"/>
      <c r="J30" s="583" t="str">
        <f>IF(I30="","",VLOOKUP(I30,名簿!$E$4:$CN$113,87,FALSE))</f>
        <v/>
      </c>
      <c r="K30" s="1096" t="str">
        <f>IF(I30="","",VLOOKUP(I30,名簿!$E$4:$Z$113,22,FALSE))</f>
        <v/>
      </c>
      <c r="L30" s="599" t="str">
        <f>IF(I30="","",VLOOKUP(I30,名簿!$E$4:$J$113,5,FALSE))</f>
        <v/>
      </c>
      <c r="M30" s="613" t="str">
        <f>IF(I30="","",VLOOKUP(I30,名簿!$E$4:$J$113,4,FALSE))</f>
        <v/>
      </c>
      <c r="Q30" s="575"/>
      <c r="R30" s="1175" t="str">
        <f t="shared" si="0"/>
        <v>()</v>
      </c>
      <c r="S30" s="1175" t="str">
        <f t="shared" si="1"/>
        <v>()</v>
      </c>
      <c r="T30" s="1124"/>
      <c r="U30" s="1124"/>
      <c r="V30" s="1124"/>
      <c r="W30" s="1124"/>
    </row>
    <row r="31" spans="1:23">
      <c r="A31" s="598">
        <v>5</v>
      </c>
      <c r="B31" s="608"/>
      <c r="C31" s="583" t="str">
        <f>IF(B31="","",VLOOKUP(B31,名簿!$E$4:$CN$113,87,FALSE))</f>
        <v/>
      </c>
      <c r="D31" s="1096" t="str">
        <f>IF(B31="","",VLOOKUP(B31,名簿!$E$4:$Z$113,22,FALSE))</f>
        <v/>
      </c>
      <c r="E31" s="599" t="str">
        <f>IF(B31="","",VLOOKUP(B31,名簿!$E$4:$J$113,5,FALSE))</f>
        <v/>
      </c>
      <c r="F31" s="613" t="str">
        <f>IF(B31="","",VLOOKUP(B31,名簿!$E$4:$J$113,4,FALSE))</f>
        <v/>
      </c>
      <c r="G31" s="575"/>
      <c r="H31" s="598">
        <v>5</v>
      </c>
      <c r="I31" s="608"/>
      <c r="J31" s="583" t="str">
        <f>IF(I31="","",VLOOKUP(I31,名簿!$E$4:$CN$113,87,FALSE))</f>
        <v/>
      </c>
      <c r="K31" s="1096" t="str">
        <f>IF(I31="","",VLOOKUP(I31,名簿!$E$4:$Z$113,22,FALSE))</f>
        <v/>
      </c>
      <c r="L31" s="599" t="str">
        <f>IF(I31="","",VLOOKUP(I31,名簿!$E$4:$J$113,5,FALSE))</f>
        <v/>
      </c>
      <c r="M31" s="613" t="str">
        <f>IF(I31="","",VLOOKUP(I31,名簿!$E$4:$J$113,4,FALSE))</f>
        <v/>
      </c>
      <c r="Q31" s="575"/>
      <c r="R31" s="1175" t="str">
        <f t="shared" si="0"/>
        <v>()</v>
      </c>
      <c r="S31" s="1175" t="str">
        <f t="shared" si="1"/>
        <v>()</v>
      </c>
      <c r="T31" s="1124"/>
      <c r="U31" s="1124"/>
      <c r="V31" s="1124"/>
      <c r="W31" s="1124"/>
    </row>
    <row r="32" spans="1:23">
      <c r="A32" s="598">
        <v>6</v>
      </c>
      <c r="B32" s="608"/>
      <c r="C32" s="583" t="str">
        <f>IF(B32="","",VLOOKUP(B32,名簿!$E$4:$CN$113,87,FALSE))</f>
        <v/>
      </c>
      <c r="D32" s="1096" t="str">
        <f>IF(B32="","",VLOOKUP(B32,名簿!$E$4:$Z$113,22,FALSE))</f>
        <v/>
      </c>
      <c r="E32" s="599" t="str">
        <f>IF(B32="","",VLOOKUP(B32,名簿!$E$4:$J$113,5,FALSE))</f>
        <v/>
      </c>
      <c r="F32" s="613" t="str">
        <f>IF(B32="","",VLOOKUP(B32,名簿!$E$4:$J$113,4,FALSE))</f>
        <v/>
      </c>
      <c r="G32" s="575"/>
      <c r="H32" s="598">
        <v>6</v>
      </c>
      <c r="I32" s="608"/>
      <c r="J32" s="583" t="str">
        <f>IF(I32="","",VLOOKUP(I32,名簿!$E$4:$CN$113,87,FALSE))</f>
        <v/>
      </c>
      <c r="K32" s="1096" t="str">
        <f>IF(I32="","",VLOOKUP(I32,名簿!$E$4:$Z$113,22,FALSE))</f>
        <v/>
      </c>
      <c r="L32" s="599" t="str">
        <f>IF(I32="","",VLOOKUP(I32,名簿!$E$4:$J$113,5,FALSE))</f>
        <v/>
      </c>
      <c r="M32" s="613" t="str">
        <f>IF(I32="","",VLOOKUP(I32,名簿!$E$4:$J$113,4,FALSE))</f>
        <v/>
      </c>
      <c r="Q32" s="575"/>
      <c r="R32" s="1175" t="str">
        <f t="shared" si="0"/>
        <v>()</v>
      </c>
      <c r="S32" s="1175" t="str">
        <f t="shared" si="1"/>
        <v>()</v>
      </c>
      <c r="T32" s="1124"/>
      <c r="U32" s="1124"/>
      <c r="V32" s="1124"/>
      <c r="W32" s="1124"/>
    </row>
    <row r="33" spans="1:23">
      <c r="A33" s="598">
        <v>7</v>
      </c>
      <c r="B33" s="608"/>
      <c r="C33" s="583" t="str">
        <f>IF(B33="","",VLOOKUP(B33,名簿!$E$4:$CN$113,87,FALSE))</f>
        <v/>
      </c>
      <c r="D33" s="1096" t="str">
        <f>IF(B33="","",VLOOKUP(B33,名簿!$E$4:$Z$113,22,FALSE))</f>
        <v/>
      </c>
      <c r="E33" s="599" t="str">
        <f>IF(B33="","",VLOOKUP(B33,名簿!$E$4:$J$113,5,FALSE))</f>
        <v/>
      </c>
      <c r="F33" s="613" t="str">
        <f>IF(B33="","",VLOOKUP(B33,名簿!$E$4:$J$113,4,FALSE))</f>
        <v/>
      </c>
      <c r="G33" s="575"/>
      <c r="H33" s="598">
        <v>7</v>
      </c>
      <c r="I33" s="608"/>
      <c r="J33" s="583" t="str">
        <f>IF(I33="","",VLOOKUP(I33,名簿!$E$4:$CN$113,87,FALSE))</f>
        <v/>
      </c>
      <c r="K33" s="1096" t="str">
        <f>IF(I33="","",VLOOKUP(I33,名簿!$E$4:$Z$113,22,FALSE))</f>
        <v/>
      </c>
      <c r="L33" s="599" t="str">
        <f>IF(I33="","",VLOOKUP(I33,名簿!$E$4:$J$113,5,FALSE))</f>
        <v/>
      </c>
      <c r="M33" s="613" t="str">
        <f>IF(I33="","",VLOOKUP(I33,名簿!$E$4:$J$113,4,FALSE))</f>
        <v/>
      </c>
      <c r="Q33" s="575"/>
      <c r="R33" s="1175" t="str">
        <f t="shared" si="0"/>
        <v>()</v>
      </c>
      <c r="S33" s="1175" t="str">
        <f t="shared" si="1"/>
        <v>()</v>
      </c>
      <c r="T33" s="1124"/>
      <c r="U33" s="1124"/>
      <c r="V33" s="1124"/>
      <c r="W33" s="1124"/>
    </row>
    <row r="34" spans="1:23" ht="14.25" thickBot="1">
      <c r="A34" s="600">
        <v>8</v>
      </c>
      <c r="B34" s="609"/>
      <c r="C34" s="715" t="str">
        <f>IF(B34="","",VLOOKUP(B34,名簿!$E$4:$CN$113,87,FALSE))</f>
        <v/>
      </c>
      <c r="D34" s="1097" t="str">
        <f>IF(B34="","",VLOOKUP(B34,名簿!$E$4:$Z$113,22,FALSE))</f>
        <v/>
      </c>
      <c r="E34" s="1098" t="str">
        <f>IF(B34="","",VLOOKUP(B34,名簿!$E$4:$J$113,5,FALSE))</f>
        <v/>
      </c>
      <c r="F34" s="614" t="str">
        <f>IF(B34="","",VLOOKUP(B34,名簿!$E$4:$J$113,4,FALSE))</f>
        <v/>
      </c>
      <c r="G34" s="575"/>
      <c r="H34" s="600">
        <v>8</v>
      </c>
      <c r="I34" s="609"/>
      <c r="J34" s="715" t="str">
        <f>IF(I34="","",VLOOKUP(I34,名簿!$E$4:$CN$113,87,FALSE))</f>
        <v/>
      </c>
      <c r="K34" s="1097" t="str">
        <f>IF(I34="","",VLOOKUP(I34,名簿!$E$4:$Z$113,22,FALSE))</f>
        <v/>
      </c>
      <c r="L34" s="1098" t="str">
        <f>IF(I34="","",VLOOKUP(I34,名簿!$E$4:$J$113,5,FALSE))</f>
        <v/>
      </c>
      <c r="M34" s="614" t="str">
        <f>IF(I34="","",VLOOKUP(I34,名簿!$E$4:$J$113,4,FALSE))</f>
        <v/>
      </c>
      <c r="Q34" s="575"/>
      <c r="R34" s="1176" t="str">
        <f t="shared" si="0"/>
        <v>()</v>
      </c>
      <c r="S34" s="1176" t="str">
        <f t="shared" si="1"/>
        <v>()</v>
      </c>
      <c r="T34" s="1124"/>
      <c r="U34" s="1124"/>
      <c r="V34" s="1124"/>
      <c r="W34" s="1124"/>
    </row>
    <row r="35" spans="1:23">
      <c r="A35" s="601"/>
      <c r="B35" s="602"/>
      <c r="C35" s="584"/>
      <c r="D35" s="584"/>
      <c r="E35" s="585"/>
      <c r="F35" s="585"/>
      <c r="G35" s="575"/>
      <c r="H35" s="601"/>
      <c r="I35" s="602"/>
      <c r="J35" s="584"/>
      <c r="K35" s="584"/>
      <c r="L35" s="585"/>
      <c r="M35" s="585"/>
      <c r="Q35" s="575"/>
      <c r="R35" s="1177"/>
      <c r="S35" s="1177"/>
      <c r="T35" s="1124"/>
      <c r="U35" s="1124"/>
      <c r="V35" s="1124"/>
      <c r="W35" s="1124"/>
    </row>
    <row r="36" spans="1:23">
      <c r="A36" s="595" t="s">
        <v>723</v>
      </c>
      <c r="B36" s="753">
        <f>$B$7</f>
        <v>0</v>
      </c>
      <c r="C36" s="752"/>
      <c r="D36" s="575" t="s">
        <v>732</v>
      </c>
      <c r="E36" s="579"/>
      <c r="F36" s="579"/>
      <c r="G36" s="575"/>
      <c r="H36" s="595" t="s">
        <v>723</v>
      </c>
      <c r="I36" s="753">
        <f>$B$7</f>
        <v>0</v>
      </c>
      <c r="J36" s="752"/>
      <c r="K36" s="575" t="s">
        <v>732</v>
      </c>
      <c r="L36" s="575"/>
      <c r="M36" s="575"/>
      <c r="Q36" s="575"/>
      <c r="R36" s="1177"/>
      <c r="S36" s="1177"/>
      <c r="T36" s="1124"/>
      <c r="U36" s="1124"/>
      <c r="V36" s="1124"/>
      <c r="W36" s="1124"/>
    </row>
    <row r="37" spans="1:23" ht="14.25" thickBot="1">
      <c r="A37" s="603" t="s">
        <v>728</v>
      </c>
      <c r="B37" s="575"/>
      <c r="C37" s="575"/>
      <c r="D37" s="575"/>
      <c r="E37" s="579"/>
      <c r="F37" s="579"/>
      <c r="G37" s="575"/>
      <c r="H37" s="603" t="s">
        <v>729</v>
      </c>
      <c r="I37" s="575"/>
      <c r="J37" s="575"/>
      <c r="K37" s="575"/>
      <c r="L37" s="579"/>
      <c r="M37" s="579"/>
      <c r="Q37" s="575"/>
      <c r="R37" s="1177"/>
      <c r="S37" s="1177"/>
      <c r="T37" s="1124"/>
      <c r="U37" s="1124"/>
      <c r="V37" s="1124"/>
      <c r="W37" s="1124"/>
    </row>
    <row r="38" spans="1:23">
      <c r="A38" s="596"/>
      <c r="B38" s="597" t="s">
        <v>661</v>
      </c>
      <c r="C38" s="597" t="s">
        <v>465</v>
      </c>
      <c r="D38" s="597" t="s">
        <v>660</v>
      </c>
      <c r="E38" s="582" t="s">
        <v>203</v>
      </c>
      <c r="F38" s="612" t="s">
        <v>682</v>
      </c>
      <c r="G38" s="575"/>
      <c r="H38" s="596"/>
      <c r="I38" s="597" t="s">
        <v>663</v>
      </c>
      <c r="J38" s="597" t="s">
        <v>465</v>
      </c>
      <c r="K38" s="597" t="s">
        <v>660</v>
      </c>
      <c r="L38" s="582" t="s">
        <v>203</v>
      </c>
      <c r="M38" s="612" t="s">
        <v>682</v>
      </c>
      <c r="Q38" s="575"/>
      <c r="R38" s="1177">
        <f>B36</f>
        <v>0</v>
      </c>
      <c r="S38" s="1177">
        <f>I36</f>
        <v>0</v>
      </c>
      <c r="T38" s="1124"/>
      <c r="U38" s="1124"/>
      <c r="V38" s="1124"/>
      <c r="W38" s="1124"/>
    </row>
    <row r="39" spans="1:23">
      <c r="A39" s="598">
        <v>1</v>
      </c>
      <c r="B39" s="608"/>
      <c r="C39" s="583" t="str">
        <f>IF(B39="","",VLOOKUP(B39,名簿!$E$4:$CN$113,87,FALSE))</f>
        <v/>
      </c>
      <c r="D39" s="1096" t="str">
        <f>IF(B39="","",VLOOKUP(B39,名簿!$E$4:$Z$113,22,FALSE))</f>
        <v/>
      </c>
      <c r="E39" s="599" t="str">
        <f>IF(B39="","",VLOOKUP(B39,名簿!$E$4:$J$113,5,FALSE))</f>
        <v/>
      </c>
      <c r="F39" s="613" t="str">
        <f>IF(B39="","",VLOOKUP(B39,名簿!$E$4:$J$113,4,FALSE))</f>
        <v/>
      </c>
      <c r="G39" s="575"/>
      <c r="H39" s="598">
        <v>1</v>
      </c>
      <c r="I39" s="608"/>
      <c r="J39" s="583" t="str">
        <f>IF(I39="","",VLOOKUP(I39,名簿!$E$4:$CN$113,87,FALSE))</f>
        <v/>
      </c>
      <c r="K39" s="1096" t="str">
        <f>IF(I39="","",VLOOKUP(I39,名簿!$E$4:$Z$113,22,FALSE))</f>
        <v/>
      </c>
      <c r="L39" s="599" t="str">
        <f>IF(I39="","",VLOOKUP(I39,名簿!$E$4:$J$113,5,FALSE))</f>
        <v/>
      </c>
      <c r="M39" s="613" t="str">
        <f>IF(I39="","",VLOOKUP(I39,名簿!$E$4:$J$113,4,FALSE))</f>
        <v/>
      </c>
      <c r="N39" s="593" t="str">
        <f>IF(C39="","",1)</f>
        <v/>
      </c>
      <c r="O39" s="593" t="str">
        <f>IF(J39="","",1)</f>
        <v/>
      </c>
      <c r="Q39" s="575"/>
      <c r="R39" s="1174" t="str">
        <f t="shared" si="0"/>
        <v>()</v>
      </c>
      <c r="S39" s="1174" t="str">
        <f t="shared" si="1"/>
        <v>()</v>
      </c>
      <c r="T39" s="1124"/>
      <c r="U39" s="1124"/>
      <c r="V39" s="1124"/>
      <c r="W39" s="1124"/>
    </row>
    <row r="40" spans="1:23">
      <c r="A40" s="598">
        <v>2</v>
      </c>
      <c r="B40" s="608"/>
      <c r="C40" s="583" t="str">
        <f>IF(B40="","",VLOOKUP(B40,名簿!$E$4:$CN$113,87,FALSE))</f>
        <v/>
      </c>
      <c r="D40" s="1096" t="str">
        <f>IF(B40="","",VLOOKUP(B40,名簿!$E$4:$Z$113,22,FALSE))</f>
        <v/>
      </c>
      <c r="E40" s="599" t="str">
        <f>IF(B40="","",VLOOKUP(B40,名簿!$E$4:$J$113,5,FALSE))</f>
        <v/>
      </c>
      <c r="F40" s="613" t="str">
        <f>IF(B40="","",VLOOKUP(B40,名簿!$E$4:$J$113,4,FALSE))</f>
        <v/>
      </c>
      <c r="G40" s="575"/>
      <c r="H40" s="598">
        <v>2</v>
      </c>
      <c r="I40" s="608"/>
      <c r="J40" s="583" t="str">
        <f>IF(I40="","",VLOOKUP(I40,名簿!$E$4:$CN$113,87,FALSE))</f>
        <v/>
      </c>
      <c r="K40" s="1096" t="str">
        <f>IF(I40="","",VLOOKUP(I40,名簿!$E$4:$Z$113,22,FALSE))</f>
        <v/>
      </c>
      <c r="L40" s="599" t="str">
        <f>IF(I40="","",VLOOKUP(I40,名簿!$E$4:$J$113,5,FALSE))</f>
        <v/>
      </c>
      <c r="M40" s="613" t="str">
        <f>IF(I40="","",VLOOKUP(I40,名簿!$E$4:$J$113,4,FALSE))</f>
        <v/>
      </c>
      <c r="Q40" s="575"/>
      <c r="R40" s="1175" t="str">
        <f t="shared" si="0"/>
        <v>()</v>
      </c>
      <c r="S40" s="1175" t="str">
        <f t="shared" si="1"/>
        <v>()</v>
      </c>
      <c r="T40" s="1124"/>
      <c r="U40" s="1124"/>
      <c r="V40" s="1124"/>
      <c r="W40" s="1124"/>
    </row>
    <row r="41" spans="1:23">
      <c r="A41" s="598">
        <v>3</v>
      </c>
      <c r="B41" s="608"/>
      <c r="C41" s="583" t="str">
        <f>IF(B41="","",VLOOKUP(B41,名簿!$E$4:$CN$113,87,FALSE))</f>
        <v/>
      </c>
      <c r="D41" s="1096" t="str">
        <f>IF(B41="","",VLOOKUP(B41,名簿!$E$4:$Z$113,22,FALSE))</f>
        <v/>
      </c>
      <c r="E41" s="599" t="str">
        <f>IF(B41="","",VLOOKUP(B41,名簿!$E$4:$J$113,5,FALSE))</f>
        <v/>
      </c>
      <c r="F41" s="613" t="str">
        <f>IF(B41="","",VLOOKUP(B41,名簿!$E$4:$J$113,4,FALSE))</f>
        <v/>
      </c>
      <c r="G41" s="575"/>
      <c r="H41" s="598">
        <v>3</v>
      </c>
      <c r="I41" s="608"/>
      <c r="J41" s="583" t="str">
        <f>IF(I41="","",VLOOKUP(I41,名簿!$E$4:$CN$113,87,FALSE))</f>
        <v/>
      </c>
      <c r="K41" s="1096" t="str">
        <f>IF(I41="","",VLOOKUP(I41,名簿!$E$4:$Z$113,22,FALSE))</f>
        <v/>
      </c>
      <c r="L41" s="599" t="str">
        <f>IF(I41="","",VLOOKUP(I41,名簿!$E$4:$J$113,5,FALSE))</f>
        <v/>
      </c>
      <c r="M41" s="613" t="str">
        <f>IF(I41="","",VLOOKUP(I41,名簿!$E$4:$J$113,4,FALSE))</f>
        <v/>
      </c>
      <c r="Q41" s="575"/>
      <c r="R41" s="1175" t="str">
        <f t="shared" si="0"/>
        <v>()</v>
      </c>
      <c r="S41" s="1175" t="str">
        <f t="shared" si="1"/>
        <v>()</v>
      </c>
      <c r="T41" s="1124"/>
      <c r="U41" s="1124"/>
      <c r="V41" s="1124"/>
      <c r="W41" s="1124"/>
    </row>
    <row r="42" spans="1:23">
      <c r="A42" s="598">
        <v>4</v>
      </c>
      <c r="B42" s="608"/>
      <c r="C42" s="583" t="str">
        <f>IF(B42="","",VLOOKUP(B42,名簿!$E$4:$CN$113,87,FALSE))</f>
        <v/>
      </c>
      <c r="D42" s="1096" t="str">
        <f>IF(B42="","",VLOOKUP(B42,名簿!$E$4:$Z$113,22,FALSE))</f>
        <v/>
      </c>
      <c r="E42" s="599" t="str">
        <f>IF(B42="","",VLOOKUP(B42,名簿!$E$4:$J$113,5,FALSE))</f>
        <v/>
      </c>
      <c r="F42" s="613" t="str">
        <f>IF(B42="","",VLOOKUP(B42,名簿!$E$4:$J$113,4,FALSE))</f>
        <v/>
      </c>
      <c r="G42" s="575"/>
      <c r="H42" s="598">
        <v>4</v>
      </c>
      <c r="I42" s="608"/>
      <c r="J42" s="583" t="str">
        <f>IF(I42="","",VLOOKUP(I42,名簿!$E$4:$CN$113,87,FALSE))</f>
        <v/>
      </c>
      <c r="K42" s="1096" t="str">
        <f>IF(I42="","",VLOOKUP(I42,名簿!$E$4:$Z$113,22,FALSE))</f>
        <v/>
      </c>
      <c r="L42" s="599" t="str">
        <f>IF(I42="","",VLOOKUP(I42,名簿!$E$4:$J$113,5,FALSE))</f>
        <v/>
      </c>
      <c r="M42" s="613" t="str">
        <f>IF(I42="","",VLOOKUP(I42,名簿!$E$4:$J$113,4,FALSE))</f>
        <v/>
      </c>
      <c r="Q42" s="575"/>
      <c r="R42" s="1175" t="str">
        <f t="shared" si="0"/>
        <v>()</v>
      </c>
      <c r="S42" s="1175" t="str">
        <f t="shared" si="1"/>
        <v>()</v>
      </c>
      <c r="T42" s="1124"/>
      <c r="U42" s="1124"/>
      <c r="V42" s="1124"/>
      <c r="W42" s="1124"/>
    </row>
    <row r="43" spans="1:23">
      <c r="A43" s="598">
        <v>5</v>
      </c>
      <c r="B43" s="608"/>
      <c r="C43" s="583" t="str">
        <f>IF(B43="","",VLOOKUP(B43,名簿!$E$4:$CN$113,87,FALSE))</f>
        <v/>
      </c>
      <c r="D43" s="1096" t="str">
        <f>IF(B43="","",VLOOKUP(B43,名簿!$E$4:$Z$113,22,FALSE))</f>
        <v/>
      </c>
      <c r="E43" s="599" t="str">
        <f>IF(B43="","",VLOOKUP(B43,名簿!$E$4:$J$113,5,FALSE))</f>
        <v/>
      </c>
      <c r="F43" s="613" t="str">
        <f>IF(B43="","",VLOOKUP(B43,名簿!$E$4:$J$113,4,FALSE))</f>
        <v/>
      </c>
      <c r="G43" s="575"/>
      <c r="H43" s="598">
        <v>5</v>
      </c>
      <c r="I43" s="608"/>
      <c r="J43" s="583" t="str">
        <f>IF(I43="","",VLOOKUP(I43,名簿!$E$4:$CN$113,87,FALSE))</f>
        <v/>
      </c>
      <c r="K43" s="1096" t="str">
        <f>IF(I43="","",VLOOKUP(I43,名簿!$E$4:$Z$113,22,FALSE))</f>
        <v/>
      </c>
      <c r="L43" s="599" t="str">
        <f>IF(I43="","",VLOOKUP(I43,名簿!$E$4:$J$113,5,FALSE))</f>
        <v/>
      </c>
      <c r="M43" s="613" t="str">
        <f>IF(I43="","",VLOOKUP(I43,名簿!$E$4:$J$113,4,FALSE))</f>
        <v/>
      </c>
      <c r="Q43" s="575"/>
      <c r="R43" s="1175" t="str">
        <f t="shared" si="0"/>
        <v>()</v>
      </c>
      <c r="S43" s="1175" t="str">
        <f t="shared" si="1"/>
        <v>()</v>
      </c>
      <c r="T43" s="1124"/>
      <c r="U43" s="1124"/>
      <c r="V43" s="1124"/>
      <c r="W43" s="1124"/>
    </row>
    <row r="44" spans="1:23">
      <c r="A44" s="598">
        <v>6</v>
      </c>
      <c r="B44" s="608"/>
      <c r="C44" s="583" t="str">
        <f>IF(B44="","",VLOOKUP(B44,名簿!$E$4:$CN$113,87,FALSE))</f>
        <v/>
      </c>
      <c r="D44" s="1096" t="str">
        <f>IF(B44="","",VLOOKUP(B44,名簿!$E$4:$Z$113,22,FALSE))</f>
        <v/>
      </c>
      <c r="E44" s="599" t="str">
        <f>IF(B44="","",VLOOKUP(B44,名簿!$E$4:$J$113,5,FALSE))</f>
        <v/>
      </c>
      <c r="F44" s="613" t="str">
        <f>IF(B44="","",VLOOKUP(B44,名簿!$E$4:$J$113,4,FALSE))</f>
        <v/>
      </c>
      <c r="G44" s="575"/>
      <c r="H44" s="598">
        <v>6</v>
      </c>
      <c r="I44" s="608"/>
      <c r="J44" s="583" t="str">
        <f>IF(I44="","",VLOOKUP(I44,名簿!$E$4:$CN$113,87,FALSE))</f>
        <v/>
      </c>
      <c r="K44" s="1096" t="str">
        <f>IF(I44="","",VLOOKUP(I44,名簿!$E$4:$Z$113,22,FALSE))</f>
        <v/>
      </c>
      <c r="L44" s="599" t="str">
        <f>IF(I44="","",VLOOKUP(I44,名簿!$E$4:$J$113,5,FALSE))</f>
        <v/>
      </c>
      <c r="M44" s="613" t="str">
        <f>IF(I44="","",VLOOKUP(I44,名簿!$E$4:$J$113,4,FALSE))</f>
        <v/>
      </c>
      <c r="Q44" s="575"/>
      <c r="R44" s="1175" t="str">
        <f t="shared" si="0"/>
        <v>()</v>
      </c>
      <c r="S44" s="1175" t="str">
        <f t="shared" si="1"/>
        <v>()</v>
      </c>
      <c r="T44" s="1124"/>
      <c r="U44" s="1124"/>
      <c r="V44" s="1124"/>
      <c r="W44" s="1124"/>
    </row>
    <row r="45" spans="1:23">
      <c r="A45" s="598">
        <v>7</v>
      </c>
      <c r="B45" s="608"/>
      <c r="C45" s="583" t="str">
        <f>IF(B45="","",VLOOKUP(B45,名簿!$E$4:$CN$113,87,FALSE))</f>
        <v/>
      </c>
      <c r="D45" s="1096" t="str">
        <f>IF(B45="","",VLOOKUP(B45,名簿!$E$4:$Z$113,22,FALSE))</f>
        <v/>
      </c>
      <c r="E45" s="599" t="str">
        <f>IF(B45="","",VLOOKUP(B45,名簿!$E$4:$J$113,5,FALSE))</f>
        <v/>
      </c>
      <c r="F45" s="613" t="str">
        <f>IF(B45="","",VLOOKUP(B45,名簿!$E$4:$J$113,4,FALSE))</f>
        <v/>
      </c>
      <c r="G45" s="575"/>
      <c r="H45" s="598">
        <v>7</v>
      </c>
      <c r="I45" s="608"/>
      <c r="J45" s="583" t="str">
        <f>IF(I45="","",VLOOKUP(I45,名簿!$E$4:$CN$113,87,FALSE))</f>
        <v/>
      </c>
      <c r="K45" s="1096" t="str">
        <f>IF(I45="","",VLOOKUP(I45,名簿!$E$4:$Z$113,22,FALSE))</f>
        <v/>
      </c>
      <c r="L45" s="599" t="str">
        <f>IF(I45="","",VLOOKUP(I45,名簿!$E$4:$J$113,5,FALSE))</f>
        <v/>
      </c>
      <c r="M45" s="613" t="str">
        <f>IF(I45="","",VLOOKUP(I45,名簿!$E$4:$J$113,4,FALSE))</f>
        <v/>
      </c>
      <c r="Q45" s="575"/>
      <c r="R45" s="1175" t="str">
        <f t="shared" si="0"/>
        <v>()</v>
      </c>
      <c r="S45" s="1175" t="str">
        <f t="shared" si="1"/>
        <v>()</v>
      </c>
      <c r="T45" s="1124"/>
      <c r="U45" s="1124"/>
      <c r="V45" s="1124"/>
      <c r="W45" s="1124"/>
    </row>
    <row r="46" spans="1:23" ht="14.25" thickBot="1">
      <c r="A46" s="600">
        <v>8</v>
      </c>
      <c r="B46" s="609"/>
      <c r="C46" s="715" t="str">
        <f>IF(B46="","",VLOOKUP(B46,名簿!$E$4:$CN$113,87,FALSE))</f>
        <v/>
      </c>
      <c r="D46" s="1097" t="str">
        <f>IF(B46="","",VLOOKUP(B46,名簿!$E$4:$Z$113,22,FALSE))</f>
        <v/>
      </c>
      <c r="E46" s="1098" t="str">
        <f>IF(B46="","",VLOOKUP(B46,名簿!$E$4:$J$113,5,FALSE))</f>
        <v/>
      </c>
      <c r="F46" s="614" t="str">
        <f>IF(B46="","",VLOOKUP(B46,名簿!$E$4:$J$113,4,FALSE))</f>
        <v/>
      </c>
      <c r="G46" s="575"/>
      <c r="H46" s="600">
        <v>8</v>
      </c>
      <c r="I46" s="609"/>
      <c r="J46" s="715" t="str">
        <f>IF(I46="","",VLOOKUP(I46,名簿!$E$4:$CN$113,87,FALSE))</f>
        <v/>
      </c>
      <c r="K46" s="1097" t="str">
        <f>IF(I46="","",VLOOKUP(I46,名簿!$E$4:$Z$113,22,FALSE))</f>
        <v/>
      </c>
      <c r="L46" s="1098" t="str">
        <f>IF(I46="","",VLOOKUP(I46,名簿!$E$4:$J$113,5,FALSE))</f>
        <v/>
      </c>
      <c r="M46" s="614" t="str">
        <f>IF(I46="","",VLOOKUP(I46,名簿!$E$4:$J$113,4,FALSE))</f>
        <v/>
      </c>
      <c r="Q46" s="575"/>
      <c r="R46" s="1176" t="str">
        <f t="shared" si="0"/>
        <v>()</v>
      </c>
      <c r="S46" s="1176" t="str">
        <f t="shared" si="1"/>
        <v>()</v>
      </c>
      <c r="T46" s="1124"/>
      <c r="U46" s="1124"/>
      <c r="V46" s="1124"/>
      <c r="W46" s="1124"/>
    </row>
    <row r="47" spans="1:23">
      <c r="A47" s="603"/>
      <c r="B47" s="575"/>
      <c r="C47" s="575"/>
      <c r="D47" s="575"/>
      <c r="E47" s="579"/>
      <c r="F47" s="579"/>
      <c r="G47" s="575"/>
      <c r="H47" s="603"/>
      <c r="I47" s="575"/>
      <c r="J47" s="575"/>
      <c r="K47" s="575"/>
      <c r="L47" s="579"/>
      <c r="M47" s="579"/>
      <c r="Q47" s="575"/>
      <c r="R47" s="1177"/>
      <c r="S47" s="1177"/>
      <c r="T47" s="1124"/>
      <c r="U47" s="1124"/>
      <c r="V47" s="1124"/>
      <c r="W47" s="1124"/>
    </row>
    <row r="48" spans="1:23">
      <c r="A48" s="595" t="s">
        <v>723</v>
      </c>
      <c r="B48" s="753">
        <f>$B$7</f>
        <v>0</v>
      </c>
      <c r="C48" s="752"/>
      <c r="D48" s="575" t="s">
        <v>732</v>
      </c>
      <c r="E48" s="579"/>
      <c r="F48" s="579"/>
      <c r="G48" s="575"/>
      <c r="H48" s="595" t="s">
        <v>723</v>
      </c>
      <c r="I48" s="753">
        <f>$B$7</f>
        <v>0</v>
      </c>
      <c r="J48" s="752"/>
      <c r="K48" s="575" t="s">
        <v>732</v>
      </c>
      <c r="L48" s="575"/>
      <c r="M48" s="575"/>
      <c r="Q48" s="575"/>
      <c r="R48" s="1177"/>
      <c r="S48" s="1177"/>
      <c r="T48" s="1124"/>
      <c r="U48" s="1124"/>
      <c r="V48" s="1124"/>
      <c r="W48" s="1124"/>
    </row>
    <row r="49" spans="1:23" ht="14.25" thickBot="1">
      <c r="A49" s="603" t="s">
        <v>726</v>
      </c>
      <c r="B49" s="575"/>
      <c r="C49" s="575"/>
      <c r="D49" s="575"/>
      <c r="E49" s="579"/>
      <c r="F49" s="579"/>
      <c r="G49" s="575"/>
      <c r="H49" s="603" t="s">
        <v>727</v>
      </c>
      <c r="I49" s="575"/>
      <c r="J49" s="575"/>
      <c r="K49" s="575"/>
      <c r="L49" s="579"/>
      <c r="M49" s="579"/>
      <c r="Q49" s="575"/>
      <c r="R49" s="1177"/>
      <c r="S49" s="1177"/>
      <c r="T49" s="1124"/>
      <c r="U49" s="1124"/>
      <c r="V49" s="1124"/>
      <c r="W49" s="1124"/>
    </row>
    <row r="50" spans="1:23">
      <c r="A50" s="596"/>
      <c r="B50" s="597" t="s">
        <v>661</v>
      </c>
      <c r="C50" s="597" t="s">
        <v>465</v>
      </c>
      <c r="D50" s="597" t="s">
        <v>660</v>
      </c>
      <c r="E50" s="582" t="s">
        <v>203</v>
      </c>
      <c r="F50" s="612" t="s">
        <v>682</v>
      </c>
      <c r="G50" s="575"/>
      <c r="H50" s="596"/>
      <c r="I50" s="597" t="s">
        <v>663</v>
      </c>
      <c r="J50" s="597" t="s">
        <v>465</v>
      </c>
      <c r="K50" s="597" t="s">
        <v>660</v>
      </c>
      <c r="L50" s="582" t="s">
        <v>203</v>
      </c>
      <c r="M50" s="612" t="s">
        <v>682</v>
      </c>
      <c r="Q50" s="575"/>
      <c r="R50" s="1177">
        <f>B48</f>
        <v>0</v>
      </c>
      <c r="S50" s="1177">
        <f>I48</f>
        <v>0</v>
      </c>
      <c r="T50" s="1124"/>
      <c r="U50" s="1124"/>
      <c r="V50" s="1124"/>
      <c r="W50" s="1124"/>
    </row>
    <row r="51" spans="1:23">
      <c r="A51" s="598">
        <v>1</v>
      </c>
      <c r="B51" s="608"/>
      <c r="C51" s="583" t="str">
        <f>IF(B51="","",VLOOKUP(B51,名簿!$E$4:$CN$113,87,FALSE))</f>
        <v/>
      </c>
      <c r="D51" s="1096" t="str">
        <f>IF(B51="","",VLOOKUP(B51,名簿!$E$4:$Z$113,22,FALSE))</f>
        <v/>
      </c>
      <c r="E51" s="599" t="str">
        <f>IF(B51="","",VLOOKUP(B51,名簿!$E$4:$J$113,5,FALSE))</f>
        <v/>
      </c>
      <c r="F51" s="613" t="str">
        <f>IF(B51="","",VLOOKUP(B51,名簿!$E$4:$J$113,4,FALSE))</f>
        <v/>
      </c>
      <c r="G51" s="575"/>
      <c r="H51" s="598">
        <v>1</v>
      </c>
      <c r="I51" s="608"/>
      <c r="J51" s="583" t="str">
        <f>IF(I51="","",VLOOKUP(I51,名簿!$E$4:$CN$113,87,FALSE))</f>
        <v/>
      </c>
      <c r="K51" s="1096" t="str">
        <f>IF(I51="","",VLOOKUP(I51,名簿!$E$4:$Z$113,22,FALSE))</f>
        <v/>
      </c>
      <c r="L51" s="599" t="str">
        <f>IF(I51="","",VLOOKUP(I51,名簿!$E$4:$J$113,5,FALSE))</f>
        <v/>
      </c>
      <c r="M51" s="613" t="str">
        <f>IF(I51="","",VLOOKUP(I51,名簿!$E$4:$J$113,4,FALSE))</f>
        <v/>
      </c>
      <c r="N51" s="593" t="str">
        <f>IF(C51="","",1)</f>
        <v/>
      </c>
      <c r="O51" s="593" t="str">
        <f>IF(J51="","",1)</f>
        <v/>
      </c>
      <c r="Q51" s="575"/>
      <c r="R51" s="1174" t="str">
        <f t="shared" si="0"/>
        <v>()</v>
      </c>
      <c r="S51" s="1174" t="str">
        <f t="shared" si="1"/>
        <v>()</v>
      </c>
      <c r="T51" s="1124"/>
      <c r="U51" s="1124"/>
      <c r="V51" s="1124"/>
      <c r="W51" s="1124"/>
    </row>
    <row r="52" spans="1:23">
      <c r="A52" s="598">
        <v>2</v>
      </c>
      <c r="B52" s="608"/>
      <c r="C52" s="583" t="str">
        <f>IF(B52="","",VLOOKUP(B52,名簿!$E$4:$CN$113,87,FALSE))</f>
        <v/>
      </c>
      <c r="D52" s="1096" t="str">
        <f>IF(B52="","",VLOOKUP(B52,名簿!$E$4:$Z$113,22,FALSE))</f>
        <v/>
      </c>
      <c r="E52" s="599" t="str">
        <f>IF(B52="","",VLOOKUP(B52,名簿!$E$4:$J$113,5,FALSE))</f>
        <v/>
      </c>
      <c r="F52" s="613" t="str">
        <f>IF(B52="","",VLOOKUP(B52,名簿!$E$4:$J$113,4,FALSE))</f>
        <v/>
      </c>
      <c r="G52" s="575"/>
      <c r="H52" s="598">
        <v>2</v>
      </c>
      <c r="I52" s="608"/>
      <c r="J52" s="583" t="str">
        <f>IF(I52="","",VLOOKUP(I52,名簿!$E$4:$CN$113,87,FALSE))</f>
        <v/>
      </c>
      <c r="K52" s="1096" t="str">
        <f>IF(I52="","",VLOOKUP(I52,名簿!$E$4:$Z$113,22,FALSE))</f>
        <v/>
      </c>
      <c r="L52" s="599" t="str">
        <f>IF(I52="","",VLOOKUP(I52,名簿!$E$4:$J$113,5,FALSE))</f>
        <v/>
      </c>
      <c r="M52" s="613" t="str">
        <f>IF(I52="","",VLOOKUP(I52,名簿!$E$4:$J$113,4,FALSE))</f>
        <v/>
      </c>
      <c r="Q52" s="575"/>
      <c r="R52" s="1175" t="str">
        <f t="shared" si="0"/>
        <v>()</v>
      </c>
      <c r="S52" s="1175" t="str">
        <f t="shared" si="1"/>
        <v>()</v>
      </c>
      <c r="T52" s="1124"/>
      <c r="U52" s="1124"/>
      <c r="V52" s="1124"/>
      <c r="W52" s="1124"/>
    </row>
    <row r="53" spans="1:23">
      <c r="A53" s="598">
        <v>3</v>
      </c>
      <c r="B53" s="608"/>
      <c r="C53" s="583" t="str">
        <f>IF(B53="","",VLOOKUP(B53,名簿!$E$4:$CN$113,87,FALSE))</f>
        <v/>
      </c>
      <c r="D53" s="1096" t="str">
        <f>IF(B53="","",VLOOKUP(B53,名簿!$E$4:$Z$113,22,FALSE))</f>
        <v/>
      </c>
      <c r="E53" s="599" t="str">
        <f>IF(B53="","",VLOOKUP(B53,名簿!$E$4:$J$113,5,FALSE))</f>
        <v/>
      </c>
      <c r="F53" s="613" t="str">
        <f>IF(B53="","",VLOOKUP(B53,名簿!$E$4:$J$113,4,FALSE))</f>
        <v/>
      </c>
      <c r="G53" s="575"/>
      <c r="H53" s="598">
        <v>3</v>
      </c>
      <c r="I53" s="608"/>
      <c r="J53" s="583" t="str">
        <f>IF(I53="","",VLOOKUP(I53,名簿!$E$4:$CN$113,87,FALSE))</f>
        <v/>
      </c>
      <c r="K53" s="1096" t="str">
        <f>IF(I53="","",VLOOKUP(I53,名簿!$E$4:$Z$113,22,FALSE))</f>
        <v/>
      </c>
      <c r="L53" s="599" t="str">
        <f>IF(I53="","",VLOOKUP(I53,名簿!$E$4:$J$113,5,FALSE))</f>
        <v/>
      </c>
      <c r="M53" s="613" t="str">
        <f>IF(I53="","",VLOOKUP(I53,名簿!$E$4:$J$113,4,FALSE))</f>
        <v/>
      </c>
      <c r="Q53" s="575"/>
      <c r="R53" s="1175" t="str">
        <f t="shared" si="0"/>
        <v>()</v>
      </c>
      <c r="S53" s="1175" t="str">
        <f t="shared" si="1"/>
        <v>()</v>
      </c>
      <c r="T53" s="1124"/>
      <c r="U53" s="1124"/>
      <c r="V53" s="1124"/>
      <c r="W53" s="1124"/>
    </row>
    <row r="54" spans="1:23">
      <c r="A54" s="598">
        <v>4</v>
      </c>
      <c r="B54" s="608"/>
      <c r="C54" s="583" t="str">
        <f>IF(B54="","",VLOOKUP(B54,名簿!$E$4:$CN$113,87,FALSE))</f>
        <v/>
      </c>
      <c r="D54" s="1096" t="str">
        <f>IF(B54="","",VLOOKUP(B54,名簿!$E$4:$Z$113,22,FALSE))</f>
        <v/>
      </c>
      <c r="E54" s="599" t="str">
        <f>IF(B54="","",VLOOKUP(B54,名簿!$E$4:$J$113,5,FALSE))</f>
        <v/>
      </c>
      <c r="F54" s="613" t="str">
        <f>IF(B54="","",VLOOKUP(B54,名簿!$E$4:$J$113,4,FALSE))</f>
        <v/>
      </c>
      <c r="G54" s="575"/>
      <c r="H54" s="598">
        <v>4</v>
      </c>
      <c r="I54" s="608"/>
      <c r="J54" s="583" t="str">
        <f>IF(I54="","",VLOOKUP(I54,名簿!$E$4:$CN$113,87,FALSE))</f>
        <v/>
      </c>
      <c r="K54" s="1096" t="str">
        <f>IF(I54="","",VLOOKUP(I54,名簿!$E$4:$Z$113,22,FALSE))</f>
        <v/>
      </c>
      <c r="L54" s="599" t="str">
        <f>IF(I54="","",VLOOKUP(I54,名簿!$E$4:$J$113,5,FALSE))</f>
        <v/>
      </c>
      <c r="M54" s="613" t="str">
        <f>IF(I54="","",VLOOKUP(I54,名簿!$E$4:$J$113,4,FALSE))</f>
        <v/>
      </c>
      <c r="Q54" s="575"/>
      <c r="R54" s="1175" t="str">
        <f t="shared" si="0"/>
        <v>()</v>
      </c>
      <c r="S54" s="1175" t="str">
        <f t="shared" si="1"/>
        <v>()</v>
      </c>
      <c r="T54" s="1124"/>
      <c r="U54" s="1124"/>
      <c r="V54" s="1124"/>
      <c r="W54" s="1124"/>
    </row>
    <row r="55" spans="1:23">
      <c r="A55" s="598">
        <v>5</v>
      </c>
      <c r="B55" s="608"/>
      <c r="C55" s="583" t="str">
        <f>IF(B55="","",VLOOKUP(B55,名簿!$E$4:$CN$113,87,FALSE))</f>
        <v/>
      </c>
      <c r="D55" s="1096" t="str">
        <f>IF(B55="","",VLOOKUP(B55,名簿!$E$4:$Z$113,22,FALSE))</f>
        <v/>
      </c>
      <c r="E55" s="599" t="str">
        <f>IF(B55="","",VLOOKUP(B55,名簿!$E$4:$J$113,5,FALSE))</f>
        <v/>
      </c>
      <c r="F55" s="613" t="str">
        <f>IF(B55="","",VLOOKUP(B55,名簿!$E$4:$J$113,4,FALSE))</f>
        <v/>
      </c>
      <c r="G55" s="575"/>
      <c r="H55" s="598">
        <v>5</v>
      </c>
      <c r="I55" s="608"/>
      <c r="J55" s="583" t="str">
        <f>IF(I55="","",VLOOKUP(I55,名簿!$E$4:$CN$113,87,FALSE))</f>
        <v/>
      </c>
      <c r="K55" s="1096" t="str">
        <f>IF(I55="","",VLOOKUP(I55,名簿!$E$4:$Z$113,22,FALSE))</f>
        <v/>
      </c>
      <c r="L55" s="599" t="str">
        <f>IF(I55="","",VLOOKUP(I55,名簿!$E$4:$J$113,5,FALSE))</f>
        <v/>
      </c>
      <c r="M55" s="613" t="str">
        <f>IF(I55="","",VLOOKUP(I55,名簿!$E$4:$J$113,4,FALSE))</f>
        <v/>
      </c>
      <c r="Q55" s="575"/>
      <c r="R55" s="1175" t="str">
        <f t="shared" si="0"/>
        <v>()</v>
      </c>
      <c r="S55" s="1175" t="str">
        <f t="shared" si="1"/>
        <v>()</v>
      </c>
      <c r="T55" s="1124"/>
      <c r="U55" s="1124"/>
      <c r="V55" s="1124"/>
      <c r="W55" s="1124"/>
    </row>
    <row r="56" spans="1:23">
      <c r="A56" s="598">
        <v>6</v>
      </c>
      <c r="B56" s="608"/>
      <c r="C56" s="583" t="str">
        <f>IF(B56="","",VLOOKUP(B56,名簿!$E$4:$CN$113,87,FALSE))</f>
        <v/>
      </c>
      <c r="D56" s="1096" t="str">
        <f>IF(B56="","",VLOOKUP(B56,名簿!$E$4:$Z$113,22,FALSE))</f>
        <v/>
      </c>
      <c r="E56" s="599" t="str">
        <f>IF(B56="","",VLOOKUP(B56,名簿!$E$4:$J$113,5,FALSE))</f>
        <v/>
      </c>
      <c r="F56" s="613" t="str">
        <f>IF(B56="","",VLOOKUP(B56,名簿!$E$4:$J$113,4,FALSE))</f>
        <v/>
      </c>
      <c r="G56" s="575"/>
      <c r="H56" s="598">
        <v>6</v>
      </c>
      <c r="I56" s="608"/>
      <c r="J56" s="583" t="str">
        <f>IF(I56="","",VLOOKUP(I56,名簿!$E$4:$CN$113,87,FALSE))</f>
        <v/>
      </c>
      <c r="K56" s="1096" t="str">
        <f>IF(I56="","",VLOOKUP(I56,名簿!$E$4:$Z$113,22,FALSE))</f>
        <v/>
      </c>
      <c r="L56" s="599" t="str">
        <f>IF(I56="","",VLOOKUP(I56,名簿!$E$4:$J$113,5,FALSE))</f>
        <v/>
      </c>
      <c r="M56" s="613" t="str">
        <f>IF(I56="","",VLOOKUP(I56,名簿!$E$4:$J$113,4,FALSE))</f>
        <v/>
      </c>
      <c r="Q56" s="575"/>
      <c r="R56" s="1175" t="str">
        <f t="shared" si="0"/>
        <v>()</v>
      </c>
      <c r="S56" s="1175" t="str">
        <f t="shared" si="1"/>
        <v>()</v>
      </c>
      <c r="T56" s="1124"/>
      <c r="U56" s="1124"/>
      <c r="V56" s="1124"/>
      <c r="W56" s="1124"/>
    </row>
    <row r="57" spans="1:23">
      <c r="A57" s="598">
        <v>7</v>
      </c>
      <c r="B57" s="608"/>
      <c r="C57" s="583" t="str">
        <f>IF(B57="","",VLOOKUP(B57,名簿!$E$4:$CN$113,87,FALSE))</f>
        <v/>
      </c>
      <c r="D57" s="1096" t="str">
        <f>IF(B57="","",VLOOKUP(B57,名簿!$E$4:$Z$113,22,FALSE))</f>
        <v/>
      </c>
      <c r="E57" s="599" t="str">
        <f>IF(B57="","",VLOOKUP(B57,名簿!$E$4:$J$113,5,FALSE))</f>
        <v/>
      </c>
      <c r="F57" s="613" t="str">
        <f>IF(B57="","",VLOOKUP(B57,名簿!$E$4:$J$113,4,FALSE))</f>
        <v/>
      </c>
      <c r="G57" s="575"/>
      <c r="H57" s="598">
        <v>7</v>
      </c>
      <c r="I57" s="608"/>
      <c r="J57" s="583" t="str">
        <f>IF(I57="","",VLOOKUP(I57,名簿!$E$4:$CN$113,87,FALSE))</f>
        <v/>
      </c>
      <c r="K57" s="1096" t="str">
        <f>IF(I57="","",VLOOKUP(I57,名簿!$E$4:$Z$113,22,FALSE))</f>
        <v/>
      </c>
      <c r="L57" s="599" t="str">
        <f>IF(I57="","",VLOOKUP(I57,名簿!$E$4:$J$113,5,FALSE))</f>
        <v/>
      </c>
      <c r="M57" s="613" t="str">
        <f>IF(I57="","",VLOOKUP(I57,名簿!$E$4:$J$113,4,FALSE))</f>
        <v/>
      </c>
      <c r="Q57" s="575"/>
      <c r="R57" s="1175" t="str">
        <f t="shared" si="0"/>
        <v>()</v>
      </c>
      <c r="S57" s="1175" t="str">
        <f t="shared" si="1"/>
        <v>()</v>
      </c>
      <c r="T57" s="1124"/>
      <c r="U57" s="1124"/>
      <c r="V57" s="1124"/>
      <c r="W57" s="1124"/>
    </row>
    <row r="58" spans="1:23" ht="14.25" thickBot="1">
      <c r="A58" s="600">
        <v>8</v>
      </c>
      <c r="B58" s="609"/>
      <c r="C58" s="715" t="str">
        <f>IF(B58="","",VLOOKUP(B58,名簿!$E$4:$CN$113,87,FALSE))</f>
        <v/>
      </c>
      <c r="D58" s="1097" t="str">
        <f>IF(B58="","",VLOOKUP(B58,名簿!$E$4:$Z$113,22,FALSE))</f>
        <v/>
      </c>
      <c r="E58" s="1098" t="str">
        <f>IF(B58="","",VLOOKUP(B58,名簿!$E$4:$J$113,5,FALSE))</f>
        <v/>
      </c>
      <c r="F58" s="614" t="str">
        <f>IF(B58="","",VLOOKUP(B58,名簿!$E$4:$J$113,4,FALSE))</f>
        <v/>
      </c>
      <c r="G58" s="575"/>
      <c r="H58" s="600">
        <v>8</v>
      </c>
      <c r="I58" s="609"/>
      <c r="J58" s="715" t="str">
        <f>IF(I58="","",VLOOKUP(I58,名簿!$E$4:$CN$113,87,FALSE))</f>
        <v/>
      </c>
      <c r="K58" s="1097" t="str">
        <f>IF(I58="","",VLOOKUP(I58,名簿!$E$4:$Z$113,22,FALSE))</f>
        <v/>
      </c>
      <c r="L58" s="1098" t="str">
        <f>IF(I58="","",VLOOKUP(I58,名簿!$E$4:$J$113,5,FALSE))</f>
        <v/>
      </c>
      <c r="M58" s="614" t="str">
        <f>IF(I58="","",VLOOKUP(I58,名簿!$E$4:$J$113,4,FALSE))</f>
        <v/>
      </c>
      <c r="N58" s="593">
        <f>SUM(N15:N57)</f>
        <v>0</v>
      </c>
      <c r="O58" s="593">
        <f>SUM(O15:O57)</f>
        <v>0</v>
      </c>
      <c r="P58" s="593">
        <f>SUM(N58:O58)</f>
        <v>0</v>
      </c>
      <c r="Q58" s="575"/>
      <c r="R58" s="1176" t="str">
        <f t="shared" si="0"/>
        <v>()</v>
      </c>
      <c r="S58" s="1176" t="str">
        <f t="shared" si="1"/>
        <v>()</v>
      </c>
      <c r="T58" s="1124"/>
      <c r="U58" s="1124"/>
      <c r="V58" s="1124"/>
      <c r="W58" s="1124"/>
    </row>
    <row r="59" spans="1:23">
      <c r="A59" s="601"/>
      <c r="B59" s="601"/>
      <c r="C59" s="584"/>
      <c r="D59" s="584"/>
      <c r="E59" s="585"/>
      <c r="F59" s="585"/>
      <c r="G59" s="575"/>
      <c r="H59" s="575"/>
      <c r="I59" s="575"/>
      <c r="J59" s="575"/>
      <c r="K59" s="575"/>
      <c r="L59" s="575"/>
      <c r="M59" s="575"/>
      <c r="Q59" s="575"/>
      <c r="R59" s="1124"/>
      <c r="S59" s="1124"/>
      <c r="T59" s="1124"/>
      <c r="U59" s="1124"/>
      <c r="V59" s="1124"/>
      <c r="W59" s="1124"/>
    </row>
    <row r="60" spans="1:23">
      <c r="A60" s="575" t="s">
        <v>469</v>
      </c>
      <c r="B60" s="575"/>
      <c r="C60" s="575"/>
      <c r="D60" s="575"/>
      <c r="E60" s="579"/>
      <c r="F60" s="579"/>
      <c r="G60" s="575"/>
      <c r="H60" s="575"/>
      <c r="I60" s="575"/>
      <c r="J60" s="575"/>
      <c r="K60" s="575"/>
      <c r="L60" s="575"/>
      <c r="M60" s="575"/>
      <c r="Q60" s="575"/>
      <c r="R60" s="1124"/>
      <c r="S60" s="1124"/>
      <c r="T60" s="1124"/>
      <c r="U60" s="1124"/>
      <c r="V60" s="1124"/>
      <c r="W60" s="1124"/>
    </row>
    <row r="61" spans="1:23">
      <c r="A61" s="577" t="s">
        <v>470</v>
      </c>
      <c r="B61" s="575"/>
      <c r="C61" s="575"/>
      <c r="D61" s="575"/>
      <c r="E61" s="579"/>
      <c r="F61" s="579"/>
      <c r="G61" s="575"/>
      <c r="H61" s="575"/>
      <c r="I61" s="575"/>
      <c r="J61" s="575"/>
      <c r="K61" s="575"/>
      <c r="L61" s="575"/>
      <c r="M61" s="575"/>
      <c r="Q61" s="575"/>
      <c r="R61" s="1124"/>
      <c r="S61" s="1124"/>
      <c r="T61" s="1124"/>
      <c r="U61" s="1124"/>
      <c r="V61" s="1124"/>
      <c r="W61" s="1124"/>
    </row>
    <row r="62" spans="1:23">
      <c r="A62" s="575"/>
      <c r="B62" s="575"/>
      <c r="C62" s="575"/>
      <c r="D62" s="575"/>
      <c r="E62" s="579"/>
      <c r="F62" s="579"/>
      <c r="G62" s="575"/>
      <c r="H62" s="575"/>
      <c r="I62" s="575"/>
      <c r="J62" s="575"/>
      <c r="K62" s="575"/>
      <c r="L62" s="575"/>
      <c r="M62" s="575"/>
      <c r="Q62" s="575"/>
      <c r="R62" s="1124"/>
      <c r="S62" s="1124"/>
      <c r="T62" s="1124"/>
      <c r="U62" s="1124"/>
      <c r="V62" s="1124"/>
      <c r="W62" s="1124"/>
    </row>
    <row r="63" spans="1:23">
      <c r="A63" s="575"/>
      <c r="B63" s="575"/>
      <c r="C63" s="575"/>
      <c r="D63" s="575"/>
      <c r="E63" s="579"/>
      <c r="F63" s="579"/>
      <c r="G63" s="575"/>
      <c r="H63" s="575"/>
      <c r="I63" s="575"/>
      <c r="J63" s="575"/>
      <c r="K63" s="575"/>
      <c r="L63" s="575"/>
      <c r="M63" s="575"/>
      <c r="Q63" s="575"/>
      <c r="R63" s="1124"/>
      <c r="S63" s="1124"/>
      <c r="T63" s="1124"/>
      <c r="U63" s="1124"/>
      <c r="V63" s="1124"/>
      <c r="W63" s="1124"/>
    </row>
    <row r="64" spans="1:23">
      <c r="A64" s="575"/>
      <c r="B64" s="575"/>
      <c r="C64" s="575"/>
      <c r="D64" s="575"/>
      <c r="E64" s="579"/>
      <c r="F64" s="579"/>
      <c r="G64" s="575"/>
      <c r="H64" s="575"/>
      <c r="I64" s="575"/>
      <c r="J64" s="575"/>
      <c r="K64" s="575"/>
      <c r="L64" s="575"/>
      <c r="M64" s="575"/>
      <c r="Q64" s="575"/>
      <c r="R64" s="1124"/>
      <c r="S64" s="1124"/>
      <c r="T64" s="1124"/>
      <c r="U64" s="1124"/>
      <c r="V64" s="1124"/>
      <c r="W64" s="1124"/>
    </row>
    <row r="65" spans="1:23" ht="18.75">
      <c r="A65" s="586" t="s">
        <v>471</v>
      </c>
      <c r="B65" s="575"/>
      <c r="C65" s="575"/>
      <c r="D65" s="575"/>
      <c r="E65" s="579"/>
      <c r="F65" s="579"/>
      <c r="G65" s="575"/>
      <c r="H65" s="575"/>
      <c r="I65" s="575"/>
      <c r="J65" s="575"/>
      <c r="K65" s="575"/>
      <c r="L65" s="575"/>
      <c r="M65" s="575"/>
      <c r="Q65" s="575"/>
      <c r="R65" s="1124"/>
      <c r="S65" s="1124"/>
      <c r="T65" s="1124"/>
      <c r="U65" s="1124"/>
      <c r="V65" s="1124"/>
      <c r="W65" s="1124"/>
    </row>
    <row r="66" spans="1:23">
      <c r="A66" s="575"/>
      <c r="B66" s="575"/>
      <c r="C66" s="575"/>
      <c r="D66" s="575"/>
      <c r="E66" s="579"/>
      <c r="F66" s="579"/>
      <c r="G66" s="575"/>
      <c r="H66" s="575"/>
      <c r="I66" s="575"/>
      <c r="J66" s="575"/>
      <c r="K66" s="575"/>
      <c r="L66" s="575"/>
      <c r="M66" s="575"/>
      <c r="Q66" s="575"/>
      <c r="R66" s="1124"/>
      <c r="S66" s="1124"/>
      <c r="T66" s="1124"/>
      <c r="U66" s="1124"/>
      <c r="V66" s="1124"/>
      <c r="W66" s="1124"/>
    </row>
    <row r="67" spans="1:23" ht="18.75">
      <c r="A67" s="575"/>
      <c r="B67" s="1497">
        <f ca="1">TODAY()</f>
        <v>43227</v>
      </c>
      <c r="C67" s="1497"/>
      <c r="D67" s="604"/>
      <c r="E67" s="579"/>
      <c r="F67" s="579"/>
      <c r="G67" s="575"/>
      <c r="H67" s="575"/>
      <c r="I67" s="575"/>
      <c r="J67" s="575"/>
      <c r="K67" s="575"/>
      <c r="L67" s="575"/>
      <c r="M67" s="575"/>
      <c r="Q67" s="575"/>
      <c r="R67" s="1124"/>
      <c r="S67" s="1124"/>
      <c r="T67" s="1124"/>
      <c r="U67" s="1124"/>
      <c r="V67" s="1124"/>
      <c r="W67" s="1124"/>
    </row>
    <row r="68" spans="1:23">
      <c r="A68" s="575"/>
      <c r="B68" s="575"/>
      <c r="C68" s="575"/>
      <c r="D68" s="575"/>
      <c r="E68" s="579"/>
      <c r="F68" s="579"/>
      <c r="G68" s="575"/>
      <c r="H68" s="575"/>
      <c r="I68" s="575"/>
      <c r="J68" s="575"/>
      <c r="K68" s="575"/>
      <c r="L68" s="575"/>
      <c r="M68" s="575"/>
      <c r="Q68" s="575"/>
      <c r="R68" s="1124"/>
      <c r="S68" s="1124"/>
      <c r="T68" s="1124"/>
      <c r="U68" s="1124"/>
      <c r="V68" s="1124"/>
      <c r="W68" s="1124"/>
    </row>
    <row r="69" spans="1:23" ht="18.75">
      <c r="A69" s="587"/>
      <c r="B69" s="587"/>
      <c r="C69" s="588">
        <f>名簿!O4</f>
        <v>0</v>
      </c>
      <c r="D69" s="589" t="s">
        <v>472</v>
      </c>
      <c r="E69" s="579"/>
      <c r="F69" s="579"/>
      <c r="G69" s="575"/>
      <c r="H69" s="575"/>
      <c r="I69" s="575"/>
      <c r="J69" s="575"/>
      <c r="K69" s="575"/>
      <c r="L69" s="575"/>
      <c r="M69" s="575"/>
      <c r="Q69" s="575"/>
      <c r="R69" s="1124"/>
      <c r="S69" s="1124"/>
      <c r="T69" s="1124"/>
      <c r="U69" s="1124"/>
      <c r="V69" s="1124"/>
      <c r="W69" s="1124"/>
    </row>
    <row r="70" spans="1:23">
      <c r="A70" s="575"/>
      <c r="B70" s="575"/>
      <c r="C70" s="575"/>
      <c r="D70" s="575"/>
      <c r="E70" s="579"/>
      <c r="F70" s="579"/>
      <c r="G70" s="575"/>
      <c r="H70" s="575"/>
      <c r="I70" s="575"/>
      <c r="J70" s="575"/>
      <c r="K70" s="575"/>
      <c r="L70" s="575"/>
      <c r="M70" s="575"/>
      <c r="Q70" s="575"/>
      <c r="R70" s="1124"/>
      <c r="S70" s="1124"/>
      <c r="T70" s="1124"/>
      <c r="U70" s="1124"/>
      <c r="V70" s="1124"/>
      <c r="W70" s="1124"/>
    </row>
    <row r="71" spans="1:23" ht="42" customHeight="1">
      <c r="A71" s="575"/>
      <c r="B71" s="590"/>
      <c r="C71" s="590" t="s">
        <v>330</v>
      </c>
      <c r="D71" s="1493"/>
      <c r="E71" s="1493"/>
      <c r="F71" s="1493"/>
      <c r="G71" s="1493"/>
      <c r="H71" s="587" t="s">
        <v>392</v>
      </c>
      <c r="I71" s="575"/>
      <c r="J71" s="575"/>
      <c r="K71" s="575"/>
      <c r="L71" s="575"/>
      <c r="M71" s="575"/>
      <c r="Q71" s="575"/>
      <c r="R71" s="1124"/>
      <c r="S71" s="1124"/>
      <c r="T71" s="1124"/>
      <c r="U71" s="1124"/>
      <c r="V71" s="1124"/>
      <c r="W71" s="1124"/>
    </row>
    <row r="72" spans="1:23">
      <c r="A72" s="575"/>
      <c r="B72" s="575"/>
      <c r="C72" s="575"/>
      <c r="D72" s="575"/>
      <c r="E72" s="579"/>
      <c r="F72" s="579"/>
      <c r="G72" s="575"/>
      <c r="H72" s="575"/>
      <c r="I72" s="575"/>
      <c r="J72" s="575"/>
      <c r="K72" s="575"/>
      <c r="L72" s="575"/>
      <c r="M72" s="575"/>
      <c r="Q72" s="575"/>
      <c r="R72" s="1124"/>
      <c r="S72" s="1124"/>
      <c r="T72" s="1124"/>
      <c r="U72" s="1124"/>
      <c r="V72" s="1124"/>
      <c r="W72" s="1124"/>
    </row>
    <row r="73" spans="1:23">
      <c r="A73" s="575"/>
      <c r="B73" s="575"/>
      <c r="C73" s="575"/>
      <c r="D73" s="575"/>
      <c r="E73" s="579"/>
      <c r="F73" s="579"/>
      <c r="G73" s="575"/>
      <c r="H73" s="575"/>
      <c r="I73" s="575"/>
      <c r="J73" s="575"/>
      <c r="K73" s="575"/>
      <c r="L73" s="575"/>
      <c r="M73" s="575"/>
      <c r="Q73" s="575"/>
      <c r="R73" s="1124"/>
      <c r="S73" s="1124"/>
      <c r="T73" s="1124"/>
      <c r="U73" s="1124"/>
      <c r="V73" s="1124"/>
      <c r="W73" s="1124"/>
    </row>
    <row r="74" spans="1:23">
      <c r="A74" s="575" t="s">
        <v>475</v>
      </c>
      <c r="B74" s="575"/>
      <c r="C74" s="575"/>
      <c r="D74" s="575"/>
      <c r="E74" s="579"/>
      <c r="F74" s="579"/>
      <c r="G74" s="575"/>
      <c r="H74" s="575"/>
      <c r="I74" s="575"/>
      <c r="J74" s="575"/>
      <c r="K74" s="575"/>
      <c r="L74" s="575"/>
      <c r="M74" s="575"/>
      <c r="Q74" s="575"/>
      <c r="R74" s="1124"/>
      <c r="S74" s="1124"/>
      <c r="T74" s="1124"/>
      <c r="U74" s="1124"/>
      <c r="V74" s="1124"/>
      <c r="W74" s="1124"/>
    </row>
    <row r="75" spans="1:23">
      <c r="A75" s="575"/>
      <c r="B75" s="575"/>
      <c r="C75" s="575"/>
      <c r="D75" s="575"/>
      <c r="E75" s="579"/>
      <c r="F75" s="579"/>
      <c r="G75" s="575" t="s">
        <v>662</v>
      </c>
      <c r="H75" s="605"/>
      <c r="I75" s="605"/>
      <c r="J75" s="575"/>
      <c r="K75" s="575"/>
      <c r="L75" s="575"/>
      <c r="M75" s="575"/>
      <c r="Q75" s="575"/>
      <c r="R75" s="1124"/>
      <c r="S75" s="1124"/>
      <c r="T75" s="1124"/>
      <c r="U75" s="1124"/>
      <c r="V75" s="1124"/>
      <c r="W75" s="1124"/>
    </row>
    <row r="76" spans="1:23">
      <c r="A76" s="575"/>
      <c r="B76" s="575"/>
      <c r="C76" s="575"/>
      <c r="D76" s="575"/>
      <c r="E76" s="579"/>
      <c r="F76" s="579"/>
      <c r="G76" s="575"/>
      <c r="H76" s="575"/>
      <c r="I76" s="575"/>
      <c r="J76" s="575"/>
      <c r="K76" s="575"/>
      <c r="L76" s="575"/>
      <c r="M76" s="575"/>
      <c r="Q76" s="575"/>
      <c r="R76" s="1124"/>
      <c r="S76" s="1124"/>
      <c r="T76" s="1124"/>
      <c r="U76" s="1124"/>
      <c r="V76" s="1124"/>
      <c r="W76" s="1124"/>
    </row>
    <row r="77" spans="1:23">
      <c r="A77" s="575"/>
      <c r="B77" s="575"/>
      <c r="C77" s="575"/>
      <c r="D77" s="575"/>
      <c r="E77" s="579"/>
      <c r="F77" s="579"/>
      <c r="G77" s="575"/>
      <c r="H77" s="575"/>
      <c r="I77" s="575"/>
      <c r="J77" s="575"/>
      <c r="K77" s="575"/>
      <c r="L77" s="575"/>
      <c r="M77" s="575"/>
      <c r="Q77" s="575"/>
      <c r="R77" s="1124"/>
      <c r="S77" s="1124"/>
      <c r="T77" s="1124"/>
      <c r="U77" s="1124"/>
      <c r="V77" s="1124"/>
      <c r="W77" s="1124"/>
    </row>
  </sheetData>
  <sheetProtection password="83D4" sheet="1" objects="1" scenarios="1"/>
  <mergeCells count="5">
    <mergeCell ref="D71:G71"/>
    <mergeCell ref="B5:C5"/>
    <mergeCell ref="B7:C7"/>
    <mergeCell ref="B9:C9"/>
    <mergeCell ref="B67:C67"/>
  </mergeCells>
  <phoneticPr fontId="5"/>
  <dataValidations count="5">
    <dataValidation errorStyle="information" allowBlank="1" showInputMessage="1" showErrorMessage="1" sqref="A69:C69"/>
    <dataValidation allowBlank="1" showInputMessage="1" showErrorMessage="1" prompt="ここはフリガナを入力して下さい" sqref="D59:F59"/>
    <dataValidation imeMode="disabled" allowBlank="1" showInputMessage="1" showErrorMessage="1" sqref="E51:F58 L39:M46 L15:M22 B15:B22 B39:B46 L27:M35 L51:M58 E15:F22 B27:B35 I27:I35 I15:I22 B51:B58 I39:I46 E27:F35 E39:F46 I51:I58"/>
    <dataValidation imeMode="hiragana" allowBlank="1" showInputMessage="1" showErrorMessage="1" sqref="J39:J46 C27:C35 C39:C46 C51:C58 J15:J22 C15:C22 J27:J35 J51:J58"/>
    <dataValidation imeMode="halfKatakana" allowBlank="1" showInputMessage="1" showErrorMessage="1" sqref="D51:D58 K27:K35 D15:D22 K39:K46 K15:K22 D27:D35 D39:D46 K51:K58"/>
  </dataValidations>
  <pageMargins left="0.78700000000000003" right="0.78700000000000003" top="0.98399999999999999" bottom="0.98399999999999999" header="0.51200000000000001" footer="0.51200000000000001"/>
  <pageSetup paperSize="9" scale="67" orientation="portrait" verticalDpi="1200" r:id="rId1"/>
  <headerFooter alignWithMargins="0"/>
  <legacyDrawing r:id="rId2"/>
</worksheet>
</file>

<file path=xl/worksheets/sheet14.xml><?xml version="1.0" encoding="utf-8"?>
<worksheet xmlns="http://schemas.openxmlformats.org/spreadsheetml/2006/main" xmlns:r="http://schemas.openxmlformats.org/officeDocument/2006/relationships">
  <sheetPr codeName="Sheet23">
    <pageSetUpPr fitToPage="1"/>
  </sheetPr>
  <dimension ref="A1:S65"/>
  <sheetViews>
    <sheetView showGridLines="0" showZeros="0" zoomScaleNormal="100" workbookViewId="0">
      <selection activeCell="B9" sqref="B9:C9"/>
    </sheetView>
  </sheetViews>
  <sheetFormatPr defaultRowHeight="13.5"/>
  <cols>
    <col min="2" max="2" width="6.5" customWidth="1"/>
    <col min="3" max="3" width="11.75" customWidth="1"/>
    <col min="4" max="4" width="10.875" customWidth="1"/>
    <col min="5" max="5" width="5.875" style="6" customWidth="1"/>
    <col min="6" max="6" width="9.875" customWidth="1"/>
    <col min="7" max="7" width="3.375" customWidth="1"/>
    <col min="9" max="9" width="6.625" customWidth="1"/>
    <col min="10" max="10" width="11.75" customWidth="1"/>
    <col min="11" max="11" width="10.875" customWidth="1"/>
    <col min="12" max="12" width="5.875" customWidth="1"/>
    <col min="13" max="13" width="9.875" customWidth="1"/>
  </cols>
  <sheetData>
    <row r="1" spans="1:19" ht="24">
      <c r="A1" s="382" t="s">
        <v>840</v>
      </c>
      <c r="B1" s="87"/>
      <c r="C1" s="87"/>
      <c r="D1" s="87"/>
      <c r="E1" s="88"/>
      <c r="F1" s="553" t="s">
        <v>642</v>
      </c>
      <c r="G1" s="87"/>
      <c r="H1" s="87"/>
      <c r="I1" s="87"/>
      <c r="J1" s="87"/>
      <c r="K1" s="87"/>
      <c r="L1" s="87"/>
      <c r="M1" s="87"/>
      <c r="N1" s="1140"/>
      <c r="O1" s="1140"/>
      <c r="P1" s="1140"/>
      <c r="Q1" s="1140"/>
      <c r="R1" s="1140"/>
      <c r="S1" s="1140"/>
    </row>
    <row r="2" spans="1:19">
      <c r="A2" s="383"/>
      <c r="B2" s="87"/>
      <c r="C2" s="87"/>
      <c r="D2" s="87"/>
      <c r="E2" s="88"/>
      <c r="F2" s="87"/>
      <c r="G2" s="87"/>
      <c r="H2" s="87"/>
      <c r="I2" s="87"/>
      <c r="J2" s="87"/>
      <c r="K2" s="87"/>
      <c r="L2" s="87"/>
      <c r="M2" s="87"/>
      <c r="N2" s="1140"/>
      <c r="O2" s="1140"/>
      <c r="P2" s="1140"/>
      <c r="Q2" s="1140"/>
      <c r="R2" s="1140"/>
      <c r="S2" s="1140"/>
    </row>
    <row r="3" spans="1:19">
      <c r="A3" s="87"/>
      <c r="B3" s="87"/>
      <c r="C3" s="87"/>
      <c r="D3" s="87"/>
      <c r="E3" s="88"/>
      <c r="F3" s="87"/>
      <c r="G3" s="87"/>
      <c r="H3" s="87"/>
      <c r="I3" s="87"/>
      <c r="J3" s="87"/>
      <c r="K3" s="87"/>
      <c r="L3" s="87"/>
      <c r="M3" s="87"/>
      <c r="N3" s="1140"/>
      <c r="O3" s="1140"/>
      <c r="P3" s="1140"/>
      <c r="Q3" s="1140"/>
      <c r="R3" s="1140"/>
      <c r="S3" s="1140"/>
    </row>
    <row r="4" spans="1:19">
      <c r="A4" s="87"/>
      <c r="B4" s="87"/>
      <c r="C4" s="87"/>
      <c r="D4" s="87"/>
      <c r="E4" s="88"/>
      <c r="F4" s="87"/>
      <c r="G4" s="87"/>
      <c r="H4" s="87"/>
      <c r="I4" s="87"/>
      <c r="J4" s="87"/>
      <c r="K4" s="87"/>
      <c r="L4" s="87"/>
      <c r="M4" s="87"/>
      <c r="N4" s="1140"/>
      <c r="O4" s="1140"/>
      <c r="P4" s="1140"/>
      <c r="Q4" s="1140"/>
      <c r="R4" s="1140"/>
      <c r="S4" s="1140"/>
    </row>
    <row r="5" spans="1:19" ht="16.5" customHeight="1">
      <c r="A5" s="384" t="s">
        <v>610</v>
      </c>
      <c r="B5" s="1498">
        <f>名簿!O4</f>
        <v>0</v>
      </c>
      <c r="C5" s="1498"/>
      <c r="D5" s="87"/>
      <c r="E5" s="88"/>
      <c r="F5" s="87"/>
      <c r="G5" s="87"/>
      <c r="H5" s="87"/>
      <c r="I5" s="87"/>
      <c r="J5" s="87"/>
      <c r="K5" s="87"/>
      <c r="L5" s="87"/>
      <c r="M5" s="87"/>
      <c r="N5" s="1140"/>
      <c r="O5" s="1140"/>
      <c r="P5" s="1140"/>
      <c r="Q5" s="1140"/>
      <c r="R5" s="1140"/>
      <c r="S5" s="1140"/>
    </row>
    <row r="6" spans="1:19" ht="18.75">
      <c r="A6" s="384"/>
      <c r="B6" s="385"/>
      <c r="C6" s="87"/>
      <c r="D6" s="87"/>
      <c r="E6" s="88"/>
      <c r="F6" s="87"/>
      <c r="G6" s="87"/>
      <c r="H6" s="87"/>
      <c r="I6" s="87"/>
      <c r="J6" s="87"/>
      <c r="K6" s="87"/>
      <c r="L6" s="87"/>
      <c r="M6" s="87"/>
      <c r="N6" s="1140"/>
      <c r="O6" s="1140"/>
      <c r="P6" s="1140"/>
      <c r="Q6" s="1140"/>
      <c r="R6" s="1140"/>
      <c r="S6" s="1140"/>
    </row>
    <row r="7" spans="1:19" ht="18.75">
      <c r="A7" s="384" t="s">
        <v>274</v>
      </c>
      <c r="B7" s="1499">
        <f>名簿!D1</f>
        <v>0</v>
      </c>
      <c r="C7" s="1499"/>
      <c r="D7" s="87"/>
      <c r="E7" s="88"/>
      <c r="F7" s="87"/>
      <c r="G7" s="87"/>
      <c r="H7" s="87"/>
      <c r="I7" s="87"/>
      <c r="J7" s="87"/>
      <c r="K7" s="87"/>
      <c r="L7" s="87"/>
      <c r="M7" s="87"/>
      <c r="N7" s="1140"/>
      <c r="O7" s="1140"/>
      <c r="P7" s="1140"/>
      <c r="Q7" s="1140"/>
      <c r="R7" s="1140"/>
      <c r="S7" s="1140"/>
    </row>
    <row r="8" spans="1:19">
      <c r="A8" s="87"/>
      <c r="B8" s="87"/>
      <c r="C8" s="87"/>
      <c r="D8" s="87"/>
      <c r="E8" s="88"/>
      <c r="F8" s="87"/>
      <c r="G8" s="87"/>
      <c r="H8" s="87"/>
      <c r="I8" s="87"/>
      <c r="J8" s="87"/>
      <c r="K8" s="87"/>
      <c r="L8" s="87"/>
      <c r="M8" s="87"/>
      <c r="N8" s="1140"/>
      <c r="O8" s="1140"/>
      <c r="P8" s="1140"/>
      <c r="Q8" s="1140"/>
      <c r="R8" s="1140"/>
      <c r="S8" s="1140"/>
    </row>
    <row r="9" spans="1:19" ht="18.75">
      <c r="A9" s="384" t="s">
        <v>463</v>
      </c>
      <c r="B9" s="1500">
        <f>名簿!I1</f>
        <v>0</v>
      </c>
      <c r="C9" s="1499"/>
      <c r="D9" s="87"/>
      <c r="E9" s="88"/>
      <c r="F9" s="87"/>
      <c r="G9" s="87"/>
      <c r="H9" s="87"/>
      <c r="I9" s="87"/>
      <c r="J9" s="87"/>
      <c r="K9" s="87"/>
      <c r="L9" s="87"/>
      <c r="M9" s="87"/>
      <c r="N9" s="1140"/>
      <c r="O9" s="1140"/>
      <c r="P9" s="1140"/>
      <c r="Q9" s="1140"/>
      <c r="R9" s="1140"/>
      <c r="S9" s="1140"/>
    </row>
    <row r="10" spans="1:19">
      <c r="A10" s="87"/>
      <c r="B10" s="87"/>
      <c r="C10" s="87"/>
      <c r="D10" s="87"/>
      <c r="E10" s="88"/>
      <c r="F10" s="87"/>
      <c r="G10" s="87"/>
      <c r="H10" s="87"/>
      <c r="I10" s="87"/>
      <c r="J10" s="87"/>
      <c r="K10" s="87"/>
      <c r="L10" s="87"/>
      <c r="M10" s="87"/>
      <c r="N10" s="1140"/>
      <c r="O10" s="1140"/>
      <c r="P10" s="1140"/>
      <c r="Q10" s="1140"/>
      <c r="R10" s="1140"/>
      <c r="S10" s="1140"/>
    </row>
    <row r="11" spans="1:19">
      <c r="A11" s="87"/>
      <c r="B11" s="87"/>
      <c r="C11" s="87"/>
      <c r="D11" s="87"/>
      <c r="E11" s="88"/>
      <c r="F11" s="87"/>
      <c r="G11" s="87"/>
      <c r="H11" s="87"/>
      <c r="I11" s="87"/>
      <c r="J11" s="87"/>
      <c r="K11" s="87"/>
      <c r="L11" s="87"/>
      <c r="M11" s="87"/>
      <c r="N11" s="1140"/>
      <c r="O11" s="1140"/>
      <c r="P11" s="1140"/>
      <c r="Q11" s="1140"/>
      <c r="R11" s="1140"/>
      <c r="S11" s="1140"/>
    </row>
    <row r="12" spans="1:19" ht="14.25" thickBot="1">
      <c r="A12" s="87"/>
      <c r="B12" s="87"/>
      <c r="C12" s="87"/>
      <c r="D12" s="87"/>
      <c r="E12" s="88"/>
      <c r="F12" s="87"/>
      <c r="G12" s="87"/>
      <c r="H12" s="87"/>
      <c r="I12" s="87"/>
      <c r="J12" s="87"/>
      <c r="K12" s="87"/>
      <c r="L12" s="87"/>
      <c r="M12" s="87"/>
      <c r="N12" s="1140"/>
      <c r="O12" s="1140"/>
      <c r="P12" s="1140"/>
      <c r="Q12" s="1140"/>
      <c r="R12" s="1140"/>
      <c r="S12" s="1140"/>
    </row>
    <row r="13" spans="1:19" ht="14.25" thickBot="1">
      <c r="A13" s="386" t="s">
        <v>395</v>
      </c>
      <c r="B13" s="381"/>
      <c r="C13" s="1128" t="s">
        <v>791</v>
      </c>
      <c r="D13" s="1129"/>
      <c r="E13" s="387"/>
      <c r="F13" s="87"/>
      <c r="G13" s="87"/>
      <c r="H13" s="386" t="s">
        <v>396</v>
      </c>
      <c r="I13" s="381"/>
      <c r="J13" s="1128" t="s">
        <v>791</v>
      </c>
      <c r="K13" s="1129"/>
      <c r="L13" s="387"/>
      <c r="M13" s="87"/>
      <c r="N13" s="1140"/>
      <c r="O13" s="1140"/>
      <c r="P13" s="1140"/>
      <c r="Q13" s="1140"/>
      <c r="R13" s="1140"/>
      <c r="S13" s="1140"/>
    </row>
    <row r="14" spans="1:19" ht="27" customHeight="1">
      <c r="A14" s="388"/>
      <c r="B14" s="389" t="s">
        <v>464</v>
      </c>
      <c r="C14" s="389" t="s">
        <v>465</v>
      </c>
      <c r="D14" s="389" t="s">
        <v>466</v>
      </c>
      <c r="E14" s="390" t="s">
        <v>203</v>
      </c>
      <c r="F14" s="395" t="s">
        <v>467</v>
      </c>
      <c r="G14" s="87"/>
      <c r="H14" s="388"/>
      <c r="I14" s="389" t="s">
        <v>464</v>
      </c>
      <c r="J14" s="389" t="s">
        <v>465</v>
      </c>
      <c r="K14" s="389" t="s">
        <v>466</v>
      </c>
      <c r="L14" s="390" t="s">
        <v>203</v>
      </c>
      <c r="M14" s="395" t="s">
        <v>467</v>
      </c>
      <c r="N14" s="1140"/>
      <c r="O14" s="1140"/>
      <c r="P14" s="1140"/>
      <c r="Q14" s="1140"/>
      <c r="R14" s="1140"/>
      <c r="S14" s="1140"/>
    </row>
    <row r="15" spans="1:19">
      <c r="A15" s="391">
        <v>1</v>
      </c>
      <c r="B15" s="396">
        <f>タスキリレー!B15</f>
        <v>0</v>
      </c>
      <c r="C15" s="610" t="str">
        <f>タスキリレー!C15</f>
        <v/>
      </c>
      <c r="D15" s="606" t="str">
        <f>タスキリレー!D15</f>
        <v/>
      </c>
      <c r="E15" s="397" t="str">
        <f>タスキリレー!E15</f>
        <v/>
      </c>
      <c r="F15" s="400"/>
      <c r="G15" s="87"/>
      <c r="H15" s="391">
        <v>1</v>
      </c>
      <c r="I15" s="396">
        <f>タスキリレー!I15</f>
        <v>0</v>
      </c>
      <c r="J15" s="610" t="str">
        <f>タスキリレー!J15</f>
        <v/>
      </c>
      <c r="K15" s="606" t="str">
        <f>タスキリレー!K15</f>
        <v/>
      </c>
      <c r="L15" s="397" t="str">
        <f>タスキリレー!L15</f>
        <v/>
      </c>
      <c r="M15" s="400"/>
      <c r="N15" s="1140"/>
      <c r="O15" s="1140"/>
      <c r="P15" s="1140"/>
      <c r="Q15" s="1140"/>
      <c r="R15" s="1140"/>
      <c r="S15" s="1140"/>
    </row>
    <row r="16" spans="1:19">
      <c r="A16" s="391">
        <v>2</v>
      </c>
      <c r="B16" s="396">
        <f>タスキリレー!B16</f>
        <v>0</v>
      </c>
      <c r="C16" s="610" t="str">
        <f>タスキリレー!C16</f>
        <v/>
      </c>
      <c r="D16" s="606" t="str">
        <f>タスキリレー!D16</f>
        <v/>
      </c>
      <c r="E16" s="397" t="str">
        <f>タスキリレー!E16</f>
        <v/>
      </c>
      <c r="F16" s="400"/>
      <c r="G16" s="87"/>
      <c r="H16" s="391">
        <v>2</v>
      </c>
      <c r="I16" s="396">
        <f>タスキリレー!I16</f>
        <v>0</v>
      </c>
      <c r="J16" s="610" t="str">
        <f>タスキリレー!J16</f>
        <v/>
      </c>
      <c r="K16" s="606" t="str">
        <f>タスキリレー!K16</f>
        <v/>
      </c>
      <c r="L16" s="397" t="str">
        <f>タスキリレー!L16</f>
        <v/>
      </c>
      <c r="M16" s="400"/>
      <c r="N16" s="1140"/>
      <c r="O16" s="1140"/>
      <c r="P16" s="1140"/>
      <c r="Q16" s="1140"/>
      <c r="R16" s="1140"/>
      <c r="S16" s="1140"/>
    </row>
    <row r="17" spans="1:19">
      <c r="A17" s="391">
        <v>3</v>
      </c>
      <c r="B17" s="396">
        <f>タスキリレー!B17</f>
        <v>0</v>
      </c>
      <c r="C17" s="610" t="str">
        <f>タスキリレー!C17</f>
        <v/>
      </c>
      <c r="D17" s="606" t="str">
        <f>タスキリレー!D17</f>
        <v/>
      </c>
      <c r="E17" s="397" t="str">
        <f>タスキリレー!E17</f>
        <v/>
      </c>
      <c r="F17" s="400"/>
      <c r="G17" s="87"/>
      <c r="H17" s="391">
        <v>3</v>
      </c>
      <c r="I17" s="396">
        <f>タスキリレー!I17</f>
        <v>0</v>
      </c>
      <c r="J17" s="610" t="str">
        <f>タスキリレー!J17</f>
        <v/>
      </c>
      <c r="K17" s="606" t="str">
        <f>タスキリレー!K17</f>
        <v/>
      </c>
      <c r="L17" s="397" t="str">
        <f>タスキリレー!L17</f>
        <v/>
      </c>
      <c r="M17" s="400"/>
      <c r="N17" s="1140"/>
      <c r="O17" s="1140"/>
      <c r="P17" s="1140"/>
      <c r="Q17" s="1140"/>
      <c r="R17" s="1140"/>
      <c r="S17" s="1140"/>
    </row>
    <row r="18" spans="1:19">
      <c r="A18" s="391">
        <v>4</v>
      </c>
      <c r="B18" s="396">
        <f>タスキリレー!B18</f>
        <v>0</v>
      </c>
      <c r="C18" s="610" t="str">
        <f>タスキリレー!C18</f>
        <v/>
      </c>
      <c r="D18" s="606" t="str">
        <f>タスキリレー!D18</f>
        <v/>
      </c>
      <c r="E18" s="397" t="str">
        <f>タスキリレー!E18</f>
        <v/>
      </c>
      <c r="F18" s="400"/>
      <c r="G18" s="87"/>
      <c r="H18" s="391">
        <v>4</v>
      </c>
      <c r="I18" s="396">
        <f>タスキリレー!I18</f>
        <v>0</v>
      </c>
      <c r="J18" s="610" t="str">
        <f>タスキリレー!J18</f>
        <v/>
      </c>
      <c r="K18" s="606" t="str">
        <f>タスキリレー!K18</f>
        <v/>
      </c>
      <c r="L18" s="397" t="str">
        <f>タスキリレー!L18</f>
        <v/>
      </c>
      <c r="M18" s="400"/>
      <c r="N18" s="1140"/>
      <c r="O18" s="1140"/>
      <c r="P18" s="1140"/>
      <c r="Q18" s="1140"/>
      <c r="R18" s="1140"/>
      <c r="S18" s="1140"/>
    </row>
    <row r="19" spans="1:19">
      <c r="A19" s="391">
        <v>5</v>
      </c>
      <c r="B19" s="396">
        <f>タスキリレー!B19</f>
        <v>0</v>
      </c>
      <c r="C19" s="610" t="str">
        <f>タスキリレー!C19</f>
        <v/>
      </c>
      <c r="D19" s="606" t="str">
        <f>タスキリレー!D19</f>
        <v/>
      </c>
      <c r="E19" s="397" t="str">
        <f>タスキリレー!E19</f>
        <v/>
      </c>
      <c r="F19" s="400"/>
      <c r="G19" s="87"/>
      <c r="H19" s="391">
        <v>5</v>
      </c>
      <c r="I19" s="396">
        <f>タスキリレー!I19</f>
        <v>0</v>
      </c>
      <c r="J19" s="610" t="str">
        <f>タスキリレー!J19</f>
        <v/>
      </c>
      <c r="K19" s="606" t="str">
        <f>タスキリレー!K19</f>
        <v/>
      </c>
      <c r="L19" s="397" t="str">
        <f>タスキリレー!L19</f>
        <v/>
      </c>
      <c r="M19" s="400"/>
      <c r="N19" s="1140"/>
      <c r="O19" s="1140"/>
      <c r="P19" s="1140"/>
      <c r="Q19" s="1140"/>
      <c r="R19" s="1140"/>
      <c r="S19" s="1140"/>
    </row>
    <row r="20" spans="1:19">
      <c r="A20" s="391">
        <v>6</v>
      </c>
      <c r="B20" s="396">
        <f>タスキリレー!B20</f>
        <v>0</v>
      </c>
      <c r="C20" s="610" t="str">
        <f>タスキリレー!C20</f>
        <v/>
      </c>
      <c r="D20" s="606" t="str">
        <f>タスキリレー!D20</f>
        <v/>
      </c>
      <c r="E20" s="397" t="str">
        <f>タスキリレー!E20</f>
        <v/>
      </c>
      <c r="F20" s="400"/>
      <c r="G20" s="87"/>
      <c r="H20" s="391">
        <v>6</v>
      </c>
      <c r="I20" s="396">
        <f>タスキリレー!I20</f>
        <v>0</v>
      </c>
      <c r="J20" s="610" t="str">
        <f>タスキリレー!J20</f>
        <v/>
      </c>
      <c r="K20" s="606" t="str">
        <f>タスキリレー!K20</f>
        <v/>
      </c>
      <c r="L20" s="397" t="str">
        <f>タスキリレー!L20</f>
        <v/>
      </c>
      <c r="M20" s="400"/>
      <c r="N20" s="1140"/>
      <c r="O20" s="1140"/>
      <c r="P20" s="1140"/>
      <c r="Q20" s="1140"/>
      <c r="R20" s="1140"/>
      <c r="S20" s="1140"/>
    </row>
    <row r="21" spans="1:19">
      <c r="A21" s="391">
        <v>7</v>
      </c>
      <c r="B21" s="396">
        <f>タスキリレー!B21</f>
        <v>0</v>
      </c>
      <c r="C21" s="610" t="str">
        <f>タスキリレー!C21</f>
        <v/>
      </c>
      <c r="D21" s="606" t="str">
        <f>タスキリレー!D21</f>
        <v/>
      </c>
      <c r="E21" s="397" t="str">
        <f>タスキリレー!E21</f>
        <v/>
      </c>
      <c r="F21" s="400"/>
      <c r="G21" s="87"/>
      <c r="H21" s="391">
        <v>7</v>
      </c>
      <c r="I21" s="396">
        <f>タスキリレー!I21</f>
        <v>0</v>
      </c>
      <c r="J21" s="610" t="str">
        <f>タスキリレー!J21</f>
        <v/>
      </c>
      <c r="K21" s="606" t="str">
        <f>タスキリレー!K21</f>
        <v/>
      </c>
      <c r="L21" s="397" t="str">
        <f>タスキリレー!L21</f>
        <v/>
      </c>
      <c r="M21" s="400"/>
      <c r="N21" s="1140"/>
      <c r="O21" s="1140"/>
      <c r="P21" s="1140"/>
      <c r="Q21" s="1140"/>
      <c r="R21" s="1140"/>
      <c r="S21" s="1140"/>
    </row>
    <row r="22" spans="1:19" ht="14.25" thickBot="1">
      <c r="A22" s="392">
        <v>8</v>
      </c>
      <c r="B22" s="398">
        <f>タスキリレー!B22</f>
        <v>0</v>
      </c>
      <c r="C22" s="611" t="str">
        <f>タスキリレー!C22</f>
        <v/>
      </c>
      <c r="D22" s="607" t="str">
        <f>タスキリレー!D22</f>
        <v/>
      </c>
      <c r="E22" s="399" t="str">
        <f>タスキリレー!E22</f>
        <v/>
      </c>
      <c r="F22" s="401"/>
      <c r="G22" s="87"/>
      <c r="H22" s="392">
        <v>8</v>
      </c>
      <c r="I22" s="398">
        <f>タスキリレー!I22</f>
        <v>0</v>
      </c>
      <c r="J22" s="611" t="str">
        <f>タスキリレー!J22</f>
        <v/>
      </c>
      <c r="K22" s="607" t="str">
        <f>タスキリレー!K22</f>
        <v/>
      </c>
      <c r="L22" s="399" t="str">
        <f>タスキリレー!L22</f>
        <v/>
      </c>
      <c r="M22" s="401"/>
      <c r="N22" s="1140"/>
      <c r="O22" s="1140"/>
      <c r="P22" s="1140"/>
      <c r="Q22" s="1140"/>
      <c r="R22" s="1140"/>
      <c r="S22" s="1140"/>
    </row>
    <row r="23" spans="1:19" ht="14.25" thickBot="1">
      <c r="A23" s="994"/>
      <c r="B23" s="994"/>
      <c r="C23" s="1125"/>
      <c r="D23" s="1125"/>
      <c r="E23" s="1178"/>
      <c r="F23" s="1179"/>
      <c r="G23" s="1180"/>
      <c r="H23" s="1181"/>
      <c r="I23" s="1181"/>
      <c r="J23" s="1182"/>
      <c r="K23" s="1182"/>
      <c r="L23" s="1178"/>
      <c r="M23" s="1179"/>
      <c r="N23" s="1140"/>
      <c r="O23" s="1140"/>
      <c r="P23" s="1140"/>
      <c r="Q23" s="1140"/>
      <c r="R23" s="1140"/>
      <c r="S23" s="1140"/>
    </row>
    <row r="24" spans="1:19" ht="14.25" thickBot="1">
      <c r="A24" s="386" t="s">
        <v>397</v>
      </c>
      <c r="B24" s="381"/>
      <c r="C24" s="1128" t="s">
        <v>791</v>
      </c>
      <c r="D24" s="1129"/>
      <c r="E24" s="387"/>
      <c r="F24" s="87"/>
      <c r="G24" s="87"/>
      <c r="H24" s="386" t="s">
        <v>476</v>
      </c>
      <c r="I24" s="381"/>
      <c r="J24" s="1128" t="s">
        <v>791</v>
      </c>
      <c r="K24" s="1129"/>
      <c r="L24" s="387"/>
      <c r="M24" s="87"/>
      <c r="N24" s="1140"/>
      <c r="O24" s="1140"/>
      <c r="P24" s="1140"/>
      <c r="Q24" s="1140"/>
      <c r="R24" s="1140"/>
      <c r="S24" s="1140"/>
    </row>
    <row r="25" spans="1:19" ht="27" customHeight="1">
      <c r="A25" s="388"/>
      <c r="B25" s="389" t="s">
        <v>464</v>
      </c>
      <c r="C25" s="389" t="s">
        <v>465</v>
      </c>
      <c r="D25" s="389" t="s">
        <v>466</v>
      </c>
      <c r="E25" s="390" t="s">
        <v>203</v>
      </c>
      <c r="F25" s="395" t="s">
        <v>467</v>
      </c>
      <c r="G25" s="87"/>
      <c r="H25" s="388"/>
      <c r="I25" s="389" t="s">
        <v>464</v>
      </c>
      <c r="J25" s="389" t="s">
        <v>465</v>
      </c>
      <c r="K25" s="389" t="s">
        <v>466</v>
      </c>
      <c r="L25" s="390" t="s">
        <v>203</v>
      </c>
      <c r="M25" s="395" t="s">
        <v>467</v>
      </c>
      <c r="N25" s="1140"/>
      <c r="O25" s="1140"/>
      <c r="P25" s="1140"/>
      <c r="Q25" s="1140"/>
      <c r="R25" s="1140"/>
      <c r="S25" s="1140"/>
    </row>
    <row r="26" spans="1:19">
      <c r="A26" s="391">
        <v>1</v>
      </c>
      <c r="B26" s="396">
        <f>タスキリレー!B27</f>
        <v>0</v>
      </c>
      <c r="C26" s="610" t="str">
        <f>タスキリレー!C27</f>
        <v/>
      </c>
      <c r="D26" s="606" t="str">
        <f>タスキリレー!D27</f>
        <v/>
      </c>
      <c r="E26" s="397" t="str">
        <f>タスキリレー!E27</f>
        <v/>
      </c>
      <c r="F26" s="400"/>
      <c r="G26" s="87"/>
      <c r="H26" s="391">
        <v>1</v>
      </c>
      <c r="I26" s="396">
        <f>タスキリレー!I27</f>
        <v>0</v>
      </c>
      <c r="J26" s="610" t="str">
        <f>タスキリレー!J27</f>
        <v/>
      </c>
      <c r="K26" s="606" t="str">
        <f>タスキリレー!K27</f>
        <v/>
      </c>
      <c r="L26" s="397" t="str">
        <f>タスキリレー!L27</f>
        <v/>
      </c>
      <c r="M26" s="400"/>
      <c r="N26" s="1140"/>
      <c r="O26" s="1140"/>
      <c r="P26" s="1140"/>
      <c r="Q26" s="1140"/>
      <c r="R26" s="1140"/>
      <c r="S26" s="1140"/>
    </row>
    <row r="27" spans="1:19">
      <c r="A27" s="391">
        <v>2</v>
      </c>
      <c r="B27" s="396">
        <f>タスキリレー!B28</f>
        <v>0</v>
      </c>
      <c r="C27" s="610" t="str">
        <f>タスキリレー!C28</f>
        <v/>
      </c>
      <c r="D27" s="606" t="str">
        <f>タスキリレー!D28</f>
        <v/>
      </c>
      <c r="E27" s="397" t="str">
        <f>タスキリレー!E28</f>
        <v/>
      </c>
      <c r="F27" s="400"/>
      <c r="G27" s="87"/>
      <c r="H27" s="391">
        <v>2</v>
      </c>
      <c r="I27" s="396">
        <f>タスキリレー!I28</f>
        <v>0</v>
      </c>
      <c r="J27" s="610" t="str">
        <f>タスキリレー!J28</f>
        <v/>
      </c>
      <c r="K27" s="606" t="str">
        <f>タスキリレー!K28</f>
        <v/>
      </c>
      <c r="L27" s="397" t="str">
        <f>タスキリレー!L28</f>
        <v/>
      </c>
      <c r="M27" s="400"/>
      <c r="N27" s="1140"/>
      <c r="O27" s="1140"/>
      <c r="P27" s="1140"/>
      <c r="Q27" s="1140"/>
      <c r="R27" s="1140"/>
      <c r="S27" s="1140"/>
    </row>
    <row r="28" spans="1:19">
      <c r="A28" s="391">
        <v>3</v>
      </c>
      <c r="B28" s="396">
        <f>タスキリレー!B29</f>
        <v>0</v>
      </c>
      <c r="C28" s="610" t="str">
        <f>タスキリレー!C29</f>
        <v/>
      </c>
      <c r="D28" s="606" t="str">
        <f>タスキリレー!D29</f>
        <v/>
      </c>
      <c r="E28" s="397" t="str">
        <f>タスキリレー!E29</f>
        <v/>
      </c>
      <c r="F28" s="400"/>
      <c r="G28" s="87"/>
      <c r="H28" s="391">
        <v>3</v>
      </c>
      <c r="I28" s="396">
        <f>タスキリレー!I29</f>
        <v>0</v>
      </c>
      <c r="J28" s="610" t="str">
        <f>タスキリレー!J29</f>
        <v/>
      </c>
      <c r="K28" s="606" t="str">
        <f>タスキリレー!K29</f>
        <v/>
      </c>
      <c r="L28" s="397" t="str">
        <f>タスキリレー!L29</f>
        <v/>
      </c>
      <c r="M28" s="400"/>
      <c r="N28" s="1140"/>
      <c r="O28" s="1140"/>
      <c r="P28" s="1140"/>
      <c r="Q28" s="1140"/>
      <c r="R28" s="1140"/>
      <c r="S28" s="1140"/>
    </row>
    <row r="29" spans="1:19">
      <c r="A29" s="391">
        <v>4</v>
      </c>
      <c r="B29" s="396">
        <f>タスキリレー!B30</f>
        <v>0</v>
      </c>
      <c r="C29" s="610" t="str">
        <f>タスキリレー!C30</f>
        <v/>
      </c>
      <c r="D29" s="606" t="str">
        <f>タスキリレー!D30</f>
        <v/>
      </c>
      <c r="E29" s="397" t="str">
        <f>タスキリレー!E30</f>
        <v/>
      </c>
      <c r="F29" s="400"/>
      <c r="G29" s="87"/>
      <c r="H29" s="391">
        <v>4</v>
      </c>
      <c r="I29" s="396">
        <f>タスキリレー!I30</f>
        <v>0</v>
      </c>
      <c r="J29" s="610" t="str">
        <f>タスキリレー!J30</f>
        <v/>
      </c>
      <c r="K29" s="606" t="str">
        <f>タスキリレー!K30</f>
        <v/>
      </c>
      <c r="L29" s="397" t="str">
        <f>タスキリレー!L30</f>
        <v/>
      </c>
      <c r="M29" s="400"/>
      <c r="N29" s="1140"/>
      <c r="O29" s="1140"/>
      <c r="P29" s="1140"/>
      <c r="Q29" s="1140"/>
      <c r="R29" s="1140"/>
      <c r="S29" s="1140"/>
    </row>
    <row r="30" spans="1:19">
      <c r="A30" s="391">
        <v>5</v>
      </c>
      <c r="B30" s="396">
        <f>タスキリレー!B31</f>
        <v>0</v>
      </c>
      <c r="C30" s="610" t="str">
        <f>タスキリレー!C31</f>
        <v/>
      </c>
      <c r="D30" s="606" t="str">
        <f>タスキリレー!D31</f>
        <v/>
      </c>
      <c r="E30" s="397" t="str">
        <f>タスキリレー!E31</f>
        <v/>
      </c>
      <c r="F30" s="400"/>
      <c r="G30" s="87"/>
      <c r="H30" s="391">
        <v>5</v>
      </c>
      <c r="I30" s="396">
        <f>タスキリレー!I31</f>
        <v>0</v>
      </c>
      <c r="J30" s="610" t="str">
        <f>タスキリレー!J31</f>
        <v/>
      </c>
      <c r="K30" s="606" t="str">
        <f>タスキリレー!K31</f>
        <v/>
      </c>
      <c r="L30" s="397" t="str">
        <f>タスキリレー!L31</f>
        <v/>
      </c>
      <c r="M30" s="400"/>
      <c r="N30" s="1140"/>
      <c r="O30" s="1140"/>
      <c r="P30" s="1140"/>
      <c r="Q30" s="1140"/>
      <c r="R30" s="1140"/>
      <c r="S30" s="1140"/>
    </row>
    <row r="31" spans="1:19">
      <c r="A31" s="391">
        <v>6</v>
      </c>
      <c r="B31" s="396">
        <f>タスキリレー!B32</f>
        <v>0</v>
      </c>
      <c r="C31" s="610" t="str">
        <f>タスキリレー!C32</f>
        <v/>
      </c>
      <c r="D31" s="606" t="str">
        <f>タスキリレー!D32</f>
        <v/>
      </c>
      <c r="E31" s="397" t="str">
        <f>タスキリレー!E32</f>
        <v/>
      </c>
      <c r="F31" s="400"/>
      <c r="G31" s="87"/>
      <c r="H31" s="391">
        <v>6</v>
      </c>
      <c r="I31" s="396">
        <f>タスキリレー!I32</f>
        <v>0</v>
      </c>
      <c r="J31" s="610" t="str">
        <f>タスキリレー!J32</f>
        <v/>
      </c>
      <c r="K31" s="606" t="str">
        <f>タスキリレー!K32</f>
        <v/>
      </c>
      <c r="L31" s="397" t="str">
        <f>タスキリレー!L32</f>
        <v/>
      </c>
      <c r="M31" s="400"/>
      <c r="N31" s="1140"/>
      <c r="O31" s="1140"/>
      <c r="P31" s="1140"/>
      <c r="Q31" s="1140"/>
      <c r="R31" s="1140"/>
      <c r="S31" s="1140"/>
    </row>
    <row r="32" spans="1:19">
      <c r="A32" s="391">
        <v>7</v>
      </c>
      <c r="B32" s="396">
        <f>タスキリレー!B33</f>
        <v>0</v>
      </c>
      <c r="C32" s="610" t="str">
        <f>タスキリレー!C33</f>
        <v/>
      </c>
      <c r="D32" s="606" t="str">
        <f>タスキリレー!D33</f>
        <v/>
      </c>
      <c r="E32" s="397" t="str">
        <f>タスキリレー!E33</f>
        <v/>
      </c>
      <c r="F32" s="400"/>
      <c r="G32" s="87"/>
      <c r="H32" s="391">
        <v>7</v>
      </c>
      <c r="I32" s="396">
        <f>タスキリレー!I33</f>
        <v>0</v>
      </c>
      <c r="J32" s="610" t="str">
        <f>タスキリレー!J33</f>
        <v/>
      </c>
      <c r="K32" s="606" t="str">
        <f>タスキリレー!K33</f>
        <v/>
      </c>
      <c r="L32" s="397" t="str">
        <f>タスキリレー!L33</f>
        <v/>
      </c>
      <c r="M32" s="400"/>
      <c r="N32" s="1140"/>
      <c r="O32" s="1140"/>
      <c r="P32" s="1140"/>
      <c r="Q32" s="1140"/>
      <c r="R32" s="1140"/>
      <c r="S32" s="1140"/>
    </row>
    <row r="33" spans="1:19" ht="14.25" thickBot="1">
      <c r="A33" s="392">
        <v>8</v>
      </c>
      <c r="B33" s="398">
        <f>タスキリレー!B34</f>
        <v>0</v>
      </c>
      <c r="C33" s="611" t="str">
        <f>タスキリレー!C34</f>
        <v/>
      </c>
      <c r="D33" s="607" t="str">
        <f>タスキリレー!D34</f>
        <v/>
      </c>
      <c r="E33" s="399" t="str">
        <f>タスキリレー!E34</f>
        <v/>
      </c>
      <c r="F33" s="401"/>
      <c r="G33" s="87"/>
      <c r="H33" s="392">
        <v>8</v>
      </c>
      <c r="I33" s="398">
        <f>タスキリレー!I34</f>
        <v>0</v>
      </c>
      <c r="J33" s="611" t="str">
        <f>タスキリレー!J34</f>
        <v/>
      </c>
      <c r="K33" s="607" t="str">
        <f>タスキリレー!K34</f>
        <v/>
      </c>
      <c r="L33" s="399" t="str">
        <f>タスキリレー!L34</f>
        <v/>
      </c>
      <c r="M33" s="401"/>
      <c r="N33" s="1140"/>
      <c r="O33" s="1140"/>
      <c r="P33" s="1140"/>
      <c r="Q33" s="1140"/>
      <c r="R33" s="1140"/>
      <c r="S33" s="1140"/>
    </row>
    <row r="34" spans="1:19" ht="14.25" thickBot="1">
      <c r="A34" s="381"/>
      <c r="B34" s="381"/>
      <c r="C34" s="381"/>
      <c r="D34" s="381"/>
      <c r="E34" s="387"/>
      <c r="F34" s="87"/>
      <c r="G34" s="87"/>
      <c r="H34" s="87"/>
      <c r="I34" s="87"/>
      <c r="J34" s="87"/>
      <c r="K34" s="87"/>
      <c r="L34" s="87"/>
      <c r="M34" s="87"/>
      <c r="N34" s="1140"/>
      <c r="O34" s="1140"/>
      <c r="P34" s="1140"/>
      <c r="Q34" s="1140"/>
      <c r="R34" s="1140"/>
      <c r="S34" s="1140"/>
    </row>
    <row r="35" spans="1:19" ht="14.25" thickBot="1">
      <c r="A35" s="393" t="s">
        <v>398</v>
      </c>
      <c r="B35" s="381"/>
      <c r="C35" s="1128" t="s">
        <v>791</v>
      </c>
      <c r="D35" s="1129"/>
      <c r="E35" s="387"/>
      <c r="F35" s="87"/>
      <c r="G35" s="87"/>
      <c r="H35" s="393" t="s">
        <v>399</v>
      </c>
      <c r="I35" s="381"/>
      <c r="J35" s="1128" t="s">
        <v>791</v>
      </c>
      <c r="K35" s="1129"/>
      <c r="L35" s="387"/>
      <c r="M35" s="87"/>
      <c r="N35" s="1140"/>
      <c r="O35" s="1140"/>
      <c r="P35" s="1140"/>
      <c r="Q35" s="1140"/>
      <c r="R35" s="1140"/>
      <c r="S35" s="1140"/>
    </row>
    <row r="36" spans="1:19" ht="27" customHeight="1">
      <c r="A36" s="388"/>
      <c r="B36" s="389" t="s">
        <v>464</v>
      </c>
      <c r="C36" s="389" t="s">
        <v>465</v>
      </c>
      <c r="D36" s="389" t="s">
        <v>466</v>
      </c>
      <c r="E36" s="390" t="s">
        <v>203</v>
      </c>
      <c r="F36" s="395" t="s">
        <v>467</v>
      </c>
      <c r="G36" s="87"/>
      <c r="H36" s="388"/>
      <c r="I36" s="389" t="s">
        <v>464</v>
      </c>
      <c r="J36" s="389" t="s">
        <v>465</v>
      </c>
      <c r="K36" s="389" t="s">
        <v>466</v>
      </c>
      <c r="L36" s="390" t="s">
        <v>203</v>
      </c>
      <c r="M36" s="395" t="s">
        <v>467</v>
      </c>
      <c r="N36" s="1140"/>
      <c r="O36" s="1140"/>
      <c r="P36" s="1140"/>
      <c r="Q36" s="1140"/>
      <c r="R36" s="1140"/>
      <c r="S36" s="1140"/>
    </row>
    <row r="37" spans="1:19">
      <c r="A37" s="391">
        <v>1</v>
      </c>
      <c r="B37" s="396">
        <f>タスキリレー!B39</f>
        <v>0</v>
      </c>
      <c r="C37" s="610" t="str">
        <f>タスキリレー!C39</f>
        <v/>
      </c>
      <c r="D37" s="606" t="str">
        <f>タスキリレー!D39</f>
        <v/>
      </c>
      <c r="E37" s="397" t="str">
        <f>タスキリレー!E39</f>
        <v/>
      </c>
      <c r="F37" s="402"/>
      <c r="G37" s="87"/>
      <c r="H37" s="391">
        <v>1</v>
      </c>
      <c r="I37" s="396">
        <f>タスキリレー!I39</f>
        <v>0</v>
      </c>
      <c r="J37" s="610" t="str">
        <f>タスキリレー!J39</f>
        <v/>
      </c>
      <c r="K37" s="606" t="str">
        <f>タスキリレー!K39</f>
        <v/>
      </c>
      <c r="L37" s="397" t="str">
        <f>タスキリレー!L39</f>
        <v/>
      </c>
      <c r="M37" s="402"/>
      <c r="N37" s="1140"/>
      <c r="O37" s="1140"/>
      <c r="P37" s="1140"/>
      <c r="Q37" s="1140"/>
      <c r="R37" s="1140"/>
      <c r="S37" s="1140"/>
    </row>
    <row r="38" spans="1:19">
      <c r="A38" s="391">
        <v>2</v>
      </c>
      <c r="B38" s="396">
        <f>タスキリレー!B40</f>
        <v>0</v>
      </c>
      <c r="C38" s="610" t="str">
        <f>タスキリレー!C40</f>
        <v/>
      </c>
      <c r="D38" s="606" t="str">
        <f>タスキリレー!D40</f>
        <v/>
      </c>
      <c r="E38" s="397" t="str">
        <f>タスキリレー!E40</f>
        <v/>
      </c>
      <c r="F38" s="402"/>
      <c r="G38" s="87"/>
      <c r="H38" s="391">
        <v>2</v>
      </c>
      <c r="I38" s="396">
        <f>タスキリレー!I40</f>
        <v>0</v>
      </c>
      <c r="J38" s="610" t="str">
        <f>タスキリレー!J40</f>
        <v/>
      </c>
      <c r="K38" s="606" t="str">
        <f>タスキリレー!K40</f>
        <v/>
      </c>
      <c r="L38" s="397" t="str">
        <f>タスキリレー!L40</f>
        <v/>
      </c>
      <c r="M38" s="402"/>
      <c r="N38" s="1140"/>
      <c r="O38" s="1140"/>
      <c r="P38" s="1140"/>
      <c r="Q38" s="1140"/>
      <c r="R38" s="1140"/>
      <c r="S38" s="1140"/>
    </row>
    <row r="39" spans="1:19">
      <c r="A39" s="391">
        <v>3</v>
      </c>
      <c r="B39" s="396">
        <f>タスキリレー!B41</f>
        <v>0</v>
      </c>
      <c r="C39" s="610" t="str">
        <f>タスキリレー!C41</f>
        <v/>
      </c>
      <c r="D39" s="606" t="str">
        <f>タスキリレー!D41</f>
        <v/>
      </c>
      <c r="E39" s="397" t="str">
        <f>タスキリレー!E41</f>
        <v/>
      </c>
      <c r="F39" s="402"/>
      <c r="G39" s="87"/>
      <c r="H39" s="391">
        <v>3</v>
      </c>
      <c r="I39" s="396">
        <f>タスキリレー!I41</f>
        <v>0</v>
      </c>
      <c r="J39" s="610" t="str">
        <f>タスキリレー!J41</f>
        <v/>
      </c>
      <c r="K39" s="606" t="str">
        <f>タスキリレー!K41</f>
        <v/>
      </c>
      <c r="L39" s="397" t="str">
        <f>タスキリレー!L41</f>
        <v/>
      </c>
      <c r="M39" s="402"/>
      <c r="N39" s="1140"/>
      <c r="O39" s="1140"/>
      <c r="P39" s="1140"/>
      <c r="Q39" s="1140"/>
      <c r="R39" s="1140"/>
      <c r="S39" s="1140"/>
    </row>
    <row r="40" spans="1:19">
      <c r="A40" s="391">
        <v>4</v>
      </c>
      <c r="B40" s="396">
        <f>タスキリレー!B42</f>
        <v>0</v>
      </c>
      <c r="C40" s="610" t="str">
        <f>タスキリレー!C42</f>
        <v/>
      </c>
      <c r="D40" s="606" t="str">
        <f>タスキリレー!D42</f>
        <v/>
      </c>
      <c r="E40" s="397" t="str">
        <f>タスキリレー!E42</f>
        <v/>
      </c>
      <c r="F40" s="402"/>
      <c r="G40" s="87"/>
      <c r="H40" s="391">
        <v>4</v>
      </c>
      <c r="I40" s="396">
        <f>タスキリレー!I42</f>
        <v>0</v>
      </c>
      <c r="J40" s="610" t="str">
        <f>タスキリレー!J42</f>
        <v/>
      </c>
      <c r="K40" s="606" t="str">
        <f>タスキリレー!K42</f>
        <v/>
      </c>
      <c r="L40" s="397" t="str">
        <f>タスキリレー!L42</f>
        <v/>
      </c>
      <c r="M40" s="402"/>
      <c r="N40" s="1140"/>
      <c r="O40" s="1140"/>
      <c r="P40" s="1140"/>
      <c r="Q40" s="1140"/>
      <c r="R40" s="1140"/>
      <c r="S40" s="1140"/>
    </row>
    <row r="41" spans="1:19">
      <c r="A41" s="391">
        <v>5</v>
      </c>
      <c r="B41" s="396">
        <f>タスキリレー!B43</f>
        <v>0</v>
      </c>
      <c r="C41" s="610" t="str">
        <f>タスキリレー!C43</f>
        <v/>
      </c>
      <c r="D41" s="606" t="str">
        <f>タスキリレー!D43</f>
        <v/>
      </c>
      <c r="E41" s="397" t="str">
        <f>タスキリレー!E43</f>
        <v/>
      </c>
      <c r="F41" s="402"/>
      <c r="G41" s="87"/>
      <c r="H41" s="391">
        <v>5</v>
      </c>
      <c r="I41" s="396">
        <f>タスキリレー!I43</f>
        <v>0</v>
      </c>
      <c r="J41" s="610" t="str">
        <f>タスキリレー!J43</f>
        <v/>
      </c>
      <c r="K41" s="606" t="str">
        <f>タスキリレー!K43</f>
        <v/>
      </c>
      <c r="L41" s="397" t="str">
        <f>タスキリレー!L43</f>
        <v/>
      </c>
      <c r="M41" s="402"/>
      <c r="N41" s="1140"/>
      <c r="O41" s="1140"/>
      <c r="P41" s="1140"/>
      <c r="Q41" s="1140"/>
      <c r="R41" s="1140"/>
      <c r="S41" s="1140"/>
    </row>
    <row r="42" spans="1:19">
      <c r="A42" s="391">
        <v>6</v>
      </c>
      <c r="B42" s="396">
        <f>タスキリレー!B44</f>
        <v>0</v>
      </c>
      <c r="C42" s="610" t="str">
        <f>タスキリレー!C44</f>
        <v/>
      </c>
      <c r="D42" s="606" t="str">
        <f>タスキリレー!D44</f>
        <v/>
      </c>
      <c r="E42" s="397" t="str">
        <f>タスキリレー!E44</f>
        <v/>
      </c>
      <c r="F42" s="402"/>
      <c r="G42" s="87"/>
      <c r="H42" s="391">
        <v>6</v>
      </c>
      <c r="I42" s="396">
        <f>タスキリレー!I44</f>
        <v>0</v>
      </c>
      <c r="J42" s="610" t="str">
        <f>タスキリレー!J44</f>
        <v/>
      </c>
      <c r="K42" s="606" t="str">
        <f>タスキリレー!K44</f>
        <v/>
      </c>
      <c r="L42" s="397" t="str">
        <f>タスキリレー!L44</f>
        <v/>
      </c>
      <c r="M42" s="402"/>
      <c r="N42" s="1140"/>
      <c r="O42" s="1140"/>
      <c r="P42" s="1140"/>
      <c r="Q42" s="1140"/>
      <c r="R42" s="1140"/>
      <c r="S42" s="1140"/>
    </row>
    <row r="43" spans="1:19">
      <c r="A43" s="391">
        <v>7</v>
      </c>
      <c r="B43" s="396">
        <f>タスキリレー!B45</f>
        <v>0</v>
      </c>
      <c r="C43" s="610" t="str">
        <f>タスキリレー!C45</f>
        <v/>
      </c>
      <c r="D43" s="606" t="str">
        <f>タスキリレー!D45</f>
        <v/>
      </c>
      <c r="E43" s="397" t="str">
        <f>タスキリレー!E45</f>
        <v/>
      </c>
      <c r="F43" s="402"/>
      <c r="G43" s="87"/>
      <c r="H43" s="391">
        <v>7</v>
      </c>
      <c r="I43" s="396">
        <f>タスキリレー!I45</f>
        <v>0</v>
      </c>
      <c r="J43" s="610" t="str">
        <f>タスキリレー!J45</f>
        <v/>
      </c>
      <c r="K43" s="606" t="str">
        <f>タスキリレー!K45</f>
        <v/>
      </c>
      <c r="L43" s="397" t="str">
        <f>タスキリレー!L45</f>
        <v/>
      </c>
      <c r="M43" s="402"/>
      <c r="N43" s="1140"/>
      <c r="O43" s="1140"/>
      <c r="P43" s="1140"/>
      <c r="Q43" s="1140"/>
      <c r="R43" s="1140"/>
      <c r="S43" s="1140"/>
    </row>
    <row r="44" spans="1:19" ht="14.25" thickBot="1">
      <c r="A44" s="392">
        <v>8</v>
      </c>
      <c r="B44" s="398">
        <f>タスキリレー!B46</f>
        <v>0</v>
      </c>
      <c r="C44" s="611" t="str">
        <f>タスキリレー!C46</f>
        <v/>
      </c>
      <c r="D44" s="607" t="str">
        <f>タスキリレー!D46</f>
        <v/>
      </c>
      <c r="E44" s="399" t="str">
        <f>タスキリレー!E46</f>
        <v/>
      </c>
      <c r="F44" s="403"/>
      <c r="G44" s="87"/>
      <c r="H44" s="392">
        <v>8</v>
      </c>
      <c r="I44" s="398">
        <f>タスキリレー!I46</f>
        <v>0</v>
      </c>
      <c r="J44" s="611" t="str">
        <f>タスキリレー!J46</f>
        <v/>
      </c>
      <c r="K44" s="607" t="str">
        <f>タスキリレー!K46</f>
        <v/>
      </c>
      <c r="L44" s="399" t="str">
        <f>タスキリレー!L46</f>
        <v/>
      </c>
      <c r="M44" s="403"/>
      <c r="N44" s="1140"/>
      <c r="O44" s="1140"/>
      <c r="P44" s="1140"/>
      <c r="Q44" s="1140"/>
      <c r="R44" s="1140"/>
      <c r="S44" s="1140"/>
    </row>
    <row r="45" spans="1:19" ht="14.25" thickBot="1">
      <c r="A45" s="994"/>
      <c r="B45" s="994"/>
      <c r="C45" s="1125"/>
      <c r="D45" s="1125"/>
      <c r="E45" s="1126"/>
      <c r="F45" s="1127"/>
      <c r="G45" s="87"/>
      <c r="H45" s="994"/>
      <c r="I45" s="994"/>
      <c r="J45" s="1125"/>
      <c r="K45" s="1125"/>
      <c r="L45" s="1126"/>
      <c r="M45" s="1127"/>
      <c r="N45" s="1140"/>
      <c r="O45" s="1140"/>
      <c r="P45" s="1140"/>
      <c r="Q45" s="1140"/>
      <c r="R45" s="1140"/>
      <c r="S45" s="1140"/>
    </row>
    <row r="46" spans="1:19" ht="14.25" thickBot="1">
      <c r="A46" s="393" t="s">
        <v>400</v>
      </c>
      <c r="B46" s="381"/>
      <c r="C46" s="1128" t="s">
        <v>791</v>
      </c>
      <c r="D46" s="1129"/>
      <c r="E46" s="387"/>
      <c r="F46" s="87"/>
      <c r="G46" s="87"/>
      <c r="H46" s="393" t="s">
        <v>477</v>
      </c>
      <c r="I46" s="381"/>
      <c r="J46" s="1128" t="s">
        <v>791</v>
      </c>
      <c r="K46" s="1129"/>
      <c r="L46" s="387"/>
      <c r="M46" s="87"/>
      <c r="N46" s="1140"/>
      <c r="O46" s="1140"/>
      <c r="P46" s="1140"/>
      <c r="Q46" s="1140"/>
      <c r="R46" s="1140"/>
      <c r="S46" s="1140"/>
    </row>
    <row r="47" spans="1:19" ht="27" customHeight="1">
      <c r="A47" s="388"/>
      <c r="B47" s="389" t="s">
        <v>464</v>
      </c>
      <c r="C47" s="389" t="s">
        <v>465</v>
      </c>
      <c r="D47" s="389" t="s">
        <v>466</v>
      </c>
      <c r="E47" s="390" t="s">
        <v>203</v>
      </c>
      <c r="F47" s="395" t="s">
        <v>467</v>
      </c>
      <c r="G47" s="87"/>
      <c r="H47" s="388"/>
      <c r="I47" s="389" t="s">
        <v>464</v>
      </c>
      <c r="J47" s="389" t="s">
        <v>465</v>
      </c>
      <c r="K47" s="389" t="s">
        <v>466</v>
      </c>
      <c r="L47" s="390" t="s">
        <v>203</v>
      </c>
      <c r="M47" s="395" t="s">
        <v>467</v>
      </c>
      <c r="N47" s="1140"/>
      <c r="O47" s="1140"/>
      <c r="P47" s="1140"/>
      <c r="Q47" s="1140"/>
      <c r="R47" s="1140"/>
      <c r="S47" s="1140"/>
    </row>
    <row r="48" spans="1:19">
      <c r="A48" s="391">
        <v>1</v>
      </c>
      <c r="B48" s="396">
        <f>タスキリレー!B51</f>
        <v>0</v>
      </c>
      <c r="C48" s="610" t="str">
        <f>タスキリレー!C51</f>
        <v/>
      </c>
      <c r="D48" s="606" t="str">
        <f>タスキリレー!D51</f>
        <v/>
      </c>
      <c r="E48" s="397" t="str">
        <f>タスキリレー!E51</f>
        <v/>
      </c>
      <c r="F48" s="402"/>
      <c r="G48" s="87"/>
      <c r="H48" s="391">
        <v>1</v>
      </c>
      <c r="I48" s="396">
        <f>タスキリレー!I51</f>
        <v>0</v>
      </c>
      <c r="J48" s="610" t="str">
        <f>タスキリレー!J51</f>
        <v/>
      </c>
      <c r="K48" s="606" t="str">
        <f>タスキリレー!K51</f>
        <v/>
      </c>
      <c r="L48" s="397" t="str">
        <f>タスキリレー!L51</f>
        <v/>
      </c>
      <c r="M48" s="402"/>
      <c r="N48" s="1140"/>
      <c r="O48" s="1140"/>
      <c r="P48" s="1140"/>
      <c r="Q48" s="1140"/>
      <c r="R48" s="1140"/>
      <c r="S48" s="1140"/>
    </row>
    <row r="49" spans="1:19">
      <c r="A49" s="391">
        <v>2</v>
      </c>
      <c r="B49" s="396">
        <f>タスキリレー!B52</f>
        <v>0</v>
      </c>
      <c r="C49" s="610" t="str">
        <f>タスキリレー!C52</f>
        <v/>
      </c>
      <c r="D49" s="606" t="str">
        <f>タスキリレー!D52</f>
        <v/>
      </c>
      <c r="E49" s="397" t="str">
        <f>タスキリレー!E52</f>
        <v/>
      </c>
      <c r="F49" s="402"/>
      <c r="G49" s="87"/>
      <c r="H49" s="391">
        <v>2</v>
      </c>
      <c r="I49" s="396">
        <f>タスキリレー!I52</f>
        <v>0</v>
      </c>
      <c r="J49" s="610" t="str">
        <f>タスキリレー!J52</f>
        <v/>
      </c>
      <c r="K49" s="606" t="str">
        <f>タスキリレー!K52</f>
        <v/>
      </c>
      <c r="L49" s="397" t="str">
        <f>タスキリレー!L52</f>
        <v/>
      </c>
      <c r="M49" s="402"/>
      <c r="N49" s="1140"/>
      <c r="O49" s="1140"/>
      <c r="P49" s="1140"/>
      <c r="Q49" s="1140"/>
      <c r="R49" s="1140"/>
      <c r="S49" s="1140"/>
    </row>
    <row r="50" spans="1:19">
      <c r="A50" s="391">
        <v>3</v>
      </c>
      <c r="B50" s="396">
        <f>タスキリレー!B53</f>
        <v>0</v>
      </c>
      <c r="C50" s="610" t="str">
        <f>タスキリレー!C53</f>
        <v/>
      </c>
      <c r="D50" s="606" t="str">
        <f>タスキリレー!D53</f>
        <v/>
      </c>
      <c r="E50" s="397" t="str">
        <f>タスキリレー!E53</f>
        <v/>
      </c>
      <c r="F50" s="402"/>
      <c r="G50" s="87"/>
      <c r="H50" s="391">
        <v>3</v>
      </c>
      <c r="I50" s="396">
        <f>タスキリレー!I53</f>
        <v>0</v>
      </c>
      <c r="J50" s="610" t="str">
        <f>タスキリレー!J53</f>
        <v/>
      </c>
      <c r="K50" s="606" t="str">
        <f>タスキリレー!K53</f>
        <v/>
      </c>
      <c r="L50" s="397" t="str">
        <f>タスキリレー!L53</f>
        <v/>
      </c>
      <c r="M50" s="402"/>
      <c r="N50" s="1140"/>
      <c r="O50" s="1140"/>
      <c r="P50" s="1140"/>
      <c r="Q50" s="1140"/>
      <c r="R50" s="1140"/>
      <c r="S50" s="1140"/>
    </row>
    <row r="51" spans="1:19">
      <c r="A51" s="391">
        <v>4</v>
      </c>
      <c r="B51" s="396">
        <f>タスキリレー!B54</f>
        <v>0</v>
      </c>
      <c r="C51" s="610" t="str">
        <f>タスキリレー!C54</f>
        <v/>
      </c>
      <c r="D51" s="606" t="str">
        <f>タスキリレー!D54</f>
        <v/>
      </c>
      <c r="E51" s="397" t="str">
        <f>タスキリレー!E54</f>
        <v/>
      </c>
      <c r="F51" s="402"/>
      <c r="G51" s="87"/>
      <c r="H51" s="391">
        <v>4</v>
      </c>
      <c r="I51" s="396">
        <f>タスキリレー!I54</f>
        <v>0</v>
      </c>
      <c r="J51" s="610" t="str">
        <f>タスキリレー!J54</f>
        <v/>
      </c>
      <c r="K51" s="606" t="str">
        <f>タスキリレー!K54</f>
        <v/>
      </c>
      <c r="L51" s="397" t="str">
        <f>タスキリレー!L54</f>
        <v/>
      </c>
      <c r="M51" s="402"/>
      <c r="N51" s="1140"/>
      <c r="O51" s="1140"/>
      <c r="P51" s="1140"/>
      <c r="Q51" s="1140"/>
      <c r="R51" s="1140"/>
      <c r="S51" s="1140"/>
    </row>
    <row r="52" spans="1:19">
      <c r="A52" s="391">
        <v>5</v>
      </c>
      <c r="B52" s="396">
        <f>タスキリレー!B55</f>
        <v>0</v>
      </c>
      <c r="C52" s="610" t="str">
        <f>タスキリレー!C55</f>
        <v/>
      </c>
      <c r="D52" s="606" t="str">
        <f>タスキリレー!D55</f>
        <v/>
      </c>
      <c r="E52" s="397" t="str">
        <f>タスキリレー!E55</f>
        <v/>
      </c>
      <c r="F52" s="402"/>
      <c r="G52" s="87"/>
      <c r="H52" s="391">
        <v>5</v>
      </c>
      <c r="I52" s="396">
        <f>タスキリレー!I55</f>
        <v>0</v>
      </c>
      <c r="J52" s="610" t="str">
        <f>タスキリレー!J55</f>
        <v/>
      </c>
      <c r="K52" s="606" t="str">
        <f>タスキリレー!K55</f>
        <v/>
      </c>
      <c r="L52" s="397" t="str">
        <f>タスキリレー!L55</f>
        <v/>
      </c>
      <c r="M52" s="402"/>
      <c r="N52" s="1140"/>
      <c r="O52" s="1140"/>
      <c r="P52" s="1140"/>
      <c r="Q52" s="1140"/>
      <c r="R52" s="1140"/>
      <c r="S52" s="1140"/>
    </row>
    <row r="53" spans="1:19">
      <c r="A53" s="391">
        <v>6</v>
      </c>
      <c r="B53" s="396">
        <f>タスキリレー!B56</f>
        <v>0</v>
      </c>
      <c r="C53" s="610" t="str">
        <f>タスキリレー!C56</f>
        <v/>
      </c>
      <c r="D53" s="606" t="str">
        <f>タスキリレー!D56</f>
        <v/>
      </c>
      <c r="E53" s="397" t="str">
        <f>タスキリレー!E56</f>
        <v/>
      </c>
      <c r="F53" s="402"/>
      <c r="G53" s="87"/>
      <c r="H53" s="391">
        <v>6</v>
      </c>
      <c r="I53" s="396">
        <f>タスキリレー!I56</f>
        <v>0</v>
      </c>
      <c r="J53" s="610" t="str">
        <f>タスキリレー!J56</f>
        <v/>
      </c>
      <c r="K53" s="606" t="str">
        <f>タスキリレー!K56</f>
        <v/>
      </c>
      <c r="L53" s="397" t="str">
        <f>タスキリレー!L56</f>
        <v/>
      </c>
      <c r="M53" s="402"/>
      <c r="N53" s="1140"/>
      <c r="O53" s="1140"/>
      <c r="P53" s="1140"/>
      <c r="Q53" s="1140"/>
      <c r="R53" s="1140"/>
      <c r="S53" s="1140"/>
    </row>
    <row r="54" spans="1:19">
      <c r="A54" s="391">
        <v>7</v>
      </c>
      <c r="B54" s="396">
        <f>タスキリレー!B57</f>
        <v>0</v>
      </c>
      <c r="C54" s="610" t="str">
        <f>タスキリレー!C57</f>
        <v/>
      </c>
      <c r="D54" s="606" t="str">
        <f>タスキリレー!D57</f>
        <v/>
      </c>
      <c r="E54" s="397" t="str">
        <f>タスキリレー!E57</f>
        <v/>
      </c>
      <c r="F54" s="402"/>
      <c r="G54" s="87"/>
      <c r="H54" s="391">
        <v>7</v>
      </c>
      <c r="I54" s="396">
        <f>タスキリレー!I57</f>
        <v>0</v>
      </c>
      <c r="J54" s="610" t="str">
        <f>タスキリレー!J57</f>
        <v/>
      </c>
      <c r="K54" s="606" t="str">
        <f>タスキリレー!K57</f>
        <v/>
      </c>
      <c r="L54" s="397" t="str">
        <f>タスキリレー!L57</f>
        <v/>
      </c>
      <c r="M54" s="402"/>
      <c r="N54" s="1140"/>
      <c r="O54" s="1140"/>
      <c r="P54" s="1140"/>
      <c r="Q54" s="1140"/>
      <c r="R54" s="1140"/>
      <c r="S54" s="1140"/>
    </row>
    <row r="55" spans="1:19" ht="14.25" thickBot="1">
      <c r="A55" s="392">
        <v>8</v>
      </c>
      <c r="B55" s="398">
        <f>タスキリレー!B58</f>
        <v>0</v>
      </c>
      <c r="C55" s="611" t="str">
        <f>タスキリレー!C58</f>
        <v/>
      </c>
      <c r="D55" s="607" t="str">
        <f>タスキリレー!D58</f>
        <v/>
      </c>
      <c r="E55" s="399" t="str">
        <f>タスキリレー!E58</f>
        <v/>
      </c>
      <c r="F55" s="403"/>
      <c r="G55" s="87"/>
      <c r="H55" s="392">
        <v>8</v>
      </c>
      <c r="I55" s="398">
        <f>タスキリレー!I58</f>
        <v>0</v>
      </c>
      <c r="J55" s="611" t="str">
        <f>タスキリレー!J58</f>
        <v/>
      </c>
      <c r="K55" s="607" t="str">
        <f>タスキリレー!K58</f>
        <v/>
      </c>
      <c r="L55" s="399" t="str">
        <f>タスキリレー!L58</f>
        <v/>
      </c>
      <c r="M55" s="403"/>
      <c r="N55" s="1140"/>
      <c r="O55" s="1140"/>
      <c r="P55" s="1140"/>
      <c r="Q55" s="1140"/>
      <c r="R55" s="1140"/>
      <c r="S55" s="1140"/>
    </row>
    <row r="56" spans="1:19">
      <c r="A56" s="87"/>
      <c r="B56" s="87"/>
      <c r="C56" s="87"/>
      <c r="D56" s="87"/>
      <c r="E56" s="88"/>
      <c r="F56" s="87"/>
      <c r="G56" s="87"/>
      <c r="H56" s="87"/>
      <c r="I56" s="87"/>
      <c r="J56" s="87"/>
      <c r="K56" s="87"/>
      <c r="L56" s="87"/>
      <c r="M56" s="87"/>
      <c r="N56" s="1140"/>
      <c r="O56" s="1140"/>
      <c r="P56" s="1140"/>
      <c r="Q56" s="1140"/>
      <c r="R56" s="1140"/>
      <c r="S56" s="1140"/>
    </row>
    <row r="57" spans="1:19">
      <c r="A57" s="87" t="s">
        <v>473</v>
      </c>
      <c r="B57" s="87"/>
      <c r="C57" s="87"/>
      <c r="D57" s="87"/>
      <c r="E57" s="88"/>
      <c r="F57" s="87"/>
      <c r="G57" s="87"/>
      <c r="H57" s="87"/>
      <c r="I57" s="87"/>
      <c r="J57" s="87"/>
      <c r="K57" s="87"/>
      <c r="L57" s="87"/>
      <c r="M57" s="87"/>
      <c r="N57" s="1140"/>
      <c r="O57" s="1140"/>
      <c r="P57" s="1140"/>
      <c r="Q57" s="1140"/>
      <c r="R57" s="1140"/>
      <c r="S57" s="1140"/>
    </row>
    <row r="58" spans="1:19">
      <c r="A58" s="87" t="s">
        <v>468</v>
      </c>
      <c r="B58" s="87"/>
      <c r="C58" s="87"/>
      <c r="D58" s="87"/>
      <c r="E58" s="88"/>
      <c r="F58" s="87"/>
      <c r="G58" s="87"/>
      <c r="H58" s="87"/>
      <c r="I58" s="87"/>
      <c r="J58" s="87"/>
      <c r="K58" s="87"/>
      <c r="L58" s="87"/>
      <c r="M58" s="87"/>
      <c r="N58" s="1140"/>
      <c r="O58" s="1140"/>
      <c r="P58" s="1140"/>
      <c r="Q58" s="1140"/>
      <c r="R58" s="1140"/>
      <c r="S58" s="1140"/>
    </row>
    <row r="59" spans="1:19">
      <c r="A59" s="87"/>
      <c r="B59" s="87"/>
      <c r="C59" s="87"/>
      <c r="D59" s="87"/>
      <c r="E59" s="88"/>
      <c r="F59" s="87"/>
      <c r="G59" s="87"/>
      <c r="H59" s="87"/>
      <c r="I59" s="87"/>
      <c r="J59" s="87"/>
      <c r="K59" s="87"/>
      <c r="L59" s="87"/>
      <c r="M59" s="87"/>
      <c r="N59" s="1140"/>
      <c r="O59" s="1140"/>
      <c r="P59" s="1140"/>
      <c r="Q59" s="1140"/>
      <c r="R59" s="1140"/>
      <c r="S59" s="1140"/>
    </row>
    <row r="60" spans="1:19">
      <c r="A60" s="87"/>
      <c r="B60" s="87"/>
      <c r="C60" s="87"/>
      <c r="D60" s="87"/>
      <c r="E60" s="88"/>
      <c r="F60" s="87"/>
      <c r="G60" s="87"/>
      <c r="H60" s="87"/>
      <c r="I60" s="87"/>
      <c r="J60" s="87"/>
      <c r="K60" s="87"/>
      <c r="L60" s="87"/>
      <c r="M60" s="87"/>
      <c r="N60" s="1140"/>
      <c r="O60" s="1140"/>
      <c r="P60" s="1140"/>
      <c r="Q60" s="1140"/>
      <c r="R60" s="1140"/>
      <c r="S60" s="1140"/>
    </row>
    <row r="61" spans="1:19">
      <c r="A61" s="87"/>
      <c r="B61" s="87"/>
      <c r="C61" s="87"/>
      <c r="D61" s="87"/>
      <c r="E61" s="88"/>
      <c r="F61" s="87"/>
      <c r="G61" s="87"/>
      <c r="H61" s="87"/>
      <c r="I61" s="87"/>
      <c r="J61" s="87"/>
      <c r="K61" s="87"/>
      <c r="L61" s="394" t="s">
        <v>474</v>
      </c>
      <c r="M61" s="394"/>
      <c r="N61" s="1140"/>
      <c r="O61" s="1140"/>
      <c r="P61" s="1140"/>
      <c r="Q61" s="1140"/>
      <c r="R61" s="1140"/>
      <c r="S61" s="1140"/>
    </row>
    <row r="62" spans="1:19">
      <c r="A62" s="87"/>
      <c r="B62" s="87"/>
      <c r="C62" s="87"/>
      <c r="D62" s="87"/>
      <c r="E62" s="88"/>
      <c r="F62" s="87"/>
      <c r="G62" s="87"/>
      <c r="H62" s="87"/>
      <c r="I62" s="87"/>
      <c r="J62" s="87"/>
      <c r="K62" s="87"/>
      <c r="L62" s="87"/>
      <c r="M62" s="87"/>
      <c r="N62" s="1140"/>
      <c r="O62" s="1140"/>
      <c r="P62" s="1140"/>
      <c r="Q62" s="1140"/>
      <c r="R62" s="1140"/>
      <c r="S62" s="1140"/>
    </row>
    <row r="63" spans="1:19">
      <c r="A63" s="87"/>
      <c r="B63" s="87"/>
      <c r="C63" s="87"/>
      <c r="D63" s="87"/>
      <c r="E63" s="88"/>
      <c r="F63" s="87"/>
      <c r="G63" s="87"/>
      <c r="H63" s="87"/>
      <c r="I63" s="87"/>
      <c r="J63" s="87"/>
      <c r="K63" s="87"/>
      <c r="L63" s="87"/>
      <c r="M63" s="87"/>
      <c r="N63" s="1140"/>
      <c r="O63" s="1140"/>
      <c r="P63" s="1140"/>
      <c r="Q63" s="1140"/>
      <c r="R63" s="1140"/>
      <c r="S63" s="1140"/>
    </row>
    <row r="64" spans="1:19">
      <c r="A64" s="87"/>
      <c r="B64" s="87"/>
      <c r="C64" s="87"/>
      <c r="D64" s="87"/>
      <c r="E64" s="88"/>
      <c r="F64" s="87"/>
      <c r="G64" s="87"/>
      <c r="H64" s="87"/>
      <c r="I64" s="87"/>
      <c r="J64" s="87"/>
      <c r="K64" s="87"/>
      <c r="L64" s="87"/>
      <c r="M64" s="87"/>
      <c r="N64" s="1140"/>
      <c r="O64" s="1140"/>
      <c r="P64" s="1140"/>
      <c r="Q64" s="1140"/>
      <c r="R64" s="1140"/>
      <c r="S64" s="1140"/>
    </row>
    <row r="65" spans="1:19">
      <c r="A65" s="87"/>
      <c r="B65" s="87"/>
      <c r="C65" s="87"/>
      <c r="D65" s="87"/>
      <c r="E65" s="88"/>
      <c r="F65" s="87"/>
      <c r="G65" s="87"/>
      <c r="H65" s="87"/>
      <c r="I65" s="87"/>
      <c r="J65" s="87"/>
      <c r="K65" s="87"/>
      <c r="L65" s="87"/>
      <c r="M65" s="87"/>
      <c r="N65" s="1140"/>
      <c r="O65" s="1140"/>
      <c r="P65" s="1140"/>
      <c r="Q65" s="1140"/>
      <c r="R65" s="1140"/>
      <c r="S65" s="1140"/>
    </row>
  </sheetData>
  <sheetProtection password="83D4" sheet="1" objects="1" scenarios="1"/>
  <mergeCells count="3">
    <mergeCell ref="B5:C5"/>
    <mergeCell ref="B7:C7"/>
    <mergeCell ref="B9:C9"/>
  </mergeCells>
  <phoneticPr fontId="5"/>
  <conditionalFormatting sqref="F37:F45 F48:F55 M37:M45 M48:M55">
    <cfRule type="cellIs" dxfId="118" priority="1" stopIfTrue="1" operator="greaterThan">
      <formula>5</formula>
    </cfRule>
  </conditionalFormatting>
  <conditionalFormatting sqref="F15:F23 F26:F33 M15:M23 M26:M33">
    <cfRule type="cellIs" dxfId="117" priority="2" stopIfTrue="1" operator="greaterThan">
      <formula>7</formula>
    </cfRule>
  </conditionalFormatting>
  <dataValidations count="2">
    <dataValidation allowBlank="1" showInputMessage="1" showErrorMessage="1" prompt="ここはフリガナを入力して下さい" sqref="D26:E33 K48:L55 K26:L33 K15:L23 K37:L45 D48:E55 D37:E45 D15:E23"/>
    <dataValidation imeMode="disabled" allowBlank="1" showInputMessage="1" showErrorMessage="1" sqref="F26:F33 M48:M55 M37:M45 M26:M33 M15:M23 F48:F55 F37:F45 F15:F23 D13 K13 D24 K24 D35 K35 D46 K46"/>
  </dataValidations>
  <pageMargins left="0.78700000000000003" right="0.78700000000000003" top="0.98399999999999999" bottom="0.98399999999999999" header="0.51200000000000001" footer="0.51200000000000001"/>
  <pageSetup paperSize="9" scale="78" orientation="portrait" verticalDpi="1200" r:id="rId1"/>
  <headerFooter alignWithMargins="0"/>
  <legacyDrawing r:id="rId2"/>
</worksheet>
</file>

<file path=xl/worksheets/sheet15.xml><?xml version="1.0" encoding="utf-8"?>
<worksheet xmlns="http://schemas.openxmlformats.org/spreadsheetml/2006/main" xmlns:r="http://schemas.openxmlformats.org/officeDocument/2006/relationships">
  <sheetPr codeName="Sheet17" enableFormatConditionsCalculation="0">
    <tabColor indexed="24"/>
    <pageSetUpPr fitToPage="1"/>
  </sheetPr>
  <dimension ref="A1:AT126"/>
  <sheetViews>
    <sheetView showGridLines="0" showZeros="0" topLeftCell="B1" zoomScaleNormal="100" workbookViewId="0">
      <selection activeCell="AK14" sqref="AK14"/>
    </sheetView>
  </sheetViews>
  <sheetFormatPr defaultColWidth="8.625" defaultRowHeight="13.5"/>
  <cols>
    <col min="1" max="1" width="8.625" style="40" hidden="1" customWidth="1"/>
    <col min="2" max="2" width="12.25" style="40" bestFit="1" customWidth="1"/>
    <col min="3" max="3" width="12.375" style="40" customWidth="1"/>
    <col min="4" max="4" width="10" style="40" hidden="1" customWidth="1"/>
    <col min="5" max="5" width="12.25" style="40" customWidth="1"/>
    <col min="6" max="7" width="8.625" style="40" hidden="1" customWidth="1"/>
    <col min="8" max="8" width="4.75" style="40" bestFit="1" customWidth="1"/>
    <col min="9" max="9" width="5.5" style="40" customWidth="1"/>
    <col min="10" max="10" width="5.5" style="98" hidden="1" customWidth="1"/>
    <col min="11" max="11" width="11.5" style="98" hidden="1" customWidth="1"/>
    <col min="12" max="12" width="12.25" style="98" hidden="1" customWidth="1"/>
    <col min="13" max="13" width="10.5" style="40" customWidth="1"/>
    <col min="14" max="14" width="16.5" style="93" customWidth="1"/>
    <col min="15" max="15" width="7.625" style="134" hidden="1" customWidth="1"/>
    <col min="16" max="16" width="12.375" style="95" customWidth="1"/>
    <col min="17" max="17" width="6.75" style="93" hidden="1" customWidth="1"/>
    <col min="18" max="18" width="6.75" style="94" hidden="1" customWidth="1"/>
    <col min="19" max="19" width="8.375" style="95" hidden="1" customWidth="1"/>
    <col min="20" max="20" width="5.875" style="93" hidden="1" customWidth="1"/>
    <col min="21" max="21" width="6.75" style="94" hidden="1" customWidth="1"/>
    <col min="22" max="22" width="5.875" style="95" hidden="1" customWidth="1"/>
    <col min="23" max="23" width="5.875" style="96" hidden="1" customWidth="1"/>
    <col min="24" max="24" width="6.75" style="40" hidden="1" customWidth="1"/>
    <col min="25" max="25" width="9.375" style="97" hidden="1" customWidth="1"/>
    <col min="26" max="26" width="5.875" style="96" hidden="1" customWidth="1"/>
    <col min="27" max="27" width="6.75" style="40" hidden="1" customWidth="1"/>
    <col min="28" max="28" width="3.875" style="97" hidden="1" customWidth="1"/>
    <col min="29" max="29" width="6.25" style="98" hidden="1" customWidth="1"/>
    <col min="30" max="30" width="5.25" style="98" hidden="1" customWidth="1"/>
    <col min="31" max="31" width="5" style="40" hidden="1" customWidth="1"/>
    <col min="32" max="32" width="11.25" style="40" hidden="1" customWidth="1"/>
    <col min="33" max="33" width="6.375" style="40" hidden="1" customWidth="1"/>
    <col min="34" max="34" width="7.25" style="99" bestFit="1" customWidth="1"/>
    <col min="35" max="35" width="8.625" style="99" customWidth="1"/>
    <col min="36" max="16384" width="8.625" style="40"/>
  </cols>
  <sheetData>
    <row r="1" spans="1:46" ht="27.75" customHeight="1">
      <c r="B1" s="1393" t="s">
        <v>610</v>
      </c>
      <c r="C1" s="1208">
        <f>IF(名簿!$O$4="","",名簿!$O$4)</f>
        <v>0</v>
      </c>
      <c r="D1" s="404"/>
      <c r="E1" s="348" t="str">
        <f>IF(名簿!$O$4="","所属名がありません選手入力に戻り、入力して下さい","")</f>
        <v/>
      </c>
      <c r="F1" s="404"/>
      <c r="G1" s="404"/>
      <c r="H1" s="405"/>
      <c r="I1" s="405"/>
      <c r="J1" s="406"/>
      <c r="K1" s="406"/>
      <c r="L1" s="406"/>
      <c r="M1" s="405"/>
      <c r="N1" s="405"/>
      <c r="O1" s="407"/>
      <c r="P1" s="408"/>
      <c r="Q1" s="409"/>
      <c r="R1" s="410"/>
      <c r="S1" s="411"/>
      <c r="T1" s="409"/>
      <c r="U1" s="410"/>
      <c r="V1" s="411"/>
      <c r="W1" s="412"/>
      <c r="X1" s="404"/>
      <c r="Y1" s="413"/>
      <c r="Z1" s="412"/>
      <c r="AA1" s="404"/>
      <c r="AB1" s="413"/>
      <c r="AC1" s="414"/>
      <c r="AD1" s="414"/>
      <c r="AE1" s="404"/>
      <c r="AF1" s="404"/>
      <c r="AG1" s="404"/>
      <c r="AH1" s="415"/>
      <c r="AI1" s="415"/>
      <c r="AJ1" s="404"/>
      <c r="AK1" s="1149"/>
      <c r="AL1" s="1149"/>
      <c r="AM1" s="1149"/>
      <c r="AN1" s="1149"/>
      <c r="AO1" s="1149"/>
      <c r="AP1" s="1149"/>
      <c r="AQ1" s="1149"/>
      <c r="AR1" s="1149"/>
      <c r="AS1" s="1149"/>
      <c r="AT1" s="1149"/>
    </row>
    <row r="2" spans="1:46" ht="26.25" customHeight="1">
      <c r="B2" s="1393"/>
      <c r="C2" s="416"/>
      <c r="D2" s="404"/>
      <c r="E2" s="1503" t="s">
        <v>841</v>
      </c>
      <c r="F2" s="1503"/>
      <c r="G2" s="1503"/>
      <c r="H2" s="1503"/>
      <c r="I2" s="1503"/>
      <c r="J2" s="1503"/>
      <c r="K2" s="1503"/>
      <c r="L2" s="1503"/>
      <c r="M2" s="1503"/>
      <c r="N2" s="1503"/>
      <c r="O2" s="1503"/>
      <c r="P2" s="1503"/>
      <c r="Q2" s="1503"/>
      <c r="R2" s="410"/>
      <c r="S2" s="420"/>
      <c r="T2" s="409"/>
      <c r="U2" s="410"/>
      <c r="V2" s="411"/>
      <c r="W2" s="412"/>
      <c r="X2" s="404"/>
      <c r="Y2" s="413"/>
      <c r="Z2" s="412"/>
      <c r="AA2" s="404"/>
      <c r="AB2" s="413"/>
      <c r="AC2" s="414"/>
      <c r="AD2" s="414"/>
      <c r="AE2" s="404"/>
      <c r="AF2" s="404"/>
      <c r="AG2" s="404"/>
      <c r="AH2" s="421"/>
      <c r="AI2" s="421"/>
      <c r="AJ2" s="404"/>
      <c r="AK2" s="1149"/>
      <c r="AL2" s="1149"/>
      <c r="AM2" s="1149"/>
      <c r="AN2" s="1149"/>
      <c r="AO2" s="1149"/>
      <c r="AP2" s="1149"/>
      <c r="AQ2" s="1149"/>
      <c r="AR2" s="1149"/>
      <c r="AS2" s="1149"/>
      <c r="AT2" s="1149"/>
    </row>
    <row r="3" spans="1:46" ht="26.25" customHeight="1" thickBot="1">
      <c r="B3" s="1394" t="s">
        <v>1217</v>
      </c>
      <c r="C3" s="272" t="str">
        <f>IF(名簿!$D$1="","",名簿!$D$1)</f>
        <v/>
      </c>
      <c r="D3" s="317"/>
      <c r="E3" s="404"/>
      <c r="F3" s="404"/>
      <c r="G3" s="404"/>
      <c r="H3" s="404"/>
      <c r="I3" s="422" t="s">
        <v>451</v>
      </c>
      <c r="J3" s="414"/>
      <c r="K3" s="414"/>
      <c r="L3" s="414"/>
      <c r="M3" s="404"/>
      <c r="N3" s="423">
        <f>AG117</f>
        <v>0</v>
      </c>
      <c r="O3" s="417"/>
      <c r="P3" s="418"/>
      <c r="Q3" s="419"/>
      <c r="R3" s="410"/>
      <c r="S3" s="420"/>
      <c r="T3" s="409"/>
      <c r="U3" s="410"/>
      <c r="V3" s="411"/>
      <c r="W3" s="412"/>
      <c r="X3" s="404"/>
      <c r="Y3" s="413"/>
      <c r="Z3" s="412"/>
      <c r="AA3" s="404"/>
      <c r="AB3" s="413"/>
      <c r="AC3" s="414"/>
      <c r="AD3" s="414"/>
      <c r="AE3" s="404"/>
      <c r="AF3" s="404"/>
      <c r="AG3" s="404"/>
      <c r="AH3" s="421"/>
      <c r="AI3" s="421"/>
      <c r="AJ3" s="404"/>
      <c r="AK3" s="1149"/>
      <c r="AL3" s="1149"/>
      <c r="AM3" s="1149"/>
      <c r="AN3" s="1149"/>
      <c r="AO3" s="1149"/>
      <c r="AP3" s="1149"/>
      <c r="AQ3" s="1149"/>
      <c r="AR3" s="1149"/>
      <c r="AS3" s="1149"/>
      <c r="AT3" s="1149"/>
    </row>
    <row r="4" spans="1:46" ht="26.25" customHeight="1" thickBot="1">
      <c r="B4" s="1394" t="s">
        <v>1218</v>
      </c>
      <c r="C4" s="272" t="str">
        <f>IF(名簿!$I$1="","",名簿!$I$1)</f>
        <v/>
      </c>
      <c r="D4" s="327"/>
      <c r="E4" s="404"/>
      <c r="F4" s="404"/>
      <c r="G4" s="404"/>
      <c r="H4" s="404"/>
      <c r="I4" s="422" t="s">
        <v>419</v>
      </c>
      <c r="J4" s="414"/>
      <c r="K4" s="414"/>
      <c r="L4" s="414"/>
      <c r="M4" s="404"/>
      <c r="N4" s="424">
        <f>AG117*500</f>
        <v>0</v>
      </c>
      <c r="O4" s="417"/>
      <c r="P4" s="418"/>
      <c r="Q4" s="419"/>
      <c r="R4" s="410"/>
      <c r="S4" s="420"/>
      <c r="T4" s="409"/>
      <c r="U4" s="410"/>
      <c r="V4" s="411"/>
      <c r="W4" s="412"/>
      <c r="X4" s="404"/>
      <c r="Y4" s="413"/>
      <c r="Z4" s="412"/>
      <c r="AA4" s="404"/>
      <c r="AB4" s="413"/>
      <c r="AC4" s="414"/>
      <c r="AD4" s="414"/>
      <c r="AE4" s="404"/>
      <c r="AF4" s="404"/>
      <c r="AG4" s="404"/>
      <c r="AH4" s="421"/>
      <c r="AI4" s="421"/>
      <c r="AJ4" s="404"/>
      <c r="AK4" s="1149"/>
      <c r="AL4" s="1149"/>
      <c r="AM4" s="1149"/>
      <c r="AN4" s="1149"/>
      <c r="AO4" s="1149"/>
      <c r="AP4" s="1149"/>
      <c r="AQ4" s="1149"/>
      <c r="AR4" s="1149"/>
      <c r="AS4" s="1149"/>
      <c r="AT4" s="1149"/>
    </row>
    <row r="5" spans="1:46" ht="26.25" customHeight="1" thickBot="1">
      <c r="B5" s="425"/>
      <c r="C5" s="404"/>
      <c r="D5" s="404"/>
      <c r="E5" s="404"/>
      <c r="F5" s="404"/>
      <c r="G5" s="404"/>
      <c r="H5" s="404"/>
      <c r="I5" s="404"/>
      <c r="J5" s="414"/>
      <c r="K5" s="414"/>
      <c r="L5" s="414"/>
      <c r="M5" s="404"/>
      <c r="N5" s="404"/>
      <c r="O5" s="417"/>
      <c r="P5" s="418"/>
      <c r="Q5" s="419"/>
      <c r="R5" s="410"/>
      <c r="S5" s="420"/>
      <c r="T5" s="409"/>
      <c r="U5" s="410"/>
      <c r="V5" s="411"/>
      <c r="W5" s="412"/>
      <c r="X5" s="404"/>
      <c r="Y5" s="413"/>
      <c r="Z5" s="412"/>
      <c r="AA5" s="404"/>
      <c r="AB5" s="413"/>
      <c r="AC5" s="414"/>
      <c r="AD5" s="414"/>
      <c r="AE5" s="404"/>
      <c r="AF5" s="404"/>
      <c r="AG5" s="404"/>
      <c r="AH5" s="421"/>
      <c r="AI5" s="421"/>
      <c r="AJ5" s="404"/>
      <c r="AK5" s="1149"/>
      <c r="AL5" s="1149"/>
      <c r="AM5" s="1149"/>
      <c r="AN5" s="1149"/>
      <c r="AO5" s="1149"/>
      <c r="AP5" s="1149"/>
      <c r="AQ5" s="1149"/>
      <c r="AR5" s="1149"/>
      <c r="AS5" s="1149"/>
      <c r="AT5" s="1149"/>
    </row>
    <row r="6" spans="1:46" s="114" customFormat="1" ht="14.25" thickBot="1">
      <c r="A6" s="100" t="s">
        <v>25</v>
      </c>
      <c r="B6" s="101" t="s">
        <v>21</v>
      </c>
      <c r="C6" s="102" t="s">
        <v>237</v>
      </c>
      <c r="D6" s="102" t="s">
        <v>26</v>
      </c>
      <c r="E6" s="102" t="s">
        <v>18</v>
      </c>
      <c r="F6" s="102" t="s">
        <v>16</v>
      </c>
      <c r="G6" s="102" t="s">
        <v>20</v>
      </c>
      <c r="H6" s="102" t="s">
        <v>19</v>
      </c>
      <c r="I6" s="102" t="s">
        <v>17</v>
      </c>
      <c r="J6" s="1269" t="s">
        <v>747</v>
      </c>
      <c r="K6" s="1269" t="s">
        <v>28</v>
      </c>
      <c r="L6" s="1269"/>
      <c r="M6" s="103" t="s">
        <v>1062</v>
      </c>
      <c r="N6" s="1265" t="s">
        <v>30</v>
      </c>
      <c r="O6" s="102" t="s">
        <v>244</v>
      </c>
      <c r="P6" s="103" t="s">
        <v>243</v>
      </c>
      <c r="Q6" s="104" t="s">
        <v>245</v>
      </c>
      <c r="R6" s="105" t="s">
        <v>244</v>
      </c>
      <c r="S6" s="106" t="s">
        <v>246</v>
      </c>
      <c r="T6" s="107" t="s">
        <v>213</v>
      </c>
      <c r="U6" s="105" t="s">
        <v>244</v>
      </c>
      <c r="V6" s="108" t="s">
        <v>247</v>
      </c>
      <c r="W6" s="109" t="s">
        <v>214</v>
      </c>
      <c r="X6" s="110" t="s">
        <v>244</v>
      </c>
      <c r="Y6" s="111" t="s">
        <v>248</v>
      </c>
      <c r="Z6" s="109" t="s">
        <v>215</v>
      </c>
      <c r="AA6" s="110" t="s">
        <v>244</v>
      </c>
      <c r="AB6" s="112" t="s">
        <v>249</v>
      </c>
      <c r="AC6" s="113" t="s">
        <v>29</v>
      </c>
      <c r="AD6" s="113"/>
      <c r="AF6" s="45" t="s">
        <v>326</v>
      </c>
      <c r="AH6" s="1501" t="s">
        <v>403</v>
      </c>
      <c r="AI6" s="1502"/>
      <c r="AJ6" s="427"/>
      <c r="AK6" s="1150"/>
      <c r="AL6" s="1150"/>
      <c r="AM6" s="1150"/>
      <c r="AN6" s="1150"/>
      <c r="AO6" s="1150"/>
      <c r="AP6" s="1150"/>
      <c r="AQ6" s="1150"/>
      <c r="AR6" s="1150"/>
      <c r="AS6" s="1150"/>
      <c r="AT6" s="1150"/>
    </row>
    <row r="7" spans="1:46">
      <c r="B7" s="428">
        <f>名簿!E4</f>
        <v>0</v>
      </c>
      <c r="C7" s="429" t="str">
        <f>名簿!CM4</f>
        <v/>
      </c>
      <c r="D7" s="429" t="str">
        <f>名簿!CM4</f>
        <v/>
      </c>
      <c r="E7" s="429" t="str">
        <f>名簿!Z4</f>
        <v/>
      </c>
      <c r="F7" s="429" t="e">
        <f>名簿!P4</f>
        <v>#N/A</v>
      </c>
      <c r="G7" s="429" t="e">
        <f>名簿!Q4</f>
        <v>#N/A</v>
      </c>
      <c r="H7" s="430" t="str">
        <f>名簿!Y4</f>
        <v/>
      </c>
      <c r="I7" s="430" t="str">
        <f>名簿!CN4</f>
        <v/>
      </c>
      <c r="J7" s="1042">
        <f>名簿!CP4</f>
        <v>0</v>
      </c>
      <c r="K7" s="1042" t="str">
        <f>名簿!CU4</f>
        <v>00</v>
      </c>
      <c r="L7" s="1042" t="str">
        <f>名簿!CU4</f>
        <v>00</v>
      </c>
      <c r="M7" s="1270">
        <f>名簿!D4</f>
        <v>0</v>
      </c>
      <c r="N7" s="1266"/>
      <c r="O7" s="287" t="str">
        <f>IF(N7="","",IF(H7=1,VLOOKUP(N7,男子種目コード!$V$23:$W$25,2,FALSE),IF(H7=2,VLOOKUP(N7,女子種目コード!$V$23:$W$25,2,FALSE))))</f>
        <v/>
      </c>
      <c r="P7" s="671" t="str">
        <f>IF(N7="","",HLOOKUP(N7,名簿!$AH$3:$CH$118,2,FALSE))</f>
        <v/>
      </c>
      <c r="Q7" s="115">
        <f>$C$1</f>
        <v>0</v>
      </c>
      <c r="R7" s="116" t="s">
        <v>793</v>
      </c>
      <c r="S7" s="117" t="str">
        <f>CONCATENATE(Q7,R7)</f>
        <v>0中学</v>
      </c>
      <c r="T7" s="115"/>
      <c r="U7" s="116"/>
      <c r="V7" s="118"/>
      <c r="W7" s="119"/>
      <c r="X7" s="120"/>
      <c r="Y7" s="121"/>
      <c r="Z7" s="122"/>
      <c r="AA7" s="120"/>
      <c r="AB7" s="123"/>
      <c r="AC7" s="98">
        <v>0</v>
      </c>
      <c r="AF7" s="45" t="s">
        <v>327</v>
      </c>
      <c r="AG7" s="40" t="str">
        <f>IF(N7="","",1)</f>
        <v/>
      </c>
      <c r="AH7" s="130" t="s">
        <v>611</v>
      </c>
      <c r="AI7" s="131">
        <f>COUNTIF($O$7:$O$116,4)</f>
        <v>0</v>
      </c>
      <c r="AJ7" s="404"/>
      <c r="AK7" s="1149"/>
      <c r="AL7" s="1149"/>
      <c r="AM7" s="1149"/>
      <c r="AN7" s="1149"/>
      <c r="AO7" s="1149"/>
      <c r="AP7" s="1149"/>
      <c r="AQ7" s="1149"/>
      <c r="AR7" s="1149"/>
      <c r="AS7" s="1149"/>
      <c r="AT7" s="1149"/>
    </row>
    <row r="8" spans="1:46" ht="14.25" thickBot="1">
      <c r="B8" s="431">
        <f>名簿!E5</f>
        <v>0</v>
      </c>
      <c r="C8" s="432" t="str">
        <f>名簿!CM5</f>
        <v/>
      </c>
      <c r="D8" s="432" t="str">
        <f>名簿!CM5</f>
        <v/>
      </c>
      <c r="E8" s="432" t="str">
        <f>名簿!Z5</f>
        <v/>
      </c>
      <c r="F8" s="432" t="str">
        <f>名簿!P5</f>
        <v/>
      </c>
      <c r="G8" s="432" t="str">
        <f>名簿!Q5</f>
        <v/>
      </c>
      <c r="H8" s="433" t="str">
        <f>名簿!Y5</f>
        <v/>
      </c>
      <c r="I8" s="433" t="str">
        <f>名簿!CN5</f>
        <v/>
      </c>
      <c r="J8" s="1044">
        <f>名簿!CP5</f>
        <v>0</v>
      </c>
      <c r="K8" s="1044" t="str">
        <f>名簿!CU5</f>
        <v>00</v>
      </c>
      <c r="L8" s="1044" t="str">
        <f>名簿!CU5</f>
        <v>00</v>
      </c>
      <c r="M8" s="1271">
        <f>名簿!D5</f>
        <v>0</v>
      </c>
      <c r="N8" s="1267"/>
      <c r="O8" s="292" t="str">
        <f>IF(N8="","",IF(H8=1,VLOOKUP(N8,男子種目コード!$V$23:$W$25,2,FALSE),IF(H8=2,VLOOKUP(N8,女子種目コード!$V$23:$W$25,2,FALSE))))</f>
        <v/>
      </c>
      <c r="P8" s="669" t="str">
        <f>IF(N8="","",HLOOKUP(N8,名簿!$AH$3:$CH$118,3,FALSE))</f>
        <v/>
      </c>
      <c r="Q8" s="115">
        <f t="shared" ref="Q8:Q71" si="0">$C$1</f>
        <v>0</v>
      </c>
      <c r="R8" s="116" t="s">
        <v>793</v>
      </c>
      <c r="S8" s="117" t="str">
        <f t="shared" ref="S8:S71" si="1">CONCATENATE(Q8,R8)</f>
        <v>0中学</v>
      </c>
      <c r="T8" s="125"/>
      <c r="U8" s="124"/>
      <c r="V8" s="118"/>
      <c r="W8" s="126"/>
      <c r="X8" s="127"/>
      <c r="Y8" s="121"/>
      <c r="Z8" s="128"/>
      <c r="AA8" s="127"/>
      <c r="AB8" s="123"/>
      <c r="AC8" s="98">
        <v>0</v>
      </c>
      <c r="AF8" s="129"/>
      <c r="AG8" s="40" t="str">
        <f t="shared" ref="AG8:AG20" si="2">IF(N8="","",1)</f>
        <v/>
      </c>
      <c r="AH8" s="132" t="s">
        <v>612</v>
      </c>
      <c r="AI8" s="133">
        <f>COUNTIF($O$7:$O$116,8)</f>
        <v>0</v>
      </c>
      <c r="AJ8" s="404"/>
      <c r="AK8" s="1149"/>
      <c r="AL8" s="1149"/>
      <c r="AM8" s="1149"/>
      <c r="AN8" s="1149"/>
      <c r="AO8" s="1149"/>
      <c r="AP8" s="1149"/>
      <c r="AQ8" s="1149"/>
      <c r="AR8" s="1149"/>
      <c r="AS8" s="1149"/>
      <c r="AT8" s="1149"/>
    </row>
    <row r="9" spans="1:46" ht="14.25" thickBot="1">
      <c r="B9" s="431">
        <f>名簿!E6</f>
        <v>0</v>
      </c>
      <c r="C9" s="432" t="str">
        <f>名簿!CM6</f>
        <v/>
      </c>
      <c r="D9" s="432" t="str">
        <f>名簿!CM6</f>
        <v/>
      </c>
      <c r="E9" s="432" t="str">
        <f>名簿!Z6</f>
        <v/>
      </c>
      <c r="F9" s="432" t="str">
        <f>名簿!P6</f>
        <v/>
      </c>
      <c r="G9" s="432" t="str">
        <f>名簿!Q6</f>
        <v/>
      </c>
      <c r="H9" s="433" t="str">
        <f>名簿!Y6</f>
        <v/>
      </c>
      <c r="I9" s="433" t="str">
        <f>名簿!CN6</f>
        <v/>
      </c>
      <c r="J9" s="1044">
        <f>名簿!CP6</f>
        <v>0</v>
      </c>
      <c r="K9" s="1044" t="str">
        <f>名簿!CU6</f>
        <v>00</v>
      </c>
      <c r="L9" s="1044" t="str">
        <f>名簿!CU6</f>
        <v>00</v>
      </c>
      <c r="M9" s="1271">
        <f>名簿!D6</f>
        <v>0</v>
      </c>
      <c r="N9" s="1267"/>
      <c r="O9" s="292" t="str">
        <f>IF(N9="","",IF(H9=1,VLOOKUP(N9,男子種目コード!$V$23:$W$25,2,FALSE),IF(H9=2,VLOOKUP(N9,女子種目コード!$V$23:$W$25,2,FALSE))))</f>
        <v/>
      </c>
      <c r="P9" s="669" t="str">
        <f>IF(N9="","",HLOOKUP(N9,名簿!$AH$3:$CH$118,4,FALSE))</f>
        <v/>
      </c>
      <c r="Q9" s="115">
        <f t="shared" si="0"/>
        <v>0</v>
      </c>
      <c r="R9" s="116" t="s">
        <v>793</v>
      </c>
      <c r="S9" s="117" t="str">
        <f t="shared" si="1"/>
        <v>0中学</v>
      </c>
      <c r="T9" s="125"/>
      <c r="U9" s="124"/>
      <c r="V9" s="118"/>
      <c r="W9" s="126"/>
      <c r="X9" s="127"/>
      <c r="Y9" s="121"/>
      <c r="Z9" s="128"/>
      <c r="AA9" s="127"/>
      <c r="AB9" s="123"/>
      <c r="AC9" s="98">
        <v>0</v>
      </c>
      <c r="AF9" s="129"/>
      <c r="AG9" s="40" t="str">
        <f t="shared" si="2"/>
        <v/>
      </c>
      <c r="AH9" s="207" t="s">
        <v>450</v>
      </c>
      <c r="AI9" s="208">
        <f>SUM(AI7:AI8)</f>
        <v>0</v>
      </c>
      <c r="AJ9" s="404"/>
      <c r="AK9" s="1149"/>
      <c r="AL9" s="1149"/>
      <c r="AM9" s="1149"/>
      <c r="AN9" s="1149"/>
      <c r="AO9" s="1149"/>
      <c r="AP9" s="1149"/>
      <c r="AQ9" s="1149"/>
      <c r="AR9" s="1149"/>
      <c r="AS9" s="1149"/>
      <c r="AT9" s="1149"/>
    </row>
    <row r="10" spans="1:46">
      <c r="B10" s="431">
        <f>名簿!E7</f>
        <v>0</v>
      </c>
      <c r="C10" s="432" t="str">
        <f>名簿!CM7</f>
        <v/>
      </c>
      <c r="D10" s="432" t="str">
        <f>名簿!CM7</f>
        <v/>
      </c>
      <c r="E10" s="432" t="str">
        <f>名簿!Z7</f>
        <v/>
      </c>
      <c r="F10" s="432" t="str">
        <f>名簿!P7</f>
        <v/>
      </c>
      <c r="G10" s="432" t="str">
        <f>名簿!Q7</f>
        <v/>
      </c>
      <c r="H10" s="433" t="str">
        <f>名簿!Y7</f>
        <v/>
      </c>
      <c r="I10" s="433" t="str">
        <f>名簿!CN7</f>
        <v/>
      </c>
      <c r="J10" s="1044">
        <f>名簿!CP7</f>
        <v>0</v>
      </c>
      <c r="K10" s="1044" t="str">
        <f>名簿!CU7</f>
        <v>00</v>
      </c>
      <c r="L10" s="1044" t="str">
        <f>名簿!CU7</f>
        <v>00</v>
      </c>
      <c r="M10" s="1271">
        <f>名簿!D7</f>
        <v>0</v>
      </c>
      <c r="N10" s="1267"/>
      <c r="O10" s="292" t="str">
        <f>IF(N10="","",IF(H10=1,VLOOKUP(N10,男子種目コード!$V$23:$W$25,2,FALSE),IF(H10=2,VLOOKUP(N10,女子種目コード!$V$23:$W$25,2,FALSE))))</f>
        <v/>
      </c>
      <c r="P10" s="669" t="str">
        <f>IF(N10="","",HLOOKUP(N10,名簿!$AH$3:$CH$118,5,FALSE))</f>
        <v/>
      </c>
      <c r="Q10" s="115">
        <f t="shared" si="0"/>
        <v>0</v>
      </c>
      <c r="R10" s="116" t="s">
        <v>793</v>
      </c>
      <c r="S10" s="117" t="str">
        <f t="shared" si="1"/>
        <v>0中学</v>
      </c>
      <c r="T10" s="125"/>
      <c r="U10" s="124"/>
      <c r="V10" s="118"/>
      <c r="W10" s="126"/>
      <c r="X10" s="127"/>
      <c r="Y10" s="121"/>
      <c r="Z10" s="128"/>
      <c r="AA10" s="127"/>
      <c r="AB10" s="123"/>
      <c r="AC10" s="98">
        <v>0</v>
      </c>
      <c r="AF10" s="129"/>
      <c r="AG10" s="40" t="str">
        <f t="shared" si="2"/>
        <v/>
      </c>
      <c r="AH10" s="415"/>
      <c r="AI10" s="415"/>
      <c r="AJ10" s="404"/>
      <c r="AK10" s="1149"/>
      <c r="AL10" s="1149"/>
      <c r="AM10" s="1149"/>
      <c r="AN10" s="1149"/>
      <c r="AO10" s="1149"/>
      <c r="AP10" s="1149"/>
      <c r="AQ10" s="1149"/>
      <c r="AR10" s="1149"/>
      <c r="AS10" s="1149"/>
      <c r="AT10" s="1149"/>
    </row>
    <row r="11" spans="1:46">
      <c r="B11" s="431">
        <f>名簿!E8</f>
        <v>0</v>
      </c>
      <c r="C11" s="432" t="str">
        <f>名簿!CM8</f>
        <v/>
      </c>
      <c r="D11" s="432" t="str">
        <f>名簿!CM8</f>
        <v/>
      </c>
      <c r="E11" s="432" t="str">
        <f>名簿!Z8</f>
        <v/>
      </c>
      <c r="F11" s="432" t="str">
        <f>名簿!P8</f>
        <v/>
      </c>
      <c r="G11" s="432" t="str">
        <f>名簿!Q8</f>
        <v/>
      </c>
      <c r="H11" s="433" t="str">
        <f>名簿!Y8</f>
        <v/>
      </c>
      <c r="I11" s="433" t="str">
        <f>名簿!CN8</f>
        <v/>
      </c>
      <c r="J11" s="1044">
        <f>名簿!CP8</f>
        <v>0</v>
      </c>
      <c r="K11" s="1044" t="str">
        <f>名簿!CU8</f>
        <v>00</v>
      </c>
      <c r="L11" s="1044" t="str">
        <f>名簿!CU8</f>
        <v>00</v>
      </c>
      <c r="M11" s="1271">
        <f>名簿!D8</f>
        <v>0</v>
      </c>
      <c r="N11" s="1267"/>
      <c r="O11" s="292" t="str">
        <f>IF(N11="","",IF(H11=1,VLOOKUP(N11,男子種目コード!$V$23:$W$25,2,FALSE),IF(H11=2,VLOOKUP(N11,女子種目コード!$V$23:$W$25,2,FALSE))))</f>
        <v/>
      </c>
      <c r="P11" s="669" t="str">
        <f>IF(N11="","",HLOOKUP(N11,名簿!$AH$3:$CH$118,6,FALSE))</f>
        <v/>
      </c>
      <c r="Q11" s="115">
        <f t="shared" si="0"/>
        <v>0</v>
      </c>
      <c r="R11" s="116" t="s">
        <v>793</v>
      </c>
      <c r="S11" s="117" t="str">
        <f t="shared" si="1"/>
        <v>0中学</v>
      </c>
      <c r="T11" s="125"/>
      <c r="U11" s="124"/>
      <c r="V11" s="118"/>
      <c r="W11" s="126"/>
      <c r="X11" s="127"/>
      <c r="Y11" s="121"/>
      <c r="Z11" s="128"/>
      <c r="AA11" s="127"/>
      <c r="AB11" s="123"/>
      <c r="AC11" s="98">
        <v>0</v>
      </c>
      <c r="AF11" s="129"/>
      <c r="AG11" s="40" t="str">
        <f t="shared" si="2"/>
        <v/>
      </c>
      <c r="AH11" s="672" t="s">
        <v>710</v>
      </c>
      <c r="AI11" s="672"/>
      <c r="AJ11" s="673"/>
      <c r="AK11" s="1149"/>
      <c r="AL11" s="1149"/>
      <c r="AM11" s="1149"/>
      <c r="AN11" s="1149"/>
      <c r="AO11" s="1149"/>
      <c r="AP11" s="1149"/>
      <c r="AQ11" s="1149"/>
      <c r="AR11" s="1149"/>
      <c r="AS11" s="1149"/>
      <c r="AT11" s="1149"/>
    </row>
    <row r="12" spans="1:46">
      <c r="B12" s="431">
        <f>名簿!E9</f>
        <v>0</v>
      </c>
      <c r="C12" s="432" t="str">
        <f>名簿!CM9</f>
        <v/>
      </c>
      <c r="D12" s="432" t="str">
        <f>名簿!CM9</f>
        <v/>
      </c>
      <c r="E12" s="432" t="str">
        <f>名簿!Z9</f>
        <v/>
      </c>
      <c r="F12" s="432" t="str">
        <f>名簿!P9</f>
        <v/>
      </c>
      <c r="G12" s="432" t="str">
        <f>名簿!Q9</f>
        <v/>
      </c>
      <c r="H12" s="433" t="str">
        <f>名簿!Y9</f>
        <v/>
      </c>
      <c r="I12" s="433" t="str">
        <f>名簿!CN9</f>
        <v/>
      </c>
      <c r="J12" s="1044">
        <f>名簿!CP9</f>
        <v>0</v>
      </c>
      <c r="K12" s="1044" t="str">
        <f>名簿!CU9</f>
        <v>00</v>
      </c>
      <c r="L12" s="1044" t="str">
        <f>名簿!CU9</f>
        <v>00</v>
      </c>
      <c r="M12" s="1271">
        <f>名簿!D9</f>
        <v>0</v>
      </c>
      <c r="N12" s="1267"/>
      <c r="O12" s="292" t="str">
        <f>IF(N12="","",IF(H12=1,VLOOKUP(N12,男子種目コード!$V$23:$W$25,2,FALSE),IF(H12=2,VLOOKUP(N12,女子種目コード!$V$23:$W$25,2,FALSE))))</f>
        <v/>
      </c>
      <c r="P12" s="669" t="str">
        <f>IF(N12="","",HLOOKUP(N12,名簿!$AH$3:$CH$118,7,FALSE))</f>
        <v/>
      </c>
      <c r="Q12" s="115">
        <f t="shared" si="0"/>
        <v>0</v>
      </c>
      <c r="R12" s="116" t="s">
        <v>793</v>
      </c>
      <c r="S12" s="117" t="str">
        <f t="shared" si="1"/>
        <v>0中学</v>
      </c>
      <c r="T12" s="125"/>
      <c r="U12" s="124"/>
      <c r="V12" s="118"/>
      <c r="W12" s="126"/>
      <c r="X12" s="127"/>
      <c r="Y12" s="121"/>
      <c r="Z12" s="128"/>
      <c r="AA12" s="127"/>
      <c r="AB12" s="123"/>
      <c r="AC12" s="98">
        <v>0</v>
      </c>
      <c r="AF12" s="129"/>
      <c r="AG12" s="40" t="str">
        <f t="shared" si="2"/>
        <v/>
      </c>
      <c r="AH12" s="672" t="s">
        <v>711</v>
      </c>
      <c r="AI12" s="672"/>
      <c r="AJ12" s="673"/>
      <c r="AK12" s="1149"/>
      <c r="AL12" s="1149"/>
      <c r="AM12" s="1149"/>
      <c r="AN12" s="1149"/>
      <c r="AO12" s="1149"/>
      <c r="AP12" s="1149"/>
      <c r="AQ12" s="1149"/>
      <c r="AR12" s="1149"/>
      <c r="AS12" s="1149"/>
      <c r="AT12" s="1149"/>
    </row>
    <row r="13" spans="1:46">
      <c r="B13" s="431">
        <f>名簿!E10</f>
        <v>0</v>
      </c>
      <c r="C13" s="432" t="str">
        <f>名簿!CM10</f>
        <v/>
      </c>
      <c r="D13" s="432" t="str">
        <f>名簿!CM10</f>
        <v/>
      </c>
      <c r="E13" s="432" t="str">
        <f>名簿!Z10</f>
        <v/>
      </c>
      <c r="F13" s="432" t="str">
        <f>名簿!P10</f>
        <v/>
      </c>
      <c r="G13" s="432" t="str">
        <f>名簿!Q10</f>
        <v/>
      </c>
      <c r="H13" s="433" t="str">
        <f>名簿!Y10</f>
        <v/>
      </c>
      <c r="I13" s="433" t="str">
        <f>名簿!CN10</f>
        <v/>
      </c>
      <c r="J13" s="1044">
        <f>名簿!CP10</f>
        <v>0</v>
      </c>
      <c r="K13" s="1044" t="str">
        <f>名簿!CU10</f>
        <v>00</v>
      </c>
      <c r="L13" s="1044" t="str">
        <f>名簿!CU10</f>
        <v>00</v>
      </c>
      <c r="M13" s="1271">
        <f>名簿!D10</f>
        <v>0</v>
      </c>
      <c r="N13" s="1267"/>
      <c r="O13" s="292" t="str">
        <f>IF(N13="","",IF(H13=1,VLOOKUP(N13,男子種目コード!$V$23:$W$25,2,FALSE),IF(H13=2,VLOOKUP(N13,女子種目コード!$V$23:$W$25,2,FALSE))))</f>
        <v/>
      </c>
      <c r="P13" s="669" t="str">
        <f>IF(N13="","",HLOOKUP(N13,名簿!$AH$3:$CH$118,8,FALSE))</f>
        <v/>
      </c>
      <c r="Q13" s="115">
        <f t="shared" si="0"/>
        <v>0</v>
      </c>
      <c r="R13" s="116" t="s">
        <v>793</v>
      </c>
      <c r="S13" s="117" t="str">
        <f t="shared" si="1"/>
        <v>0中学</v>
      </c>
      <c r="T13" s="125"/>
      <c r="U13" s="124"/>
      <c r="V13" s="118"/>
      <c r="W13" s="126"/>
      <c r="X13" s="127"/>
      <c r="Y13" s="121"/>
      <c r="Z13" s="128"/>
      <c r="AA13" s="127"/>
      <c r="AB13" s="123"/>
      <c r="AC13" s="98">
        <v>0</v>
      </c>
      <c r="AF13" s="129"/>
      <c r="AG13" s="40" t="str">
        <f t="shared" si="2"/>
        <v/>
      </c>
      <c r="AH13" s="415"/>
      <c r="AI13" s="415"/>
      <c r="AJ13" s="404"/>
      <c r="AK13" s="1149"/>
      <c r="AL13" s="1149"/>
      <c r="AM13" s="1149"/>
      <c r="AN13" s="1149"/>
      <c r="AO13" s="1149"/>
      <c r="AP13" s="1149"/>
      <c r="AQ13" s="1149"/>
      <c r="AR13" s="1149"/>
      <c r="AS13" s="1149"/>
      <c r="AT13" s="1149"/>
    </row>
    <row r="14" spans="1:46">
      <c r="B14" s="431">
        <f>名簿!E11</f>
        <v>0</v>
      </c>
      <c r="C14" s="432" t="str">
        <f>名簿!CM11</f>
        <v/>
      </c>
      <c r="D14" s="432" t="str">
        <f>名簿!CM11</f>
        <v/>
      </c>
      <c r="E14" s="432" t="str">
        <f>名簿!Z11</f>
        <v/>
      </c>
      <c r="F14" s="432" t="str">
        <f>名簿!P11</f>
        <v/>
      </c>
      <c r="G14" s="432" t="str">
        <f>名簿!Q11</f>
        <v/>
      </c>
      <c r="H14" s="433" t="str">
        <f>名簿!Y11</f>
        <v/>
      </c>
      <c r="I14" s="433" t="str">
        <f>名簿!CN11</f>
        <v/>
      </c>
      <c r="J14" s="1044">
        <f>名簿!CP11</f>
        <v>0</v>
      </c>
      <c r="K14" s="1044" t="str">
        <f>名簿!CU11</f>
        <v>00</v>
      </c>
      <c r="L14" s="1044" t="str">
        <f>名簿!CU11</f>
        <v>00</v>
      </c>
      <c r="M14" s="1271">
        <f>名簿!D11</f>
        <v>0</v>
      </c>
      <c r="N14" s="1267"/>
      <c r="O14" s="292" t="str">
        <f>IF(N14="","",IF(H14=1,VLOOKUP(N14,男子種目コード!$V$23:$W$25,2,FALSE),IF(H14=2,VLOOKUP(N14,女子種目コード!$V$23:$W$25,2,FALSE))))</f>
        <v/>
      </c>
      <c r="P14" s="669" t="str">
        <f>IF(N14="","",HLOOKUP(N14,名簿!$AH$3:$CH$118,9,FALSE))</f>
        <v/>
      </c>
      <c r="Q14" s="115">
        <f t="shared" si="0"/>
        <v>0</v>
      </c>
      <c r="R14" s="116" t="s">
        <v>793</v>
      </c>
      <c r="S14" s="117" t="str">
        <f t="shared" si="1"/>
        <v>0中学</v>
      </c>
      <c r="T14" s="125"/>
      <c r="U14" s="124"/>
      <c r="V14" s="118"/>
      <c r="W14" s="126"/>
      <c r="X14" s="127"/>
      <c r="Y14" s="121"/>
      <c r="Z14" s="128"/>
      <c r="AA14" s="127"/>
      <c r="AB14" s="123"/>
      <c r="AC14" s="98">
        <v>0</v>
      </c>
      <c r="AG14" s="40" t="str">
        <f t="shared" si="2"/>
        <v/>
      </c>
      <c r="AH14" s="415"/>
      <c r="AI14" s="415"/>
      <c r="AJ14" s="404"/>
      <c r="AK14" s="1149"/>
      <c r="AL14" s="1149"/>
      <c r="AM14" s="1149"/>
      <c r="AN14" s="1149"/>
      <c r="AO14" s="1149"/>
      <c r="AP14" s="1149"/>
      <c r="AQ14" s="1149"/>
      <c r="AR14" s="1149"/>
      <c r="AS14" s="1149"/>
      <c r="AT14" s="1149"/>
    </row>
    <row r="15" spans="1:46">
      <c r="B15" s="431">
        <f>名簿!E12</f>
        <v>0</v>
      </c>
      <c r="C15" s="432" t="str">
        <f>名簿!CM12</f>
        <v/>
      </c>
      <c r="D15" s="432" t="str">
        <f>名簿!CM12</f>
        <v/>
      </c>
      <c r="E15" s="432" t="str">
        <f>名簿!Z12</f>
        <v/>
      </c>
      <c r="F15" s="432" t="str">
        <f>名簿!P12</f>
        <v/>
      </c>
      <c r="G15" s="432" t="str">
        <f>名簿!Q12</f>
        <v/>
      </c>
      <c r="H15" s="433" t="str">
        <f>名簿!Y12</f>
        <v/>
      </c>
      <c r="I15" s="433" t="str">
        <f>名簿!CN12</f>
        <v/>
      </c>
      <c r="J15" s="1044">
        <f>名簿!CP12</f>
        <v>0</v>
      </c>
      <c r="K15" s="1044" t="str">
        <f>名簿!CU12</f>
        <v>00</v>
      </c>
      <c r="L15" s="1044" t="str">
        <f>名簿!CU12</f>
        <v>00</v>
      </c>
      <c r="M15" s="1271">
        <f>名簿!D12</f>
        <v>0</v>
      </c>
      <c r="N15" s="1267"/>
      <c r="O15" s="292" t="str">
        <f>IF(N15="","",IF(H15=1,VLOOKUP(N15,男子種目コード!$V$23:$W$25,2,FALSE),IF(H15=2,VLOOKUP(N15,女子種目コード!$V$23:$W$25,2,FALSE))))</f>
        <v/>
      </c>
      <c r="P15" s="669" t="str">
        <f>IF(N15="","",HLOOKUP(N15,名簿!$AH$3:$CH$118,10,FALSE))</f>
        <v/>
      </c>
      <c r="Q15" s="115">
        <f t="shared" si="0"/>
        <v>0</v>
      </c>
      <c r="R15" s="116" t="s">
        <v>793</v>
      </c>
      <c r="S15" s="117" t="str">
        <f t="shared" si="1"/>
        <v>0中学</v>
      </c>
      <c r="T15" s="125"/>
      <c r="U15" s="124"/>
      <c r="V15" s="118"/>
      <c r="W15" s="126"/>
      <c r="X15" s="127"/>
      <c r="Y15" s="121"/>
      <c r="Z15" s="128"/>
      <c r="AA15" s="127"/>
      <c r="AB15" s="123"/>
      <c r="AC15" s="98">
        <v>0</v>
      </c>
      <c r="AG15" s="40" t="str">
        <f t="shared" si="2"/>
        <v/>
      </c>
      <c r="AH15" s="415"/>
      <c r="AI15" s="415"/>
      <c r="AJ15" s="404"/>
      <c r="AK15" s="1149"/>
      <c r="AL15" s="1149"/>
      <c r="AM15" s="1149"/>
      <c r="AN15" s="1149"/>
      <c r="AO15" s="1149"/>
      <c r="AP15" s="1149"/>
      <c r="AQ15" s="1149"/>
      <c r="AR15" s="1149"/>
      <c r="AS15" s="1149"/>
      <c r="AT15" s="1149"/>
    </row>
    <row r="16" spans="1:46">
      <c r="B16" s="431">
        <f>名簿!E13</f>
        <v>0</v>
      </c>
      <c r="C16" s="432" t="str">
        <f>名簿!CM13</f>
        <v/>
      </c>
      <c r="D16" s="432" t="str">
        <f>名簿!CM13</f>
        <v/>
      </c>
      <c r="E16" s="432" t="str">
        <f>名簿!Z13</f>
        <v/>
      </c>
      <c r="F16" s="432" t="str">
        <f>名簿!P13</f>
        <v/>
      </c>
      <c r="G16" s="432" t="str">
        <f>名簿!Q13</f>
        <v/>
      </c>
      <c r="H16" s="433" t="str">
        <f>名簿!Y13</f>
        <v/>
      </c>
      <c r="I16" s="433" t="str">
        <f>名簿!CN13</f>
        <v/>
      </c>
      <c r="J16" s="1044">
        <f>名簿!CP13</f>
        <v>0</v>
      </c>
      <c r="K16" s="1044" t="str">
        <f>名簿!CU13</f>
        <v>00</v>
      </c>
      <c r="L16" s="1044" t="str">
        <f>名簿!CU13</f>
        <v>00</v>
      </c>
      <c r="M16" s="1271">
        <f>名簿!D13</f>
        <v>0</v>
      </c>
      <c r="N16" s="1267"/>
      <c r="O16" s="292" t="str">
        <f>IF(N16="","",IF(H16=1,VLOOKUP(N16,男子種目コード!$V$23:$W$25,2,FALSE),IF(H16=2,VLOOKUP(N16,女子種目コード!$V$23:$W$25,2,FALSE))))</f>
        <v/>
      </c>
      <c r="P16" s="669" t="str">
        <f>IF(N16="","",HLOOKUP(N16,名簿!$AH$3:$CH$118,11,FALSE))</f>
        <v/>
      </c>
      <c r="Q16" s="115">
        <f t="shared" si="0"/>
        <v>0</v>
      </c>
      <c r="R16" s="116" t="s">
        <v>793</v>
      </c>
      <c r="S16" s="117" t="str">
        <f t="shared" si="1"/>
        <v>0中学</v>
      </c>
      <c r="T16" s="125"/>
      <c r="U16" s="124"/>
      <c r="V16" s="118"/>
      <c r="W16" s="126"/>
      <c r="X16" s="127"/>
      <c r="Y16" s="121"/>
      <c r="Z16" s="128"/>
      <c r="AA16" s="127"/>
      <c r="AB16" s="123"/>
      <c r="AC16" s="98">
        <v>0</v>
      </c>
      <c r="AG16" s="40" t="str">
        <f t="shared" si="2"/>
        <v/>
      </c>
      <c r="AH16" s="415"/>
      <c r="AI16" s="415"/>
      <c r="AJ16" s="404"/>
      <c r="AK16" s="1149"/>
      <c r="AL16" s="1149"/>
      <c r="AM16" s="1149"/>
      <c r="AN16" s="1149"/>
      <c r="AO16" s="1149"/>
      <c r="AP16" s="1149"/>
      <c r="AQ16" s="1149"/>
      <c r="AR16" s="1149"/>
      <c r="AS16" s="1149"/>
      <c r="AT16" s="1149"/>
    </row>
    <row r="17" spans="2:46">
      <c r="B17" s="431">
        <f>名簿!E14</f>
        <v>0</v>
      </c>
      <c r="C17" s="432" t="str">
        <f>名簿!CM14</f>
        <v/>
      </c>
      <c r="D17" s="432" t="str">
        <f>名簿!CM14</f>
        <v/>
      </c>
      <c r="E17" s="432" t="str">
        <f>名簿!Z14</f>
        <v/>
      </c>
      <c r="F17" s="432" t="str">
        <f>名簿!P14</f>
        <v/>
      </c>
      <c r="G17" s="432" t="str">
        <f>名簿!Q14</f>
        <v/>
      </c>
      <c r="H17" s="433" t="str">
        <f>名簿!Y14</f>
        <v/>
      </c>
      <c r="I17" s="433" t="str">
        <f>名簿!CN14</f>
        <v/>
      </c>
      <c r="J17" s="1044">
        <f>名簿!CP14</f>
        <v>0</v>
      </c>
      <c r="K17" s="1044" t="str">
        <f>名簿!CU14</f>
        <v>00</v>
      </c>
      <c r="L17" s="1044" t="str">
        <f>名簿!CU14</f>
        <v>00</v>
      </c>
      <c r="M17" s="1271">
        <f>名簿!D14</f>
        <v>0</v>
      </c>
      <c r="N17" s="1267"/>
      <c r="O17" s="292" t="str">
        <f>IF(N17="","",IF(H17=1,VLOOKUP(N17,男子種目コード!$V$23:$W$25,2,FALSE),IF(H17=2,VLOOKUP(N17,女子種目コード!$V$23:$W$25,2,FALSE))))</f>
        <v/>
      </c>
      <c r="P17" s="669" t="str">
        <f>IF(N17="","",HLOOKUP(N17,名簿!$AH$3:$CH$118,12,FALSE))</f>
        <v/>
      </c>
      <c r="Q17" s="115">
        <f t="shared" si="0"/>
        <v>0</v>
      </c>
      <c r="R17" s="116" t="s">
        <v>793</v>
      </c>
      <c r="S17" s="117" t="str">
        <f t="shared" si="1"/>
        <v>0中学</v>
      </c>
      <c r="T17" s="125"/>
      <c r="U17" s="124"/>
      <c r="V17" s="118"/>
      <c r="W17" s="126"/>
      <c r="X17" s="127"/>
      <c r="Y17" s="121"/>
      <c r="Z17" s="128"/>
      <c r="AA17" s="127"/>
      <c r="AB17" s="123"/>
      <c r="AC17" s="98">
        <v>0</v>
      </c>
      <c r="AG17" s="40" t="str">
        <f t="shared" si="2"/>
        <v/>
      </c>
      <c r="AH17" s="415"/>
      <c r="AI17" s="415"/>
      <c r="AJ17" s="404"/>
      <c r="AK17" s="1149"/>
      <c r="AL17" s="1149"/>
      <c r="AM17" s="1149"/>
      <c r="AN17" s="1149"/>
      <c r="AO17" s="1149"/>
      <c r="AP17" s="1149"/>
      <c r="AQ17" s="1149"/>
      <c r="AR17" s="1149"/>
      <c r="AS17" s="1149"/>
      <c r="AT17" s="1149"/>
    </row>
    <row r="18" spans="2:46">
      <c r="B18" s="431">
        <f>名簿!E15</f>
        <v>0</v>
      </c>
      <c r="C18" s="432" t="str">
        <f>名簿!CM15</f>
        <v/>
      </c>
      <c r="D18" s="432" t="str">
        <f>名簿!CM15</f>
        <v/>
      </c>
      <c r="E18" s="432" t="str">
        <f>名簿!Z15</f>
        <v/>
      </c>
      <c r="F18" s="432" t="str">
        <f>名簿!P15</f>
        <v/>
      </c>
      <c r="G18" s="432" t="str">
        <f>名簿!Q15</f>
        <v/>
      </c>
      <c r="H18" s="433" t="str">
        <f>名簿!Y15</f>
        <v/>
      </c>
      <c r="I18" s="433" t="str">
        <f>名簿!CN15</f>
        <v/>
      </c>
      <c r="J18" s="1044">
        <f>名簿!CP15</f>
        <v>0</v>
      </c>
      <c r="K18" s="1044" t="str">
        <f>名簿!CU15</f>
        <v>00</v>
      </c>
      <c r="L18" s="1044" t="str">
        <f>名簿!CU15</f>
        <v>00</v>
      </c>
      <c r="M18" s="1271">
        <f>名簿!D15</f>
        <v>0</v>
      </c>
      <c r="N18" s="1267"/>
      <c r="O18" s="292" t="str">
        <f>IF(N18="","",IF(H18=1,VLOOKUP(N18,男子種目コード!$V$23:$W$25,2,FALSE),IF(H18=2,VLOOKUP(N18,女子種目コード!$V$23:$W$25,2,FALSE))))</f>
        <v/>
      </c>
      <c r="P18" s="669" t="str">
        <f>IF(N18="","",HLOOKUP(N18,名簿!$AH$3:$CH$118,13,FALSE))</f>
        <v/>
      </c>
      <c r="Q18" s="115">
        <f t="shared" si="0"/>
        <v>0</v>
      </c>
      <c r="R18" s="116" t="s">
        <v>793</v>
      </c>
      <c r="S18" s="117" t="str">
        <f t="shared" si="1"/>
        <v>0中学</v>
      </c>
      <c r="T18" s="125"/>
      <c r="U18" s="124"/>
      <c r="V18" s="118"/>
      <c r="W18" s="126"/>
      <c r="X18" s="127"/>
      <c r="Y18" s="121"/>
      <c r="Z18" s="128"/>
      <c r="AA18" s="127"/>
      <c r="AB18" s="123"/>
      <c r="AC18" s="98">
        <v>0</v>
      </c>
      <c r="AG18" s="40" t="str">
        <f t="shared" si="2"/>
        <v/>
      </c>
      <c r="AH18" s="415"/>
      <c r="AI18" s="415"/>
      <c r="AJ18" s="404"/>
      <c r="AK18" s="1149"/>
      <c r="AL18" s="1149"/>
      <c r="AM18" s="1149"/>
      <c r="AN18" s="1149"/>
      <c r="AO18" s="1149"/>
      <c r="AP18" s="1149"/>
      <c r="AQ18" s="1149"/>
      <c r="AR18" s="1149"/>
      <c r="AS18" s="1149"/>
      <c r="AT18" s="1149"/>
    </row>
    <row r="19" spans="2:46">
      <c r="B19" s="431">
        <f>名簿!E16</f>
        <v>0</v>
      </c>
      <c r="C19" s="432" t="str">
        <f>名簿!CM16</f>
        <v/>
      </c>
      <c r="D19" s="432" t="str">
        <f>名簿!CM16</f>
        <v/>
      </c>
      <c r="E19" s="432" t="str">
        <f>名簿!Z16</f>
        <v/>
      </c>
      <c r="F19" s="432" t="str">
        <f>名簿!P16</f>
        <v/>
      </c>
      <c r="G19" s="432" t="str">
        <f>名簿!Q16</f>
        <v/>
      </c>
      <c r="H19" s="433" t="str">
        <f>名簿!Y16</f>
        <v/>
      </c>
      <c r="I19" s="433" t="str">
        <f>名簿!CN16</f>
        <v/>
      </c>
      <c r="J19" s="1044">
        <f>名簿!CP16</f>
        <v>0</v>
      </c>
      <c r="K19" s="1044" t="str">
        <f>名簿!CU16</f>
        <v>00</v>
      </c>
      <c r="L19" s="1044" t="str">
        <f>名簿!CU16</f>
        <v>00</v>
      </c>
      <c r="M19" s="1271">
        <f>名簿!D16</f>
        <v>0</v>
      </c>
      <c r="N19" s="1267"/>
      <c r="O19" s="292" t="str">
        <f>IF(N19="","",IF(H19=1,VLOOKUP(N19,男子種目コード!$V$23:$W$25,2,FALSE),IF(H19=2,VLOOKUP(N19,女子種目コード!$V$23:$W$25,2,FALSE))))</f>
        <v/>
      </c>
      <c r="P19" s="669" t="str">
        <f>IF(N19="","",HLOOKUP(N19,名簿!$AH$3:$CH$118,14,FALSE))</f>
        <v/>
      </c>
      <c r="Q19" s="115">
        <f t="shared" si="0"/>
        <v>0</v>
      </c>
      <c r="R19" s="116" t="s">
        <v>793</v>
      </c>
      <c r="S19" s="117" t="str">
        <f t="shared" si="1"/>
        <v>0中学</v>
      </c>
      <c r="T19" s="125"/>
      <c r="U19" s="124"/>
      <c r="V19" s="118"/>
      <c r="W19" s="126"/>
      <c r="X19" s="127"/>
      <c r="Y19" s="121"/>
      <c r="Z19" s="128"/>
      <c r="AA19" s="127"/>
      <c r="AB19" s="123"/>
      <c r="AC19" s="98">
        <v>0</v>
      </c>
      <c r="AG19" s="40" t="str">
        <f t="shared" si="2"/>
        <v/>
      </c>
      <c r="AH19" s="415"/>
      <c r="AI19" s="415"/>
      <c r="AJ19" s="404"/>
      <c r="AK19" s="1149"/>
      <c r="AL19" s="1149"/>
      <c r="AM19" s="1149"/>
      <c r="AN19" s="1149"/>
      <c r="AO19" s="1149"/>
      <c r="AP19" s="1149"/>
      <c r="AQ19" s="1149"/>
      <c r="AR19" s="1149"/>
      <c r="AS19" s="1149"/>
      <c r="AT19" s="1149"/>
    </row>
    <row r="20" spans="2:46">
      <c r="B20" s="431">
        <f>名簿!E17</f>
        <v>0</v>
      </c>
      <c r="C20" s="432" t="str">
        <f>名簿!CM17</f>
        <v/>
      </c>
      <c r="D20" s="432" t="str">
        <f>名簿!CM17</f>
        <v/>
      </c>
      <c r="E20" s="432" t="str">
        <f>名簿!Z17</f>
        <v/>
      </c>
      <c r="F20" s="432" t="str">
        <f>名簿!P17</f>
        <v/>
      </c>
      <c r="G20" s="432" t="str">
        <f>名簿!Q17</f>
        <v/>
      </c>
      <c r="H20" s="433" t="str">
        <f>名簿!Y17</f>
        <v/>
      </c>
      <c r="I20" s="433" t="str">
        <f>名簿!CN17</f>
        <v/>
      </c>
      <c r="J20" s="1044">
        <f>名簿!CP17</f>
        <v>0</v>
      </c>
      <c r="K20" s="1044" t="str">
        <f>名簿!CU17</f>
        <v>00</v>
      </c>
      <c r="L20" s="1044" t="str">
        <f>名簿!CU17</f>
        <v>00</v>
      </c>
      <c r="M20" s="1271">
        <f>名簿!D17</f>
        <v>0</v>
      </c>
      <c r="N20" s="1267"/>
      <c r="O20" s="292" t="str">
        <f>IF(N20="","",IF(H20=1,VLOOKUP(N20,男子種目コード!$V$23:$W$25,2,FALSE),IF(H20=2,VLOOKUP(N20,女子種目コード!$V$23:$W$25,2,FALSE))))</f>
        <v/>
      </c>
      <c r="P20" s="669" t="str">
        <f>IF(N20="","",HLOOKUP(N20,名簿!$AH$3:$CH$118,15,FALSE))</f>
        <v/>
      </c>
      <c r="Q20" s="115">
        <f t="shared" si="0"/>
        <v>0</v>
      </c>
      <c r="R20" s="116" t="s">
        <v>793</v>
      </c>
      <c r="S20" s="117" t="str">
        <f t="shared" si="1"/>
        <v>0中学</v>
      </c>
      <c r="T20" s="125"/>
      <c r="U20" s="124"/>
      <c r="V20" s="118"/>
      <c r="W20" s="126"/>
      <c r="X20" s="127"/>
      <c r="Y20" s="121"/>
      <c r="Z20" s="128"/>
      <c r="AA20" s="127"/>
      <c r="AB20" s="123"/>
      <c r="AC20" s="98">
        <v>0</v>
      </c>
      <c r="AG20" s="40" t="str">
        <f t="shared" si="2"/>
        <v/>
      </c>
      <c r="AH20" s="415"/>
      <c r="AI20" s="415"/>
      <c r="AJ20" s="404"/>
      <c r="AK20" s="1149"/>
      <c r="AL20" s="1149"/>
      <c r="AM20" s="1149"/>
      <c r="AN20" s="1149"/>
      <c r="AO20" s="1149"/>
      <c r="AP20" s="1149"/>
      <c r="AQ20" s="1149"/>
      <c r="AR20" s="1149"/>
      <c r="AS20" s="1149"/>
      <c r="AT20" s="1149"/>
    </row>
    <row r="21" spans="2:46">
      <c r="B21" s="431">
        <f>名簿!E18</f>
        <v>0</v>
      </c>
      <c r="C21" s="432" t="str">
        <f>名簿!CM18</f>
        <v/>
      </c>
      <c r="D21" s="432" t="str">
        <f>名簿!CM18</f>
        <v/>
      </c>
      <c r="E21" s="432" t="str">
        <f>名簿!Z18</f>
        <v/>
      </c>
      <c r="F21" s="432" t="str">
        <f>名簿!P18</f>
        <v/>
      </c>
      <c r="G21" s="432" t="str">
        <f>名簿!Q18</f>
        <v/>
      </c>
      <c r="H21" s="433" t="str">
        <f>名簿!Y18</f>
        <v/>
      </c>
      <c r="I21" s="433" t="str">
        <f>名簿!CN18</f>
        <v/>
      </c>
      <c r="J21" s="1044">
        <f>名簿!CP18</f>
        <v>0</v>
      </c>
      <c r="K21" s="1044" t="str">
        <f>名簿!CU18</f>
        <v>00</v>
      </c>
      <c r="L21" s="1044" t="str">
        <f>名簿!CU18</f>
        <v>00</v>
      </c>
      <c r="M21" s="1271">
        <f>名簿!D18</f>
        <v>0</v>
      </c>
      <c r="N21" s="1267"/>
      <c r="O21" s="292" t="str">
        <f>IF(N21="","",IF(H21=1,VLOOKUP(N21,男子種目コード!$V$23:$W$25,2,FALSE),IF(H21=2,VLOOKUP(N21,女子種目コード!$V$23:$W$25,2,FALSE))))</f>
        <v/>
      </c>
      <c r="P21" s="669" t="str">
        <f>IF(N21="","",HLOOKUP(N21,名簿!$AH$3:$CH$118,16,FALSE))</f>
        <v/>
      </c>
      <c r="Q21" s="115">
        <f t="shared" si="0"/>
        <v>0</v>
      </c>
      <c r="R21" s="116" t="s">
        <v>793</v>
      </c>
      <c r="S21" s="117" t="str">
        <f t="shared" si="1"/>
        <v>0中学</v>
      </c>
      <c r="T21" s="125"/>
      <c r="U21" s="124"/>
      <c r="V21" s="118"/>
      <c r="W21" s="126"/>
      <c r="X21" s="127"/>
      <c r="Y21" s="121"/>
      <c r="Z21" s="128"/>
      <c r="AA21" s="127"/>
      <c r="AB21" s="123"/>
      <c r="AC21" s="98">
        <v>0</v>
      </c>
      <c r="AG21" s="40" t="str">
        <f t="shared" ref="AG21:AG38" si="3">IF(N21="","",1)</f>
        <v/>
      </c>
      <c r="AH21" s="415"/>
      <c r="AI21" s="415"/>
      <c r="AJ21" s="404"/>
      <c r="AK21" s="1149"/>
      <c r="AL21" s="1149"/>
      <c r="AM21" s="1149"/>
      <c r="AN21" s="1149"/>
      <c r="AO21" s="1149"/>
      <c r="AP21" s="1149"/>
      <c r="AQ21" s="1149"/>
      <c r="AR21" s="1149"/>
      <c r="AS21" s="1149"/>
      <c r="AT21" s="1149"/>
    </row>
    <row r="22" spans="2:46">
      <c r="B22" s="431">
        <f>名簿!E19</f>
        <v>0</v>
      </c>
      <c r="C22" s="432" t="str">
        <f>名簿!CM19</f>
        <v/>
      </c>
      <c r="D22" s="432" t="str">
        <f>名簿!CM19</f>
        <v/>
      </c>
      <c r="E22" s="432" t="str">
        <f>名簿!Z19</f>
        <v/>
      </c>
      <c r="F22" s="432" t="str">
        <f>名簿!P19</f>
        <v/>
      </c>
      <c r="G22" s="432" t="str">
        <f>名簿!Q19</f>
        <v/>
      </c>
      <c r="H22" s="433" t="str">
        <f>名簿!Y19</f>
        <v/>
      </c>
      <c r="I22" s="433" t="str">
        <f>名簿!CN19</f>
        <v/>
      </c>
      <c r="J22" s="1044">
        <f>名簿!CP19</f>
        <v>0</v>
      </c>
      <c r="K22" s="1044" t="str">
        <f>名簿!CU19</f>
        <v>00</v>
      </c>
      <c r="L22" s="1044" t="str">
        <f>名簿!CU19</f>
        <v>00</v>
      </c>
      <c r="M22" s="1271">
        <f>名簿!D19</f>
        <v>0</v>
      </c>
      <c r="N22" s="1267"/>
      <c r="O22" s="292" t="str">
        <f>IF(N22="","",IF(H22=1,VLOOKUP(N22,男子種目コード!$V$23:$W$25,2,FALSE),IF(H22=2,VLOOKUP(N22,女子種目コード!$V$23:$W$25,2,FALSE))))</f>
        <v/>
      </c>
      <c r="P22" s="669" t="str">
        <f>IF(N22="","",HLOOKUP(N22,名簿!$AH$3:$CH$118,17,FALSE))</f>
        <v/>
      </c>
      <c r="Q22" s="115">
        <f t="shared" si="0"/>
        <v>0</v>
      </c>
      <c r="R22" s="116" t="s">
        <v>793</v>
      </c>
      <c r="S22" s="117" t="str">
        <f t="shared" si="1"/>
        <v>0中学</v>
      </c>
      <c r="T22" s="125"/>
      <c r="U22" s="124"/>
      <c r="V22" s="118"/>
      <c r="W22" s="126"/>
      <c r="X22" s="127"/>
      <c r="Y22" s="121"/>
      <c r="Z22" s="128"/>
      <c r="AA22" s="127"/>
      <c r="AB22" s="123"/>
      <c r="AC22" s="98">
        <v>0</v>
      </c>
      <c r="AG22" s="40" t="str">
        <f t="shared" si="3"/>
        <v/>
      </c>
      <c r="AH22" s="415"/>
      <c r="AI22" s="415"/>
      <c r="AJ22" s="404"/>
      <c r="AK22" s="1149"/>
      <c r="AL22" s="1149"/>
      <c r="AM22" s="1149"/>
      <c r="AN22" s="1149"/>
      <c r="AO22" s="1149"/>
      <c r="AP22" s="1149"/>
      <c r="AQ22" s="1149"/>
      <c r="AR22" s="1149"/>
      <c r="AS22" s="1149"/>
      <c r="AT22" s="1149"/>
    </row>
    <row r="23" spans="2:46">
      <c r="B23" s="431">
        <f>名簿!E20</f>
        <v>0</v>
      </c>
      <c r="C23" s="432" t="str">
        <f>名簿!CM20</f>
        <v/>
      </c>
      <c r="D23" s="432" t="str">
        <f>名簿!CM20</f>
        <v/>
      </c>
      <c r="E23" s="432" t="str">
        <f>名簿!Z20</f>
        <v/>
      </c>
      <c r="F23" s="432" t="str">
        <f>名簿!P20</f>
        <v/>
      </c>
      <c r="G23" s="432" t="str">
        <f>名簿!Q20</f>
        <v/>
      </c>
      <c r="H23" s="433" t="str">
        <f>名簿!Y20</f>
        <v/>
      </c>
      <c r="I23" s="433" t="str">
        <f>名簿!CN20</f>
        <v/>
      </c>
      <c r="J23" s="1044">
        <f>名簿!CP20</f>
        <v>0</v>
      </c>
      <c r="K23" s="1044" t="str">
        <f>名簿!CU20</f>
        <v>00</v>
      </c>
      <c r="L23" s="1044" t="str">
        <f>名簿!CU20</f>
        <v>00</v>
      </c>
      <c r="M23" s="1271">
        <f>名簿!D20</f>
        <v>0</v>
      </c>
      <c r="N23" s="1267"/>
      <c r="O23" s="292" t="str">
        <f>IF(N23="","",IF(H23=1,VLOOKUP(N23,男子種目コード!$V$23:$W$25,2,FALSE),IF(H23=2,VLOOKUP(N23,女子種目コード!$V$23:$W$25,2,FALSE))))</f>
        <v/>
      </c>
      <c r="P23" s="669" t="str">
        <f>IF(N23="","",HLOOKUP(N23,名簿!$AH$3:$CH$118,18,FALSE))</f>
        <v/>
      </c>
      <c r="Q23" s="115">
        <f t="shared" si="0"/>
        <v>0</v>
      </c>
      <c r="R23" s="116" t="s">
        <v>793</v>
      </c>
      <c r="S23" s="117" t="str">
        <f t="shared" si="1"/>
        <v>0中学</v>
      </c>
      <c r="T23" s="125"/>
      <c r="U23" s="124"/>
      <c r="V23" s="118"/>
      <c r="W23" s="126"/>
      <c r="X23" s="127"/>
      <c r="Y23" s="121"/>
      <c r="Z23" s="128"/>
      <c r="AA23" s="127"/>
      <c r="AB23" s="123"/>
      <c r="AC23" s="98">
        <v>0</v>
      </c>
      <c r="AG23" s="40" t="str">
        <f t="shared" si="3"/>
        <v/>
      </c>
      <c r="AH23" s="415"/>
      <c r="AI23" s="415"/>
      <c r="AJ23" s="404"/>
      <c r="AK23" s="1149"/>
      <c r="AL23" s="1149"/>
      <c r="AM23" s="1149"/>
      <c r="AN23" s="1149"/>
      <c r="AO23" s="1149"/>
      <c r="AP23" s="1149"/>
      <c r="AQ23" s="1149"/>
      <c r="AR23" s="1149"/>
      <c r="AS23" s="1149"/>
      <c r="AT23" s="1149"/>
    </row>
    <row r="24" spans="2:46">
      <c r="B24" s="431">
        <f>名簿!E21</f>
        <v>0</v>
      </c>
      <c r="C24" s="432" t="str">
        <f>名簿!CM21</f>
        <v/>
      </c>
      <c r="D24" s="432" t="str">
        <f>名簿!CM21</f>
        <v/>
      </c>
      <c r="E24" s="432" t="str">
        <f>名簿!Z21</f>
        <v/>
      </c>
      <c r="F24" s="432" t="str">
        <f>名簿!P21</f>
        <v/>
      </c>
      <c r="G24" s="432" t="str">
        <f>名簿!Q21</f>
        <v/>
      </c>
      <c r="H24" s="433" t="str">
        <f>名簿!Y21</f>
        <v/>
      </c>
      <c r="I24" s="433" t="str">
        <f>名簿!CN21</f>
        <v/>
      </c>
      <c r="J24" s="1044">
        <f>名簿!CP21</f>
        <v>0</v>
      </c>
      <c r="K24" s="1044" t="str">
        <f>名簿!CU21</f>
        <v>00</v>
      </c>
      <c r="L24" s="1044" t="str">
        <f>名簿!CU21</f>
        <v>00</v>
      </c>
      <c r="M24" s="1271">
        <f>名簿!D21</f>
        <v>0</v>
      </c>
      <c r="N24" s="1267"/>
      <c r="O24" s="292" t="str">
        <f>IF(N24="","",IF(H24=1,VLOOKUP(N24,男子種目コード!$V$23:$W$25,2,FALSE),IF(H24=2,VLOOKUP(N24,女子種目コード!$V$23:$W$25,2,FALSE))))</f>
        <v/>
      </c>
      <c r="P24" s="669" t="str">
        <f>IF(N24="","",HLOOKUP(N24,名簿!$AH$3:$CH$118,19,FALSE))</f>
        <v/>
      </c>
      <c r="Q24" s="115">
        <f t="shared" si="0"/>
        <v>0</v>
      </c>
      <c r="R24" s="116" t="s">
        <v>793</v>
      </c>
      <c r="S24" s="117" t="str">
        <f t="shared" si="1"/>
        <v>0中学</v>
      </c>
      <c r="T24" s="125"/>
      <c r="U24" s="124"/>
      <c r="V24" s="118"/>
      <c r="W24" s="126"/>
      <c r="X24" s="127"/>
      <c r="Y24" s="121"/>
      <c r="Z24" s="128"/>
      <c r="AA24" s="127"/>
      <c r="AB24" s="123"/>
      <c r="AC24" s="98">
        <v>0</v>
      </c>
      <c r="AG24" s="40" t="str">
        <f t="shared" si="3"/>
        <v/>
      </c>
      <c r="AH24" s="415"/>
      <c r="AI24" s="415"/>
      <c r="AJ24" s="404"/>
      <c r="AK24" s="1149"/>
      <c r="AL24" s="1149"/>
      <c r="AM24" s="1149"/>
      <c r="AN24" s="1149"/>
      <c r="AO24" s="1149"/>
      <c r="AP24" s="1149"/>
      <c r="AQ24" s="1149"/>
      <c r="AR24" s="1149"/>
      <c r="AS24" s="1149"/>
      <c r="AT24" s="1149"/>
    </row>
    <row r="25" spans="2:46">
      <c r="B25" s="431">
        <f>名簿!E22</f>
        <v>0</v>
      </c>
      <c r="C25" s="432" t="str">
        <f>名簿!CM22</f>
        <v/>
      </c>
      <c r="D25" s="432" t="str">
        <f>名簿!CM22</f>
        <v/>
      </c>
      <c r="E25" s="432" t="str">
        <f>名簿!Z22</f>
        <v/>
      </c>
      <c r="F25" s="432" t="str">
        <f>名簿!P22</f>
        <v/>
      </c>
      <c r="G25" s="432" t="str">
        <f>名簿!Q22</f>
        <v/>
      </c>
      <c r="H25" s="433" t="str">
        <f>名簿!Y22</f>
        <v/>
      </c>
      <c r="I25" s="433" t="str">
        <f>名簿!CN22</f>
        <v/>
      </c>
      <c r="J25" s="1044">
        <f>名簿!CP22</f>
        <v>0</v>
      </c>
      <c r="K25" s="1044" t="str">
        <f>名簿!CU22</f>
        <v>00</v>
      </c>
      <c r="L25" s="1044" t="str">
        <f>名簿!CU22</f>
        <v>00</v>
      </c>
      <c r="M25" s="1271">
        <f>名簿!D22</f>
        <v>0</v>
      </c>
      <c r="N25" s="1267"/>
      <c r="O25" s="292" t="str">
        <f>IF(N25="","",IF(H25=1,VLOOKUP(N25,男子種目コード!$V$23:$W$25,2,FALSE),IF(H25=2,VLOOKUP(N25,女子種目コード!$V$23:$W$25,2,FALSE))))</f>
        <v/>
      </c>
      <c r="P25" s="669" t="str">
        <f>IF(N25="","",HLOOKUP(N25,名簿!$AH$3:$CH$118,20,FALSE))</f>
        <v/>
      </c>
      <c r="Q25" s="115">
        <f t="shared" si="0"/>
        <v>0</v>
      </c>
      <c r="R25" s="116" t="s">
        <v>793</v>
      </c>
      <c r="S25" s="117" t="str">
        <f t="shared" si="1"/>
        <v>0中学</v>
      </c>
      <c r="T25" s="125"/>
      <c r="U25" s="124"/>
      <c r="V25" s="118"/>
      <c r="W25" s="126"/>
      <c r="X25" s="127"/>
      <c r="Y25" s="121"/>
      <c r="Z25" s="128"/>
      <c r="AA25" s="127"/>
      <c r="AB25" s="123"/>
      <c r="AC25" s="98">
        <v>0</v>
      </c>
      <c r="AG25" s="40" t="str">
        <f t="shared" si="3"/>
        <v/>
      </c>
      <c r="AH25" s="415"/>
      <c r="AI25" s="415"/>
      <c r="AJ25" s="404"/>
      <c r="AK25" s="1149"/>
      <c r="AL25" s="1149"/>
      <c r="AM25" s="1149"/>
      <c r="AN25" s="1149"/>
      <c r="AO25" s="1149"/>
      <c r="AP25" s="1149"/>
      <c r="AQ25" s="1149"/>
      <c r="AR25" s="1149"/>
      <c r="AS25" s="1149"/>
      <c r="AT25" s="1149"/>
    </row>
    <row r="26" spans="2:46">
      <c r="B26" s="431">
        <f>名簿!E23</f>
        <v>0</v>
      </c>
      <c r="C26" s="432" t="str">
        <f>名簿!CM23</f>
        <v/>
      </c>
      <c r="D26" s="432" t="str">
        <f>名簿!CM23</f>
        <v/>
      </c>
      <c r="E26" s="432" t="str">
        <f>名簿!Z23</f>
        <v/>
      </c>
      <c r="F26" s="432" t="str">
        <f>名簿!P23</f>
        <v/>
      </c>
      <c r="G26" s="432" t="str">
        <f>名簿!Q23</f>
        <v/>
      </c>
      <c r="H26" s="433" t="str">
        <f>名簿!Y23</f>
        <v/>
      </c>
      <c r="I26" s="433" t="str">
        <f>名簿!CN23</f>
        <v/>
      </c>
      <c r="J26" s="1044">
        <f>名簿!CP23</f>
        <v>0</v>
      </c>
      <c r="K26" s="1044" t="str">
        <f>名簿!CU23</f>
        <v>00</v>
      </c>
      <c r="L26" s="1044" t="str">
        <f>名簿!CU23</f>
        <v>00</v>
      </c>
      <c r="M26" s="1271">
        <f>名簿!D23</f>
        <v>0</v>
      </c>
      <c r="N26" s="1267"/>
      <c r="O26" s="292" t="str">
        <f>IF(N26="","",IF(H26=1,VLOOKUP(N26,男子種目コード!$V$23:$W$25,2,FALSE),IF(H26=2,VLOOKUP(N26,女子種目コード!$V$23:$W$25,2,FALSE))))</f>
        <v/>
      </c>
      <c r="P26" s="669" t="str">
        <f>IF(N26="","",HLOOKUP(N26,名簿!$AH$3:$CH$118,21,FALSE))</f>
        <v/>
      </c>
      <c r="Q26" s="115">
        <f t="shared" si="0"/>
        <v>0</v>
      </c>
      <c r="R26" s="116" t="s">
        <v>793</v>
      </c>
      <c r="S26" s="117" t="str">
        <f t="shared" si="1"/>
        <v>0中学</v>
      </c>
      <c r="T26" s="125"/>
      <c r="U26" s="124"/>
      <c r="V26" s="118"/>
      <c r="W26" s="126"/>
      <c r="X26" s="127"/>
      <c r="Y26" s="121"/>
      <c r="Z26" s="128"/>
      <c r="AA26" s="127"/>
      <c r="AB26" s="123"/>
      <c r="AC26" s="98">
        <v>0</v>
      </c>
      <c r="AG26" s="40" t="str">
        <f t="shared" si="3"/>
        <v/>
      </c>
      <c r="AH26" s="415"/>
      <c r="AI26" s="415"/>
      <c r="AJ26" s="404"/>
      <c r="AK26" s="1149"/>
      <c r="AL26" s="1149"/>
      <c r="AM26" s="1149"/>
      <c r="AN26" s="1149"/>
      <c r="AO26" s="1149"/>
      <c r="AP26" s="1149"/>
      <c r="AQ26" s="1149"/>
      <c r="AR26" s="1149"/>
      <c r="AS26" s="1149"/>
      <c r="AT26" s="1149"/>
    </row>
    <row r="27" spans="2:46">
      <c r="B27" s="431">
        <f>名簿!E24</f>
        <v>0</v>
      </c>
      <c r="C27" s="432" t="str">
        <f>名簿!CM24</f>
        <v/>
      </c>
      <c r="D27" s="432" t="str">
        <f>名簿!CM24</f>
        <v/>
      </c>
      <c r="E27" s="432" t="str">
        <f>名簿!Z24</f>
        <v/>
      </c>
      <c r="F27" s="432" t="str">
        <f>名簿!P24</f>
        <v/>
      </c>
      <c r="G27" s="432" t="str">
        <f>名簿!Q24</f>
        <v/>
      </c>
      <c r="H27" s="433" t="str">
        <f>名簿!Y24</f>
        <v/>
      </c>
      <c r="I27" s="433" t="str">
        <f>名簿!CN24</f>
        <v/>
      </c>
      <c r="J27" s="1044">
        <f>名簿!CP24</f>
        <v>0</v>
      </c>
      <c r="K27" s="1044" t="str">
        <f>名簿!CU24</f>
        <v>00</v>
      </c>
      <c r="L27" s="1044" t="str">
        <f>名簿!CU24</f>
        <v>00</v>
      </c>
      <c r="M27" s="1271">
        <f>名簿!D24</f>
        <v>0</v>
      </c>
      <c r="N27" s="1267"/>
      <c r="O27" s="292" t="str">
        <f>IF(N27="","",IF(H27=1,VLOOKUP(N27,男子種目コード!$V$23:$W$25,2,FALSE),IF(H27=2,VLOOKUP(N27,女子種目コード!$V$23:$W$25,2,FALSE))))</f>
        <v/>
      </c>
      <c r="P27" s="669" t="str">
        <f>IF(N27="","",HLOOKUP(N27,名簿!$AH$3:$CH$118,22,FALSE))</f>
        <v/>
      </c>
      <c r="Q27" s="115">
        <f t="shared" si="0"/>
        <v>0</v>
      </c>
      <c r="R27" s="116" t="s">
        <v>793</v>
      </c>
      <c r="S27" s="117" t="str">
        <f t="shared" si="1"/>
        <v>0中学</v>
      </c>
      <c r="T27" s="125"/>
      <c r="U27" s="124"/>
      <c r="V27" s="118"/>
      <c r="W27" s="126"/>
      <c r="X27" s="127"/>
      <c r="Y27" s="121"/>
      <c r="Z27" s="128"/>
      <c r="AA27" s="127"/>
      <c r="AB27" s="123"/>
      <c r="AC27" s="98">
        <v>0</v>
      </c>
      <c r="AG27" s="40" t="str">
        <f t="shared" si="3"/>
        <v/>
      </c>
      <c r="AH27" s="415"/>
      <c r="AI27" s="415"/>
      <c r="AJ27" s="404"/>
      <c r="AK27" s="1149"/>
      <c r="AL27" s="1149"/>
      <c r="AM27" s="1149"/>
      <c r="AN27" s="1149"/>
      <c r="AO27" s="1149"/>
      <c r="AP27" s="1149"/>
      <c r="AQ27" s="1149"/>
      <c r="AR27" s="1149"/>
      <c r="AS27" s="1149"/>
      <c r="AT27" s="1149"/>
    </row>
    <row r="28" spans="2:46">
      <c r="B28" s="431">
        <f>名簿!E25</f>
        <v>0</v>
      </c>
      <c r="C28" s="432" t="str">
        <f>名簿!CM25</f>
        <v/>
      </c>
      <c r="D28" s="432" t="str">
        <f>名簿!CM25</f>
        <v/>
      </c>
      <c r="E28" s="432" t="str">
        <f>名簿!Z25</f>
        <v/>
      </c>
      <c r="F28" s="432" t="str">
        <f>名簿!P25</f>
        <v/>
      </c>
      <c r="G28" s="432" t="str">
        <f>名簿!Q25</f>
        <v/>
      </c>
      <c r="H28" s="433" t="str">
        <f>名簿!Y25</f>
        <v/>
      </c>
      <c r="I28" s="433" t="str">
        <f>名簿!CN25</f>
        <v/>
      </c>
      <c r="J28" s="1044">
        <f>名簿!CP25</f>
        <v>0</v>
      </c>
      <c r="K28" s="1044" t="str">
        <f>名簿!CU25</f>
        <v>00</v>
      </c>
      <c r="L28" s="1044" t="str">
        <f>名簿!CU25</f>
        <v>00</v>
      </c>
      <c r="M28" s="1271">
        <f>名簿!D25</f>
        <v>0</v>
      </c>
      <c r="N28" s="1267"/>
      <c r="O28" s="292" t="str">
        <f>IF(N28="","",IF(H28=1,VLOOKUP(N28,男子種目コード!$V$23:$W$25,2,FALSE),IF(H28=2,VLOOKUP(N28,女子種目コード!$V$23:$W$25,2,FALSE))))</f>
        <v/>
      </c>
      <c r="P28" s="669" t="str">
        <f>IF(N28="","",HLOOKUP(N28,名簿!$AH$3:$CH$118,23,FALSE))</f>
        <v/>
      </c>
      <c r="Q28" s="115">
        <f t="shared" si="0"/>
        <v>0</v>
      </c>
      <c r="R28" s="116" t="s">
        <v>793</v>
      </c>
      <c r="S28" s="117" t="str">
        <f t="shared" si="1"/>
        <v>0中学</v>
      </c>
      <c r="T28" s="125"/>
      <c r="U28" s="124"/>
      <c r="V28" s="118"/>
      <c r="W28" s="126"/>
      <c r="X28" s="127"/>
      <c r="Y28" s="121"/>
      <c r="Z28" s="128"/>
      <c r="AA28" s="127"/>
      <c r="AB28" s="123"/>
      <c r="AC28" s="98">
        <v>0</v>
      </c>
      <c r="AG28" s="40" t="str">
        <f t="shared" si="3"/>
        <v/>
      </c>
      <c r="AH28" s="415"/>
      <c r="AI28" s="415"/>
      <c r="AJ28" s="404"/>
      <c r="AK28" s="1149"/>
      <c r="AL28" s="1149"/>
      <c r="AM28" s="1149"/>
      <c r="AN28" s="1149"/>
      <c r="AO28" s="1149"/>
      <c r="AP28" s="1149"/>
      <c r="AQ28" s="1149"/>
      <c r="AR28" s="1149"/>
      <c r="AS28" s="1149"/>
      <c r="AT28" s="1149"/>
    </row>
    <row r="29" spans="2:46">
      <c r="B29" s="431">
        <f>名簿!E26</f>
        <v>0</v>
      </c>
      <c r="C29" s="432" t="str">
        <f>名簿!CM26</f>
        <v/>
      </c>
      <c r="D29" s="432" t="str">
        <f>名簿!CM26</f>
        <v/>
      </c>
      <c r="E29" s="432" t="str">
        <f>名簿!Z26</f>
        <v/>
      </c>
      <c r="F29" s="432" t="str">
        <f>名簿!P26</f>
        <v/>
      </c>
      <c r="G29" s="432" t="str">
        <f>名簿!Q26</f>
        <v/>
      </c>
      <c r="H29" s="433" t="str">
        <f>名簿!Y26</f>
        <v/>
      </c>
      <c r="I29" s="433" t="str">
        <f>名簿!CN26</f>
        <v/>
      </c>
      <c r="J29" s="1044">
        <f>名簿!CP26</f>
        <v>0</v>
      </c>
      <c r="K29" s="1044" t="str">
        <f>名簿!CU26</f>
        <v>00</v>
      </c>
      <c r="L29" s="1044" t="str">
        <f>名簿!CU26</f>
        <v>00</v>
      </c>
      <c r="M29" s="1271">
        <f>名簿!D26</f>
        <v>0</v>
      </c>
      <c r="N29" s="1267"/>
      <c r="O29" s="292" t="str">
        <f>IF(N29="","",IF(H29=1,VLOOKUP(N29,男子種目コード!$V$23:$W$25,2,FALSE),IF(H29=2,VLOOKUP(N29,女子種目コード!$V$23:$W$25,2,FALSE))))</f>
        <v/>
      </c>
      <c r="P29" s="669" t="str">
        <f>IF(N29="","",HLOOKUP(N29,名簿!$AH$3:$CH$118,24,FALSE))</f>
        <v/>
      </c>
      <c r="Q29" s="115">
        <f t="shared" si="0"/>
        <v>0</v>
      </c>
      <c r="R29" s="116" t="s">
        <v>793</v>
      </c>
      <c r="S29" s="117" t="str">
        <f t="shared" si="1"/>
        <v>0中学</v>
      </c>
      <c r="T29" s="125"/>
      <c r="U29" s="124"/>
      <c r="V29" s="118"/>
      <c r="W29" s="126"/>
      <c r="X29" s="127"/>
      <c r="Y29" s="121"/>
      <c r="Z29" s="128"/>
      <c r="AA29" s="127"/>
      <c r="AB29" s="123"/>
      <c r="AC29" s="98">
        <v>0</v>
      </c>
      <c r="AG29" s="40" t="str">
        <f t="shared" si="3"/>
        <v/>
      </c>
      <c r="AH29" s="415"/>
      <c r="AI29" s="415"/>
      <c r="AJ29" s="404"/>
      <c r="AK29" s="1149"/>
      <c r="AL29" s="1149"/>
      <c r="AM29" s="1149"/>
      <c r="AN29" s="1149"/>
      <c r="AO29" s="1149"/>
      <c r="AP29" s="1149"/>
      <c r="AQ29" s="1149"/>
      <c r="AR29" s="1149"/>
      <c r="AS29" s="1149"/>
      <c r="AT29" s="1149"/>
    </row>
    <row r="30" spans="2:46">
      <c r="B30" s="431">
        <f>名簿!E27</f>
        <v>0</v>
      </c>
      <c r="C30" s="432" t="str">
        <f>名簿!CM27</f>
        <v/>
      </c>
      <c r="D30" s="432" t="str">
        <f>名簿!CM27</f>
        <v/>
      </c>
      <c r="E30" s="432" t="str">
        <f>名簿!Z27</f>
        <v/>
      </c>
      <c r="F30" s="432" t="str">
        <f>名簿!P27</f>
        <v/>
      </c>
      <c r="G30" s="432" t="str">
        <f>名簿!Q27</f>
        <v/>
      </c>
      <c r="H30" s="433" t="str">
        <f>名簿!Y27</f>
        <v/>
      </c>
      <c r="I30" s="433" t="str">
        <f>名簿!CN27</f>
        <v/>
      </c>
      <c r="J30" s="1044">
        <f>名簿!CP27</f>
        <v>0</v>
      </c>
      <c r="K30" s="1044" t="str">
        <f>名簿!CU27</f>
        <v>00</v>
      </c>
      <c r="L30" s="1044" t="str">
        <f>名簿!CU27</f>
        <v>00</v>
      </c>
      <c r="M30" s="1271">
        <f>名簿!D27</f>
        <v>0</v>
      </c>
      <c r="N30" s="1267"/>
      <c r="O30" s="292" t="str">
        <f>IF(N30="","",IF(H30=1,VLOOKUP(N30,男子種目コード!$V$23:$W$25,2,FALSE),IF(H30=2,VLOOKUP(N30,女子種目コード!$V$23:$W$25,2,FALSE))))</f>
        <v/>
      </c>
      <c r="P30" s="669" t="str">
        <f>IF(N30="","",HLOOKUP(N30,名簿!$AH$3:$CH$118,25,FALSE))</f>
        <v/>
      </c>
      <c r="Q30" s="115">
        <f t="shared" si="0"/>
        <v>0</v>
      </c>
      <c r="R30" s="116" t="s">
        <v>793</v>
      </c>
      <c r="S30" s="117" t="str">
        <f t="shared" si="1"/>
        <v>0中学</v>
      </c>
      <c r="T30" s="125"/>
      <c r="U30" s="124"/>
      <c r="V30" s="118"/>
      <c r="W30" s="126"/>
      <c r="X30" s="127"/>
      <c r="Y30" s="121"/>
      <c r="Z30" s="128"/>
      <c r="AA30" s="127"/>
      <c r="AB30" s="123"/>
      <c r="AC30" s="98">
        <v>0</v>
      </c>
      <c r="AG30" s="40" t="str">
        <f t="shared" si="3"/>
        <v/>
      </c>
      <c r="AH30" s="415"/>
      <c r="AI30" s="415"/>
      <c r="AJ30" s="404"/>
      <c r="AK30" s="1149"/>
      <c r="AL30" s="1149"/>
      <c r="AM30" s="1149"/>
      <c r="AN30" s="1149"/>
      <c r="AO30" s="1149"/>
      <c r="AP30" s="1149"/>
      <c r="AQ30" s="1149"/>
      <c r="AR30" s="1149"/>
      <c r="AS30" s="1149"/>
      <c r="AT30" s="1149"/>
    </row>
    <row r="31" spans="2:46">
      <c r="B31" s="431">
        <f>名簿!E28</f>
        <v>0</v>
      </c>
      <c r="C31" s="432" t="str">
        <f>名簿!CM28</f>
        <v/>
      </c>
      <c r="D31" s="432" t="str">
        <f>名簿!CM28</f>
        <v/>
      </c>
      <c r="E31" s="432" t="str">
        <f>名簿!Z28</f>
        <v/>
      </c>
      <c r="F31" s="432" t="str">
        <f>名簿!P28</f>
        <v/>
      </c>
      <c r="G31" s="432" t="str">
        <f>名簿!Q28</f>
        <v/>
      </c>
      <c r="H31" s="433" t="str">
        <f>名簿!Y28</f>
        <v/>
      </c>
      <c r="I31" s="433" t="str">
        <f>名簿!CN28</f>
        <v/>
      </c>
      <c r="J31" s="1044">
        <f>名簿!CP28</f>
        <v>0</v>
      </c>
      <c r="K31" s="1044" t="str">
        <f>名簿!CU28</f>
        <v>00</v>
      </c>
      <c r="L31" s="1044" t="str">
        <f>名簿!CU28</f>
        <v>00</v>
      </c>
      <c r="M31" s="1271">
        <f>名簿!D28</f>
        <v>0</v>
      </c>
      <c r="N31" s="1267"/>
      <c r="O31" s="292" t="str">
        <f>IF(N31="","",IF(H31=1,VLOOKUP(N31,男子種目コード!$V$23:$W$25,2,FALSE),IF(H31=2,VLOOKUP(N31,女子種目コード!$V$23:$W$25,2,FALSE))))</f>
        <v/>
      </c>
      <c r="P31" s="669" t="str">
        <f>IF(N31="","",HLOOKUP(N31,名簿!$AH$3:$CH$118,26,FALSE))</f>
        <v/>
      </c>
      <c r="Q31" s="115">
        <f t="shared" si="0"/>
        <v>0</v>
      </c>
      <c r="R31" s="116" t="s">
        <v>793</v>
      </c>
      <c r="S31" s="117" t="str">
        <f t="shared" si="1"/>
        <v>0中学</v>
      </c>
      <c r="T31" s="125"/>
      <c r="U31" s="124"/>
      <c r="V31" s="118"/>
      <c r="W31" s="126"/>
      <c r="X31" s="127"/>
      <c r="Y31" s="121"/>
      <c r="Z31" s="128"/>
      <c r="AA31" s="127"/>
      <c r="AB31" s="123"/>
      <c r="AC31" s="98">
        <v>0</v>
      </c>
      <c r="AG31" s="40" t="str">
        <f t="shared" si="3"/>
        <v/>
      </c>
      <c r="AH31" s="415"/>
      <c r="AI31" s="415"/>
      <c r="AJ31" s="404"/>
      <c r="AK31" s="1149"/>
      <c r="AL31" s="1149"/>
      <c r="AM31" s="1149"/>
      <c r="AN31" s="1149"/>
      <c r="AO31" s="1149"/>
      <c r="AP31" s="1149"/>
      <c r="AQ31" s="1149"/>
      <c r="AR31" s="1149"/>
      <c r="AS31" s="1149"/>
      <c r="AT31" s="1149"/>
    </row>
    <row r="32" spans="2:46">
      <c r="B32" s="431">
        <f>名簿!E29</f>
        <v>0</v>
      </c>
      <c r="C32" s="432" t="str">
        <f>名簿!CM29</f>
        <v/>
      </c>
      <c r="D32" s="432" t="str">
        <f>名簿!CM29</f>
        <v/>
      </c>
      <c r="E32" s="432" t="str">
        <f>名簿!Z29</f>
        <v/>
      </c>
      <c r="F32" s="432" t="str">
        <f>名簿!P29</f>
        <v/>
      </c>
      <c r="G32" s="432" t="str">
        <f>名簿!Q29</f>
        <v/>
      </c>
      <c r="H32" s="433" t="str">
        <f>名簿!Y29</f>
        <v/>
      </c>
      <c r="I32" s="433" t="str">
        <f>名簿!CN29</f>
        <v/>
      </c>
      <c r="J32" s="1044">
        <f>名簿!CP29</f>
        <v>0</v>
      </c>
      <c r="K32" s="1044" t="str">
        <f>名簿!CU29</f>
        <v>00</v>
      </c>
      <c r="L32" s="1044" t="str">
        <f>名簿!CU29</f>
        <v>00</v>
      </c>
      <c r="M32" s="1271">
        <f>名簿!D29</f>
        <v>0</v>
      </c>
      <c r="N32" s="1267"/>
      <c r="O32" s="292" t="str">
        <f>IF(N32="","",IF(H32=1,VLOOKUP(N32,男子種目コード!$V$23:$W$25,2,FALSE),IF(H32=2,VLOOKUP(N32,女子種目コード!$V$23:$W$25,2,FALSE))))</f>
        <v/>
      </c>
      <c r="P32" s="669" t="str">
        <f>IF(N32="","",HLOOKUP(N32,名簿!$AH$3:$CH$118,27,FALSE))</f>
        <v/>
      </c>
      <c r="Q32" s="115">
        <f t="shared" si="0"/>
        <v>0</v>
      </c>
      <c r="R32" s="116" t="s">
        <v>793</v>
      </c>
      <c r="S32" s="117" t="str">
        <f t="shared" si="1"/>
        <v>0中学</v>
      </c>
      <c r="T32" s="125"/>
      <c r="U32" s="124"/>
      <c r="V32" s="118"/>
      <c r="W32" s="126"/>
      <c r="X32" s="127"/>
      <c r="Y32" s="121"/>
      <c r="Z32" s="128"/>
      <c r="AA32" s="127"/>
      <c r="AB32" s="123"/>
      <c r="AC32" s="98">
        <v>0</v>
      </c>
      <c r="AG32" s="40" t="str">
        <f t="shared" si="3"/>
        <v/>
      </c>
      <c r="AH32" s="415"/>
      <c r="AI32" s="415"/>
      <c r="AJ32" s="404"/>
      <c r="AK32" s="1149"/>
      <c r="AL32" s="1149"/>
      <c r="AM32" s="1149"/>
      <c r="AN32" s="1149"/>
      <c r="AO32" s="1149"/>
      <c r="AP32" s="1149"/>
      <c r="AQ32" s="1149"/>
      <c r="AR32" s="1149"/>
      <c r="AS32" s="1149"/>
      <c r="AT32" s="1149"/>
    </row>
    <row r="33" spans="2:46">
      <c r="B33" s="431">
        <f>名簿!E30</f>
        <v>0</v>
      </c>
      <c r="C33" s="432" t="str">
        <f>名簿!CM30</f>
        <v/>
      </c>
      <c r="D33" s="432" t="str">
        <f>名簿!CM30</f>
        <v/>
      </c>
      <c r="E33" s="432" t="str">
        <f>名簿!Z30</f>
        <v/>
      </c>
      <c r="F33" s="432" t="str">
        <f>名簿!P30</f>
        <v/>
      </c>
      <c r="G33" s="432" t="str">
        <f>名簿!Q30</f>
        <v/>
      </c>
      <c r="H33" s="433" t="str">
        <f>名簿!Y30</f>
        <v/>
      </c>
      <c r="I33" s="433" t="str">
        <f>名簿!CN30</f>
        <v/>
      </c>
      <c r="J33" s="1044">
        <f>名簿!CP30</f>
        <v>0</v>
      </c>
      <c r="K33" s="1044" t="str">
        <f>名簿!CU30</f>
        <v>00</v>
      </c>
      <c r="L33" s="1044" t="str">
        <f>名簿!CU30</f>
        <v>00</v>
      </c>
      <c r="M33" s="1271">
        <f>名簿!D30</f>
        <v>0</v>
      </c>
      <c r="N33" s="1267"/>
      <c r="O33" s="292" t="str">
        <f>IF(N33="","",IF(H33=1,VLOOKUP(N33,男子種目コード!$V$23:$W$25,2,FALSE),IF(H33=2,VLOOKUP(N33,女子種目コード!$V$23:$W$25,2,FALSE))))</f>
        <v/>
      </c>
      <c r="P33" s="669" t="str">
        <f>IF(N33="","",HLOOKUP(N33,名簿!$AH$3:$CH$118,28,FALSE))</f>
        <v/>
      </c>
      <c r="Q33" s="115">
        <f t="shared" si="0"/>
        <v>0</v>
      </c>
      <c r="R33" s="116" t="s">
        <v>793</v>
      </c>
      <c r="S33" s="117" t="str">
        <f t="shared" si="1"/>
        <v>0中学</v>
      </c>
      <c r="T33" s="125"/>
      <c r="U33" s="124"/>
      <c r="V33" s="118"/>
      <c r="W33" s="126"/>
      <c r="X33" s="127"/>
      <c r="Y33" s="121"/>
      <c r="Z33" s="128"/>
      <c r="AA33" s="127"/>
      <c r="AB33" s="123"/>
      <c r="AC33" s="98">
        <v>0</v>
      </c>
      <c r="AG33" s="40" t="str">
        <f t="shared" si="3"/>
        <v/>
      </c>
      <c r="AH33" s="415"/>
      <c r="AI33" s="415"/>
      <c r="AJ33" s="404"/>
      <c r="AK33" s="1149"/>
      <c r="AL33" s="1149"/>
      <c r="AM33" s="1149"/>
      <c r="AN33" s="1149"/>
      <c r="AO33" s="1149"/>
      <c r="AP33" s="1149"/>
      <c r="AQ33" s="1149"/>
      <c r="AR33" s="1149"/>
      <c r="AS33" s="1149"/>
      <c r="AT33" s="1149"/>
    </row>
    <row r="34" spans="2:46">
      <c r="B34" s="431">
        <f>名簿!E31</f>
        <v>0</v>
      </c>
      <c r="C34" s="432" t="str">
        <f>名簿!CM31</f>
        <v/>
      </c>
      <c r="D34" s="432" t="str">
        <f>名簿!CM31</f>
        <v/>
      </c>
      <c r="E34" s="432" t="str">
        <f>名簿!Z31</f>
        <v/>
      </c>
      <c r="F34" s="432" t="str">
        <f>名簿!P31</f>
        <v/>
      </c>
      <c r="G34" s="432" t="str">
        <f>名簿!Q31</f>
        <v/>
      </c>
      <c r="H34" s="433" t="str">
        <f>名簿!Y31</f>
        <v/>
      </c>
      <c r="I34" s="433" t="str">
        <f>名簿!CN31</f>
        <v/>
      </c>
      <c r="J34" s="1044">
        <f>名簿!CP31</f>
        <v>0</v>
      </c>
      <c r="K34" s="1044" t="str">
        <f>名簿!CU31</f>
        <v>00</v>
      </c>
      <c r="L34" s="1044" t="str">
        <f>名簿!CU31</f>
        <v>00</v>
      </c>
      <c r="M34" s="1271">
        <f>名簿!D31</f>
        <v>0</v>
      </c>
      <c r="N34" s="1267"/>
      <c r="O34" s="292" t="str">
        <f>IF(N34="","",IF(H34=1,VLOOKUP(N34,男子種目コード!$V$23:$W$25,2,FALSE),IF(H34=2,VLOOKUP(N34,女子種目コード!$V$23:$W$25,2,FALSE))))</f>
        <v/>
      </c>
      <c r="P34" s="669" t="str">
        <f>IF(N34="","",HLOOKUP(N34,名簿!$AH$3:$CH$118,29,FALSE))</f>
        <v/>
      </c>
      <c r="Q34" s="115">
        <f t="shared" si="0"/>
        <v>0</v>
      </c>
      <c r="R34" s="116" t="s">
        <v>793</v>
      </c>
      <c r="S34" s="117" t="str">
        <f t="shared" si="1"/>
        <v>0中学</v>
      </c>
      <c r="T34" s="125"/>
      <c r="U34" s="124"/>
      <c r="V34" s="118"/>
      <c r="W34" s="126"/>
      <c r="X34" s="127"/>
      <c r="Y34" s="121"/>
      <c r="Z34" s="128"/>
      <c r="AA34" s="127"/>
      <c r="AB34" s="123"/>
      <c r="AC34" s="98">
        <v>0</v>
      </c>
      <c r="AG34" s="40" t="str">
        <f t="shared" si="3"/>
        <v/>
      </c>
      <c r="AH34" s="415"/>
      <c r="AI34" s="415"/>
      <c r="AJ34" s="404"/>
      <c r="AK34" s="1149"/>
      <c r="AL34" s="1149"/>
      <c r="AM34" s="1149"/>
      <c r="AN34" s="1149"/>
      <c r="AO34" s="1149"/>
      <c r="AP34" s="1149"/>
      <c r="AQ34" s="1149"/>
      <c r="AR34" s="1149"/>
      <c r="AS34" s="1149"/>
      <c r="AT34" s="1149"/>
    </row>
    <row r="35" spans="2:46">
      <c r="B35" s="431">
        <f>名簿!E32</f>
        <v>0</v>
      </c>
      <c r="C35" s="432" t="str">
        <f>名簿!CM32</f>
        <v/>
      </c>
      <c r="D35" s="432" t="str">
        <f>名簿!CM32</f>
        <v/>
      </c>
      <c r="E35" s="432" t="str">
        <f>名簿!Z32</f>
        <v/>
      </c>
      <c r="F35" s="432" t="str">
        <f>名簿!P32</f>
        <v/>
      </c>
      <c r="G35" s="432" t="str">
        <f>名簿!Q32</f>
        <v/>
      </c>
      <c r="H35" s="433" t="str">
        <f>名簿!Y32</f>
        <v/>
      </c>
      <c r="I35" s="433" t="str">
        <f>名簿!CN32</f>
        <v/>
      </c>
      <c r="J35" s="1044">
        <f>名簿!CP32</f>
        <v>0</v>
      </c>
      <c r="K35" s="1044" t="str">
        <f>名簿!CU32</f>
        <v>00</v>
      </c>
      <c r="L35" s="1044" t="str">
        <f>名簿!CU32</f>
        <v>00</v>
      </c>
      <c r="M35" s="1271">
        <f>名簿!D32</f>
        <v>0</v>
      </c>
      <c r="N35" s="1267"/>
      <c r="O35" s="292" t="str">
        <f>IF(N35="","",IF(H35=1,VLOOKUP(N35,男子種目コード!$V$23:$W$25,2,FALSE),IF(H35=2,VLOOKUP(N35,女子種目コード!$V$23:$W$25,2,FALSE))))</f>
        <v/>
      </c>
      <c r="P35" s="669" t="str">
        <f>IF(N35="","",HLOOKUP(N35,名簿!$AH$3:$CH$118,30,FALSE))</f>
        <v/>
      </c>
      <c r="Q35" s="115">
        <f t="shared" si="0"/>
        <v>0</v>
      </c>
      <c r="R35" s="116" t="s">
        <v>793</v>
      </c>
      <c r="S35" s="117" t="str">
        <f t="shared" si="1"/>
        <v>0中学</v>
      </c>
      <c r="T35" s="125"/>
      <c r="U35" s="124"/>
      <c r="V35" s="118"/>
      <c r="W35" s="126"/>
      <c r="X35" s="127"/>
      <c r="Y35" s="121"/>
      <c r="Z35" s="128"/>
      <c r="AA35" s="127"/>
      <c r="AB35" s="123"/>
      <c r="AC35" s="98">
        <v>0</v>
      </c>
      <c r="AG35" s="40" t="str">
        <f t="shared" si="3"/>
        <v/>
      </c>
      <c r="AH35" s="415"/>
      <c r="AI35" s="415"/>
      <c r="AJ35" s="404"/>
      <c r="AK35" s="1149"/>
      <c r="AL35" s="1149"/>
      <c r="AM35" s="1149"/>
      <c r="AN35" s="1149"/>
      <c r="AO35" s="1149"/>
      <c r="AP35" s="1149"/>
      <c r="AQ35" s="1149"/>
      <c r="AR35" s="1149"/>
      <c r="AS35" s="1149"/>
      <c r="AT35" s="1149"/>
    </row>
    <row r="36" spans="2:46">
      <c r="B36" s="431">
        <f>名簿!E33</f>
        <v>0</v>
      </c>
      <c r="C36" s="432" t="str">
        <f>名簿!CM33</f>
        <v/>
      </c>
      <c r="D36" s="432" t="str">
        <f>名簿!CM33</f>
        <v/>
      </c>
      <c r="E36" s="432" t="str">
        <f>名簿!Z33</f>
        <v/>
      </c>
      <c r="F36" s="432" t="str">
        <f>名簿!P33</f>
        <v/>
      </c>
      <c r="G36" s="432" t="str">
        <f>名簿!Q33</f>
        <v/>
      </c>
      <c r="H36" s="433" t="str">
        <f>名簿!Y33</f>
        <v/>
      </c>
      <c r="I36" s="433" t="str">
        <f>名簿!CN33</f>
        <v/>
      </c>
      <c r="J36" s="1044">
        <f>名簿!CP33</f>
        <v>0</v>
      </c>
      <c r="K36" s="1044" t="str">
        <f>名簿!CU33</f>
        <v>00</v>
      </c>
      <c r="L36" s="1044" t="str">
        <f>名簿!CU33</f>
        <v>00</v>
      </c>
      <c r="M36" s="1271">
        <f>名簿!D33</f>
        <v>0</v>
      </c>
      <c r="N36" s="1267"/>
      <c r="O36" s="292" t="str">
        <f>IF(N36="","",IF(H36=1,VLOOKUP(N36,男子種目コード!$V$23:$W$25,2,FALSE),IF(H36=2,VLOOKUP(N36,女子種目コード!$V$23:$W$25,2,FALSE))))</f>
        <v/>
      </c>
      <c r="P36" s="669" t="str">
        <f>IF(N36="","",HLOOKUP(N36,名簿!$AH$3:$CH$118,31,FALSE))</f>
        <v/>
      </c>
      <c r="Q36" s="115">
        <f t="shared" si="0"/>
        <v>0</v>
      </c>
      <c r="R36" s="116" t="s">
        <v>793</v>
      </c>
      <c r="S36" s="117" t="str">
        <f t="shared" si="1"/>
        <v>0中学</v>
      </c>
      <c r="T36" s="125"/>
      <c r="U36" s="124"/>
      <c r="V36" s="118"/>
      <c r="W36" s="126"/>
      <c r="X36" s="127"/>
      <c r="Y36" s="121"/>
      <c r="Z36" s="128"/>
      <c r="AA36" s="127"/>
      <c r="AB36" s="123"/>
      <c r="AC36" s="98">
        <v>0</v>
      </c>
      <c r="AG36" s="40" t="str">
        <f t="shared" si="3"/>
        <v/>
      </c>
      <c r="AH36" s="415"/>
      <c r="AI36" s="415"/>
      <c r="AJ36" s="404"/>
      <c r="AK36" s="1149"/>
      <c r="AL36" s="1149"/>
      <c r="AM36" s="1149"/>
      <c r="AN36" s="1149"/>
      <c r="AO36" s="1149"/>
      <c r="AP36" s="1149"/>
      <c r="AQ36" s="1149"/>
      <c r="AR36" s="1149"/>
      <c r="AS36" s="1149"/>
      <c r="AT36" s="1149"/>
    </row>
    <row r="37" spans="2:46">
      <c r="B37" s="431">
        <f>名簿!E34</f>
        <v>0</v>
      </c>
      <c r="C37" s="432" t="str">
        <f>名簿!CM34</f>
        <v/>
      </c>
      <c r="D37" s="432" t="str">
        <f>名簿!CM34</f>
        <v/>
      </c>
      <c r="E37" s="432" t="str">
        <f>名簿!Z34</f>
        <v/>
      </c>
      <c r="F37" s="432" t="str">
        <f>名簿!P34</f>
        <v/>
      </c>
      <c r="G37" s="432" t="str">
        <f>名簿!Q34</f>
        <v/>
      </c>
      <c r="H37" s="433" t="str">
        <f>名簿!Y34</f>
        <v/>
      </c>
      <c r="I37" s="433" t="str">
        <f>名簿!CN34</f>
        <v/>
      </c>
      <c r="J37" s="1044">
        <f>名簿!CP34</f>
        <v>0</v>
      </c>
      <c r="K37" s="1044" t="str">
        <f>名簿!CU34</f>
        <v>00</v>
      </c>
      <c r="L37" s="1044" t="str">
        <f>名簿!CU34</f>
        <v>00</v>
      </c>
      <c r="M37" s="1271">
        <f>名簿!D34</f>
        <v>0</v>
      </c>
      <c r="N37" s="1267"/>
      <c r="O37" s="292" t="str">
        <f>IF(N37="","",IF(H37=1,VLOOKUP(N37,男子種目コード!$V$23:$W$25,2,FALSE),IF(H37=2,VLOOKUP(N37,女子種目コード!$V$23:$W$25,2,FALSE))))</f>
        <v/>
      </c>
      <c r="P37" s="669" t="str">
        <f>IF(N37="","",HLOOKUP(N37,名簿!$AH$3:$CH$118,32,FALSE))</f>
        <v/>
      </c>
      <c r="Q37" s="115">
        <f t="shared" si="0"/>
        <v>0</v>
      </c>
      <c r="R37" s="116" t="s">
        <v>793</v>
      </c>
      <c r="S37" s="117" t="str">
        <f t="shared" si="1"/>
        <v>0中学</v>
      </c>
      <c r="T37" s="125"/>
      <c r="U37" s="124"/>
      <c r="V37" s="118"/>
      <c r="W37" s="126"/>
      <c r="X37" s="127"/>
      <c r="Y37" s="121"/>
      <c r="Z37" s="128"/>
      <c r="AA37" s="127"/>
      <c r="AB37" s="123"/>
      <c r="AC37" s="98">
        <v>0</v>
      </c>
      <c r="AG37" s="40" t="str">
        <f t="shared" si="3"/>
        <v/>
      </c>
      <c r="AH37" s="415"/>
      <c r="AI37" s="415"/>
      <c r="AJ37" s="404"/>
      <c r="AK37" s="1149"/>
      <c r="AL37" s="1149"/>
      <c r="AM37" s="1149"/>
      <c r="AN37" s="1149"/>
      <c r="AO37" s="1149"/>
      <c r="AP37" s="1149"/>
      <c r="AQ37" s="1149"/>
      <c r="AR37" s="1149"/>
      <c r="AS37" s="1149"/>
      <c r="AT37" s="1149"/>
    </row>
    <row r="38" spans="2:46">
      <c r="B38" s="431">
        <f>名簿!E35</f>
        <v>0</v>
      </c>
      <c r="C38" s="432" t="str">
        <f>名簿!CM35</f>
        <v/>
      </c>
      <c r="D38" s="432" t="str">
        <f>名簿!CM35</f>
        <v/>
      </c>
      <c r="E38" s="432" t="str">
        <f>名簿!Z35</f>
        <v/>
      </c>
      <c r="F38" s="432" t="str">
        <f>名簿!P35</f>
        <v/>
      </c>
      <c r="G38" s="432" t="str">
        <f>名簿!Q35</f>
        <v/>
      </c>
      <c r="H38" s="433" t="str">
        <f>名簿!Y35</f>
        <v/>
      </c>
      <c r="I38" s="433" t="str">
        <f>名簿!CN35</f>
        <v/>
      </c>
      <c r="J38" s="1044">
        <f>名簿!CP35</f>
        <v>0</v>
      </c>
      <c r="K38" s="1044" t="str">
        <f>名簿!CU35</f>
        <v>00</v>
      </c>
      <c r="L38" s="1044" t="str">
        <f>名簿!CU35</f>
        <v>00</v>
      </c>
      <c r="M38" s="1271">
        <f>名簿!D35</f>
        <v>0</v>
      </c>
      <c r="N38" s="1267"/>
      <c r="O38" s="292" t="str">
        <f>IF(N38="","",IF(H38=1,VLOOKUP(N38,男子種目コード!$V$23:$W$25,2,FALSE),IF(H38=2,VLOOKUP(N38,女子種目コード!$V$23:$W$25,2,FALSE))))</f>
        <v/>
      </c>
      <c r="P38" s="669" t="str">
        <f>IF(N38="","",HLOOKUP(N38,名簿!$AH$3:$CH$118,33,FALSE))</f>
        <v/>
      </c>
      <c r="Q38" s="115">
        <f t="shared" si="0"/>
        <v>0</v>
      </c>
      <c r="R38" s="116" t="s">
        <v>793</v>
      </c>
      <c r="S38" s="117" t="str">
        <f t="shared" si="1"/>
        <v>0中学</v>
      </c>
      <c r="T38" s="125"/>
      <c r="U38" s="124"/>
      <c r="V38" s="118"/>
      <c r="W38" s="126"/>
      <c r="X38" s="127"/>
      <c r="Y38" s="121"/>
      <c r="Z38" s="128"/>
      <c r="AA38" s="127"/>
      <c r="AB38" s="123"/>
      <c r="AC38" s="98">
        <v>0</v>
      </c>
      <c r="AG38" s="40" t="str">
        <f t="shared" si="3"/>
        <v/>
      </c>
      <c r="AH38" s="415"/>
      <c r="AI38" s="415"/>
      <c r="AJ38" s="404"/>
      <c r="AK38" s="1149"/>
      <c r="AL38" s="1149"/>
      <c r="AM38" s="1149"/>
      <c r="AN38" s="1149"/>
      <c r="AO38" s="1149"/>
      <c r="AP38" s="1149"/>
      <c r="AQ38" s="1149"/>
      <c r="AR38" s="1149"/>
      <c r="AS38" s="1149"/>
      <c r="AT38" s="1149"/>
    </row>
    <row r="39" spans="2:46">
      <c r="B39" s="431">
        <f>名簿!E36</f>
        <v>0</v>
      </c>
      <c r="C39" s="432" t="str">
        <f>名簿!CM36</f>
        <v/>
      </c>
      <c r="D39" s="432" t="str">
        <f>名簿!CM36</f>
        <v/>
      </c>
      <c r="E39" s="432" t="str">
        <f>名簿!Z36</f>
        <v/>
      </c>
      <c r="F39" s="432" t="str">
        <f>名簿!P36</f>
        <v/>
      </c>
      <c r="G39" s="432" t="str">
        <f>名簿!Q36</f>
        <v/>
      </c>
      <c r="H39" s="433" t="str">
        <f>名簿!Y36</f>
        <v/>
      </c>
      <c r="I39" s="433" t="str">
        <f>名簿!CN36</f>
        <v/>
      </c>
      <c r="J39" s="1044">
        <f>名簿!CP36</f>
        <v>0</v>
      </c>
      <c r="K39" s="1044" t="str">
        <f>名簿!CU36</f>
        <v>00</v>
      </c>
      <c r="L39" s="1044" t="str">
        <f>名簿!CU36</f>
        <v>00</v>
      </c>
      <c r="M39" s="1271">
        <f>名簿!D36</f>
        <v>0</v>
      </c>
      <c r="N39" s="1267"/>
      <c r="O39" s="292" t="str">
        <f>IF(N39="","",IF(H39=1,VLOOKUP(N39,男子種目コード!$V$23:$W$25,2,FALSE),IF(H39=2,VLOOKUP(N39,女子種目コード!$V$23:$W$25,2,FALSE))))</f>
        <v/>
      </c>
      <c r="P39" s="669" t="str">
        <f>IF(N39="","",HLOOKUP(N39,名簿!$AH$3:$CH$118,34,FALSE))</f>
        <v/>
      </c>
      <c r="Q39" s="115">
        <f t="shared" si="0"/>
        <v>0</v>
      </c>
      <c r="R39" s="116" t="s">
        <v>793</v>
      </c>
      <c r="S39" s="117" t="str">
        <f t="shared" si="1"/>
        <v>0中学</v>
      </c>
      <c r="T39" s="125"/>
      <c r="U39" s="124"/>
      <c r="V39" s="118"/>
      <c r="W39" s="126"/>
      <c r="X39" s="127"/>
      <c r="Y39" s="121"/>
      <c r="Z39" s="128"/>
      <c r="AA39" s="127"/>
      <c r="AB39" s="123"/>
      <c r="AC39" s="98">
        <v>0</v>
      </c>
      <c r="AG39" s="40" t="str">
        <f t="shared" ref="AG39:AG70" si="4">IF(N39="","",1)</f>
        <v/>
      </c>
      <c r="AH39" s="415"/>
      <c r="AI39" s="415"/>
      <c r="AJ39" s="404"/>
      <c r="AK39" s="1149"/>
      <c r="AL39" s="1149"/>
      <c r="AM39" s="1149"/>
      <c r="AN39" s="1149"/>
      <c r="AO39" s="1149"/>
      <c r="AP39" s="1149"/>
      <c r="AQ39" s="1149"/>
      <c r="AR39" s="1149"/>
      <c r="AS39" s="1149"/>
      <c r="AT39" s="1149"/>
    </row>
    <row r="40" spans="2:46">
      <c r="B40" s="431">
        <f>名簿!E37</f>
        <v>0</v>
      </c>
      <c r="C40" s="432" t="str">
        <f>名簿!CM37</f>
        <v/>
      </c>
      <c r="D40" s="432" t="str">
        <f>名簿!CM37</f>
        <v/>
      </c>
      <c r="E40" s="432" t="str">
        <f>名簿!Z37</f>
        <v/>
      </c>
      <c r="F40" s="432" t="str">
        <f>名簿!P37</f>
        <v/>
      </c>
      <c r="G40" s="432" t="str">
        <f>名簿!Q37</f>
        <v/>
      </c>
      <c r="H40" s="433" t="str">
        <f>名簿!Y37</f>
        <v/>
      </c>
      <c r="I40" s="433" t="str">
        <f>名簿!CN37</f>
        <v/>
      </c>
      <c r="J40" s="1044">
        <f>名簿!CP37</f>
        <v>0</v>
      </c>
      <c r="K40" s="1044" t="str">
        <f>名簿!CU37</f>
        <v>00</v>
      </c>
      <c r="L40" s="1044" t="str">
        <f>名簿!CU37</f>
        <v>00</v>
      </c>
      <c r="M40" s="1271">
        <f>名簿!D37</f>
        <v>0</v>
      </c>
      <c r="N40" s="1267"/>
      <c r="O40" s="292" t="str">
        <f>IF(N40="","",IF(H40=1,VLOOKUP(N40,男子種目コード!$V$23:$W$25,2,FALSE),IF(H40=2,VLOOKUP(N40,女子種目コード!$V$23:$W$25,2,FALSE))))</f>
        <v/>
      </c>
      <c r="P40" s="669" t="str">
        <f>IF(N40="","",HLOOKUP(N40,名簿!$AH$3:$CH$118,35,FALSE))</f>
        <v/>
      </c>
      <c r="Q40" s="115">
        <f t="shared" si="0"/>
        <v>0</v>
      </c>
      <c r="R40" s="116" t="s">
        <v>793</v>
      </c>
      <c r="S40" s="117" t="str">
        <f t="shared" si="1"/>
        <v>0中学</v>
      </c>
      <c r="T40" s="125"/>
      <c r="U40" s="124"/>
      <c r="V40" s="118"/>
      <c r="W40" s="126"/>
      <c r="X40" s="127"/>
      <c r="Y40" s="121"/>
      <c r="Z40" s="128"/>
      <c r="AA40" s="127"/>
      <c r="AB40" s="123"/>
      <c r="AC40" s="98">
        <v>0</v>
      </c>
      <c r="AG40" s="40" t="str">
        <f t="shared" si="4"/>
        <v/>
      </c>
      <c r="AH40" s="415"/>
      <c r="AI40" s="415"/>
      <c r="AJ40" s="404"/>
      <c r="AK40" s="1149"/>
      <c r="AL40" s="1149"/>
      <c r="AM40" s="1149"/>
      <c r="AN40" s="1149"/>
      <c r="AO40" s="1149"/>
      <c r="AP40" s="1149"/>
      <c r="AQ40" s="1149"/>
      <c r="AR40" s="1149"/>
      <c r="AS40" s="1149"/>
      <c r="AT40" s="1149"/>
    </row>
    <row r="41" spans="2:46">
      <c r="B41" s="431">
        <f>名簿!E38</f>
        <v>0</v>
      </c>
      <c r="C41" s="432" t="str">
        <f>名簿!CM38</f>
        <v/>
      </c>
      <c r="D41" s="432" t="str">
        <f>名簿!CM38</f>
        <v/>
      </c>
      <c r="E41" s="432" t="str">
        <f>名簿!Z38</f>
        <v/>
      </c>
      <c r="F41" s="432" t="str">
        <f>名簿!P38</f>
        <v/>
      </c>
      <c r="G41" s="432" t="str">
        <f>名簿!Q38</f>
        <v/>
      </c>
      <c r="H41" s="433" t="str">
        <f>名簿!Y38</f>
        <v/>
      </c>
      <c r="I41" s="433" t="str">
        <f>名簿!CN38</f>
        <v/>
      </c>
      <c r="J41" s="1044">
        <f>名簿!CP38</f>
        <v>0</v>
      </c>
      <c r="K41" s="1044" t="str">
        <f>名簿!CU38</f>
        <v>00</v>
      </c>
      <c r="L41" s="1044" t="str">
        <f>名簿!CU38</f>
        <v>00</v>
      </c>
      <c r="M41" s="1271">
        <f>名簿!D38</f>
        <v>0</v>
      </c>
      <c r="N41" s="1267"/>
      <c r="O41" s="292" t="str">
        <f>IF(N41="","",IF(H41=1,VLOOKUP(N41,男子種目コード!$V$23:$W$25,2,FALSE),IF(H41=2,VLOOKUP(N41,女子種目コード!$V$23:$W$25,2,FALSE))))</f>
        <v/>
      </c>
      <c r="P41" s="669" t="str">
        <f>IF(N41="","",HLOOKUP(N41,名簿!$AH$3:$CH$118,36,FALSE))</f>
        <v/>
      </c>
      <c r="Q41" s="115">
        <f t="shared" si="0"/>
        <v>0</v>
      </c>
      <c r="R41" s="116" t="s">
        <v>793</v>
      </c>
      <c r="S41" s="117" t="str">
        <f t="shared" si="1"/>
        <v>0中学</v>
      </c>
      <c r="T41" s="125"/>
      <c r="U41" s="124"/>
      <c r="V41" s="118"/>
      <c r="W41" s="126"/>
      <c r="X41" s="127"/>
      <c r="Y41" s="121"/>
      <c r="Z41" s="128"/>
      <c r="AA41" s="127"/>
      <c r="AB41" s="123"/>
      <c r="AC41" s="98">
        <v>0</v>
      </c>
      <c r="AG41" s="40" t="str">
        <f t="shared" si="4"/>
        <v/>
      </c>
      <c r="AH41" s="415"/>
      <c r="AI41" s="415"/>
      <c r="AJ41" s="404"/>
      <c r="AK41" s="1149"/>
      <c r="AL41" s="1149"/>
      <c r="AM41" s="1149"/>
      <c r="AN41" s="1149"/>
      <c r="AO41" s="1149"/>
      <c r="AP41" s="1149"/>
      <c r="AQ41" s="1149"/>
      <c r="AR41" s="1149"/>
      <c r="AS41" s="1149"/>
      <c r="AT41" s="1149"/>
    </row>
    <row r="42" spans="2:46">
      <c r="B42" s="431">
        <f>名簿!E39</f>
        <v>0</v>
      </c>
      <c r="C42" s="432" t="str">
        <f>名簿!CM39</f>
        <v/>
      </c>
      <c r="D42" s="432" t="str">
        <f>名簿!CM39</f>
        <v/>
      </c>
      <c r="E42" s="432" t="str">
        <f>名簿!Z39</f>
        <v/>
      </c>
      <c r="F42" s="432" t="str">
        <f>名簿!P39</f>
        <v/>
      </c>
      <c r="G42" s="432" t="str">
        <f>名簿!Q39</f>
        <v/>
      </c>
      <c r="H42" s="433" t="str">
        <f>名簿!Y39</f>
        <v/>
      </c>
      <c r="I42" s="433" t="str">
        <f>名簿!CN39</f>
        <v/>
      </c>
      <c r="J42" s="1044">
        <f>名簿!CP39</f>
        <v>0</v>
      </c>
      <c r="K42" s="1044" t="str">
        <f>名簿!CU39</f>
        <v>00</v>
      </c>
      <c r="L42" s="1044" t="str">
        <f>名簿!CU39</f>
        <v>00</v>
      </c>
      <c r="M42" s="1271">
        <f>名簿!D39</f>
        <v>0</v>
      </c>
      <c r="N42" s="1267"/>
      <c r="O42" s="292" t="str">
        <f>IF(N42="","",IF(H42=1,VLOOKUP(N42,男子種目コード!$V$23:$W$25,2,FALSE),IF(H42=2,VLOOKUP(N42,女子種目コード!$V$23:$W$25,2,FALSE))))</f>
        <v/>
      </c>
      <c r="P42" s="669" t="str">
        <f>IF(N42="","",HLOOKUP(N42,名簿!$AH$3:$CH$118,37,FALSE))</f>
        <v/>
      </c>
      <c r="Q42" s="115">
        <f t="shared" si="0"/>
        <v>0</v>
      </c>
      <c r="R42" s="116" t="s">
        <v>793</v>
      </c>
      <c r="S42" s="117" t="str">
        <f t="shared" si="1"/>
        <v>0中学</v>
      </c>
      <c r="T42" s="125"/>
      <c r="U42" s="124"/>
      <c r="V42" s="118"/>
      <c r="W42" s="126"/>
      <c r="X42" s="127"/>
      <c r="Y42" s="121"/>
      <c r="Z42" s="128"/>
      <c r="AA42" s="127"/>
      <c r="AB42" s="123"/>
      <c r="AC42" s="98">
        <v>0</v>
      </c>
      <c r="AG42" s="40" t="str">
        <f t="shared" si="4"/>
        <v/>
      </c>
      <c r="AH42" s="415"/>
      <c r="AI42" s="415"/>
      <c r="AJ42" s="404"/>
      <c r="AK42" s="1149"/>
      <c r="AL42" s="1149"/>
      <c r="AM42" s="1149"/>
      <c r="AN42" s="1149"/>
      <c r="AO42" s="1149"/>
      <c r="AP42" s="1149"/>
      <c r="AQ42" s="1149"/>
      <c r="AR42" s="1149"/>
      <c r="AS42" s="1149"/>
      <c r="AT42" s="1149"/>
    </row>
    <row r="43" spans="2:46">
      <c r="B43" s="431">
        <f>名簿!E40</f>
        <v>0</v>
      </c>
      <c r="C43" s="432" t="str">
        <f>名簿!CM40</f>
        <v/>
      </c>
      <c r="D43" s="432" t="str">
        <f>名簿!CM40</f>
        <v/>
      </c>
      <c r="E43" s="432" t="str">
        <f>名簿!Z40</f>
        <v/>
      </c>
      <c r="F43" s="432" t="str">
        <f>名簿!P40</f>
        <v/>
      </c>
      <c r="G43" s="432" t="str">
        <f>名簿!Q40</f>
        <v/>
      </c>
      <c r="H43" s="433" t="str">
        <f>名簿!Y40</f>
        <v/>
      </c>
      <c r="I43" s="433" t="str">
        <f>名簿!CN40</f>
        <v/>
      </c>
      <c r="J43" s="1044">
        <f>名簿!CP40</f>
        <v>0</v>
      </c>
      <c r="K43" s="1044" t="str">
        <f>名簿!CU40</f>
        <v>00</v>
      </c>
      <c r="L43" s="1044" t="str">
        <f>名簿!CU40</f>
        <v>00</v>
      </c>
      <c r="M43" s="1271">
        <f>名簿!D40</f>
        <v>0</v>
      </c>
      <c r="N43" s="1267"/>
      <c r="O43" s="292" t="str">
        <f>IF(N43="","",IF(H43=1,VLOOKUP(N43,男子種目コード!$V$23:$W$25,2,FALSE),IF(H43=2,VLOOKUP(N43,女子種目コード!$V$23:$W$25,2,FALSE))))</f>
        <v/>
      </c>
      <c r="P43" s="669" t="str">
        <f>IF(N43="","",HLOOKUP(N43,名簿!$AH$3:$CH$118,38,FALSE))</f>
        <v/>
      </c>
      <c r="Q43" s="115">
        <f t="shared" si="0"/>
        <v>0</v>
      </c>
      <c r="R43" s="116" t="s">
        <v>793</v>
      </c>
      <c r="S43" s="117" t="str">
        <f t="shared" si="1"/>
        <v>0中学</v>
      </c>
      <c r="T43" s="125"/>
      <c r="U43" s="124"/>
      <c r="V43" s="118"/>
      <c r="W43" s="126"/>
      <c r="X43" s="127"/>
      <c r="Y43" s="121"/>
      <c r="Z43" s="128"/>
      <c r="AA43" s="127"/>
      <c r="AB43" s="123"/>
      <c r="AC43" s="98">
        <v>0</v>
      </c>
      <c r="AG43" s="40" t="str">
        <f t="shared" si="4"/>
        <v/>
      </c>
      <c r="AH43" s="415"/>
      <c r="AI43" s="415"/>
      <c r="AJ43" s="404"/>
      <c r="AK43" s="1149"/>
      <c r="AL43" s="1149"/>
      <c r="AM43" s="1149"/>
      <c r="AN43" s="1149"/>
      <c r="AO43" s="1149"/>
      <c r="AP43" s="1149"/>
      <c r="AQ43" s="1149"/>
      <c r="AR43" s="1149"/>
      <c r="AS43" s="1149"/>
      <c r="AT43" s="1149"/>
    </row>
    <row r="44" spans="2:46">
      <c r="B44" s="431">
        <f>名簿!E41</f>
        <v>0</v>
      </c>
      <c r="C44" s="432" t="str">
        <f>名簿!CM41</f>
        <v/>
      </c>
      <c r="D44" s="432" t="str">
        <f>名簿!CM41</f>
        <v/>
      </c>
      <c r="E44" s="432" t="str">
        <f>名簿!Z41</f>
        <v/>
      </c>
      <c r="F44" s="432" t="str">
        <f>名簿!P41</f>
        <v/>
      </c>
      <c r="G44" s="432" t="str">
        <f>名簿!Q41</f>
        <v/>
      </c>
      <c r="H44" s="433" t="str">
        <f>名簿!Y41</f>
        <v/>
      </c>
      <c r="I44" s="433" t="str">
        <f>名簿!CN41</f>
        <v/>
      </c>
      <c r="J44" s="1044">
        <f>名簿!CP41</f>
        <v>0</v>
      </c>
      <c r="K44" s="1044" t="str">
        <f>名簿!CU41</f>
        <v>00</v>
      </c>
      <c r="L44" s="1044" t="str">
        <f>名簿!CU41</f>
        <v>00</v>
      </c>
      <c r="M44" s="1271">
        <f>名簿!D41</f>
        <v>0</v>
      </c>
      <c r="N44" s="1267"/>
      <c r="O44" s="292" t="str">
        <f>IF(N44="","",IF(H44=1,VLOOKUP(N44,男子種目コード!$V$23:$W$25,2,FALSE),IF(H44=2,VLOOKUP(N44,女子種目コード!$V$23:$W$25,2,FALSE))))</f>
        <v/>
      </c>
      <c r="P44" s="669" t="str">
        <f>IF(N44="","",HLOOKUP(N44,名簿!$AH$3:$CH$118,39,FALSE))</f>
        <v/>
      </c>
      <c r="Q44" s="115">
        <f t="shared" si="0"/>
        <v>0</v>
      </c>
      <c r="R44" s="116" t="s">
        <v>793</v>
      </c>
      <c r="S44" s="117" t="str">
        <f t="shared" si="1"/>
        <v>0中学</v>
      </c>
      <c r="T44" s="125"/>
      <c r="U44" s="124"/>
      <c r="V44" s="118"/>
      <c r="W44" s="126"/>
      <c r="X44" s="127"/>
      <c r="Y44" s="121"/>
      <c r="Z44" s="128"/>
      <c r="AA44" s="127"/>
      <c r="AB44" s="123"/>
      <c r="AC44" s="98">
        <v>0</v>
      </c>
      <c r="AG44" s="40" t="str">
        <f t="shared" si="4"/>
        <v/>
      </c>
      <c r="AH44" s="415"/>
      <c r="AI44" s="415"/>
      <c r="AJ44" s="404"/>
      <c r="AK44" s="1149"/>
      <c r="AL44" s="1149"/>
      <c r="AM44" s="1149"/>
      <c r="AN44" s="1149"/>
      <c r="AO44" s="1149"/>
      <c r="AP44" s="1149"/>
      <c r="AQ44" s="1149"/>
      <c r="AR44" s="1149"/>
      <c r="AS44" s="1149"/>
      <c r="AT44" s="1149"/>
    </row>
    <row r="45" spans="2:46">
      <c r="B45" s="431">
        <f>名簿!E42</f>
        <v>0</v>
      </c>
      <c r="C45" s="432" t="str">
        <f>名簿!CM42</f>
        <v/>
      </c>
      <c r="D45" s="432" t="str">
        <f>名簿!CM42</f>
        <v/>
      </c>
      <c r="E45" s="432" t="str">
        <f>名簿!Z42</f>
        <v/>
      </c>
      <c r="F45" s="432" t="str">
        <f>名簿!P42</f>
        <v/>
      </c>
      <c r="G45" s="432" t="str">
        <f>名簿!Q42</f>
        <v/>
      </c>
      <c r="H45" s="433" t="str">
        <f>名簿!Y42</f>
        <v/>
      </c>
      <c r="I45" s="433" t="str">
        <f>名簿!CN42</f>
        <v/>
      </c>
      <c r="J45" s="1044">
        <f>名簿!CP42</f>
        <v>0</v>
      </c>
      <c r="K45" s="1044" t="str">
        <f>名簿!CU42</f>
        <v>00</v>
      </c>
      <c r="L45" s="1044" t="str">
        <f>名簿!CU42</f>
        <v>00</v>
      </c>
      <c r="M45" s="1271">
        <f>名簿!D42</f>
        <v>0</v>
      </c>
      <c r="N45" s="1267"/>
      <c r="O45" s="292" t="str">
        <f>IF(N45="","",IF(H45=1,VLOOKUP(N45,男子種目コード!$V$23:$W$25,2,FALSE),IF(H45=2,VLOOKUP(N45,女子種目コード!$V$23:$W$25,2,FALSE))))</f>
        <v/>
      </c>
      <c r="P45" s="669" t="str">
        <f>IF(N45="","",HLOOKUP(N45,名簿!$AH$3:$CH$118,40,FALSE))</f>
        <v/>
      </c>
      <c r="Q45" s="115">
        <f t="shared" si="0"/>
        <v>0</v>
      </c>
      <c r="R45" s="116" t="s">
        <v>793</v>
      </c>
      <c r="S45" s="117" t="str">
        <f t="shared" si="1"/>
        <v>0中学</v>
      </c>
      <c r="T45" s="125"/>
      <c r="U45" s="124"/>
      <c r="V45" s="118"/>
      <c r="W45" s="126"/>
      <c r="X45" s="127"/>
      <c r="Y45" s="121"/>
      <c r="Z45" s="128"/>
      <c r="AA45" s="127"/>
      <c r="AB45" s="123"/>
      <c r="AC45" s="98">
        <v>0</v>
      </c>
      <c r="AG45" s="40" t="str">
        <f t="shared" si="4"/>
        <v/>
      </c>
      <c r="AH45" s="415"/>
      <c r="AI45" s="415"/>
      <c r="AJ45" s="404"/>
      <c r="AK45" s="1149"/>
      <c r="AL45" s="1149"/>
      <c r="AM45" s="1149"/>
      <c r="AN45" s="1149"/>
      <c r="AO45" s="1149"/>
      <c r="AP45" s="1149"/>
      <c r="AQ45" s="1149"/>
      <c r="AR45" s="1149"/>
      <c r="AS45" s="1149"/>
      <c r="AT45" s="1149"/>
    </row>
    <row r="46" spans="2:46">
      <c r="B46" s="431">
        <f>名簿!E43</f>
        <v>0</v>
      </c>
      <c r="C46" s="432" t="str">
        <f>名簿!CM43</f>
        <v/>
      </c>
      <c r="D46" s="432" t="str">
        <f>名簿!CM43</f>
        <v/>
      </c>
      <c r="E46" s="432" t="str">
        <f>名簿!Z43</f>
        <v/>
      </c>
      <c r="F46" s="432" t="str">
        <f>名簿!P43</f>
        <v/>
      </c>
      <c r="G46" s="432" t="str">
        <f>名簿!Q43</f>
        <v/>
      </c>
      <c r="H46" s="433" t="str">
        <f>名簿!Y43</f>
        <v/>
      </c>
      <c r="I46" s="433" t="str">
        <f>名簿!CN43</f>
        <v/>
      </c>
      <c r="J46" s="1044">
        <f>名簿!CP43</f>
        <v>0</v>
      </c>
      <c r="K46" s="1044" t="str">
        <f>名簿!CU43</f>
        <v>00</v>
      </c>
      <c r="L46" s="1044" t="str">
        <f>名簿!CU43</f>
        <v>00</v>
      </c>
      <c r="M46" s="1271">
        <f>名簿!D43</f>
        <v>0</v>
      </c>
      <c r="N46" s="1267"/>
      <c r="O46" s="292" t="str">
        <f>IF(N46="","",IF(H46=1,VLOOKUP(N46,男子種目コード!$V$23:$W$25,2,FALSE),IF(H46=2,VLOOKUP(N46,女子種目コード!$V$23:$W$25,2,FALSE))))</f>
        <v/>
      </c>
      <c r="P46" s="669" t="str">
        <f>IF(N46="","",HLOOKUP(N46,名簿!$AH$3:$CH$118,41,FALSE))</f>
        <v/>
      </c>
      <c r="Q46" s="115">
        <f t="shared" si="0"/>
        <v>0</v>
      </c>
      <c r="R46" s="116" t="s">
        <v>793</v>
      </c>
      <c r="S46" s="117" t="str">
        <f t="shared" si="1"/>
        <v>0中学</v>
      </c>
      <c r="T46" s="125"/>
      <c r="U46" s="124"/>
      <c r="V46" s="118"/>
      <c r="W46" s="126"/>
      <c r="X46" s="127"/>
      <c r="Y46" s="121"/>
      <c r="Z46" s="128"/>
      <c r="AA46" s="127"/>
      <c r="AB46" s="123"/>
      <c r="AC46" s="98">
        <v>0</v>
      </c>
      <c r="AG46" s="40" t="str">
        <f t="shared" si="4"/>
        <v/>
      </c>
      <c r="AH46" s="415"/>
      <c r="AI46" s="415"/>
      <c r="AJ46" s="404"/>
      <c r="AK46" s="1149"/>
      <c r="AL46" s="1149"/>
      <c r="AM46" s="1149"/>
      <c r="AN46" s="1149"/>
      <c r="AO46" s="1149"/>
      <c r="AP46" s="1149"/>
      <c r="AQ46" s="1149"/>
      <c r="AR46" s="1149"/>
      <c r="AS46" s="1149"/>
      <c r="AT46" s="1149"/>
    </row>
    <row r="47" spans="2:46">
      <c r="B47" s="431">
        <f>名簿!E44</f>
        <v>0</v>
      </c>
      <c r="C47" s="432" t="str">
        <f>名簿!CM44</f>
        <v/>
      </c>
      <c r="D47" s="432" t="str">
        <f>名簿!CM44</f>
        <v/>
      </c>
      <c r="E47" s="432" t="str">
        <f>名簿!Z44</f>
        <v/>
      </c>
      <c r="F47" s="432" t="str">
        <f>名簿!P44</f>
        <v/>
      </c>
      <c r="G47" s="432" t="str">
        <f>名簿!Q44</f>
        <v/>
      </c>
      <c r="H47" s="433" t="str">
        <f>名簿!Y44</f>
        <v/>
      </c>
      <c r="I47" s="433" t="str">
        <f>名簿!CN44</f>
        <v/>
      </c>
      <c r="J47" s="1044">
        <f>名簿!CP44</f>
        <v>0</v>
      </c>
      <c r="K47" s="1044" t="str">
        <f>名簿!CU44</f>
        <v>00</v>
      </c>
      <c r="L47" s="1044" t="str">
        <f>名簿!CU44</f>
        <v>00</v>
      </c>
      <c r="M47" s="1271">
        <f>名簿!D44</f>
        <v>0</v>
      </c>
      <c r="N47" s="1267"/>
      <c r="O47" s="292" t="str">
        <f>IF(N47="","",IF(H47=1,VLOOKUP(N47,男子種目コード!$V$23:$W$25,2,FALSE),IF(H47=2,VLOOKUP(N47,女子種目コード!$V$23:$W$25,2,FALSE))))</f>
        <v/>
      </c>
      <c r="P47" s="669" t="str">
        <f>IF(N47="","",HLOOKUP(N47,名簿!$AH$3:$CH$118,42,FALSE))</f>
        <v/>
      </c>
      <c r="Q47" s="115">
        <f t="shared" si="0"/>
        <v>0</v>
      </c>
      <c r="R47" s="116" t="s">
        <v>793</v>
      </c>
      <c r="S47" s="117" t="str">
        <f t="shared" si="1"/>
        <v>0中学</v>
      </c>
      <c r="T47" s="125"/>
      <c r="U47" s="124"/>
      <c r="V47" s="118"/>
      <c r="W47" s="126"/>
      <c r="X47" s="127"/>
      <c r="Y47" s="121"/>
      <c r="Z47" s="128"/>
      <c r="AA47" s="127"/>
      <c r="AB47" s="123"/>
      <c r="AC47" s="98">
        <v>0</v>
      </c>
      <c r="AG47" s="40" t="str">
        <f t="shared" si="4"/>
        <v/>
      </c>
      <c r="AH47" s="415"/>
      <c r="AI47" s="415"/>
      <c r="AJ47" s="404"/>
      <c r="AK47" s="1149"/>
      <c r="AL47" s="1149"/>
      <c r="AM47" s="1149"/>
      <c r="AN47" s="1149"/>
      <c r="AO47" s="1149"/>
      <c r="AP47" s="1149"/>
      <c r="AQ47" s="1149"/>
      <c r="AR47" s="1149"/>
      <c r="AS47" s="1149"/>
      <c r="AT47" s="1149"/>
    </row>
    <row r="48" spans="2:46">
      <c r="B48" s="431">
        <f>名簿!E45</f>
        <v>0</v>
      </c>
      <c r="C48" s="432" t="str">
        <f>名簿!CM45</f>
        <v/>
      </c>
      <c r="D48" s="432" t="str">
        <f>名簿!CM45</f>
        <v/>
      </c>
      <c r="E48" s="432" t="str">
        <f>名簿!Z45</f>
        <v/>
      </c>
      <c r="F48" s="432" t="str">
        <f>名簿!P45</f>
        <v/>
      </c>
      <c r="G48" s="432" t="str">
        <f>名簿!Q45</f>
        <v/>
      </c>
      <c r="H48" s="433" t="str">
        <f>名簿!Y45</f>
        <v/>
      </c>
      <c r="I48" s="433" t="str">
        <f>名簿!CN45</f>
        <v/>
      </c>
      <c r="J48" s="1044">
        <f>名簿!CP45</f>
        <v>0</v>
      </c>
      <c r="K48" s="1044" t="str">
        <f>名簿!CU45</f>
        <v>00</v>
      </c>
      <c r="L48" s="1044" t="str">
        <f>名簿!CU45</f>
        <v>00</v>
      </c>
      <c r="M48" s="1271">
        <f>名簿!D45</f>
        <v>0</v>
      </c>
      <c r="N48" s="1267"/>
      <c r="O48" s="292" t="str">
        <f>IF(N48="","",IF(H48=1,VLOOKUP(N48,男子種目コード!$V$23:$W$25,2,FALSE),IF(H48=2,VLOOKUP(N48,女子種目コード!$V$23:$W$25,2,FALSE))))</f>
        <v/>
      </c>
      <c r="P48" s="669" t="str">
        <f>IF(N48="","",HLOOKUP(N48,名簿!$AH$3:$CH$118,43,FALSE))</f>
        <v/>
      </c>
      <c r="Q48" s="115">
        <f t="shared" si="0"/>
        <v>0</v>
      </c>
      <c r="R48" s="116" t="s">
        <v>793</v>
      </c>
      <c r="S48" s="117" t="str">
        <f t="shared" si="1"/>
        <v>0中学</v>
      </c>
      <c r="T48" s="125"/>
      <c r="U48" s="124"/>
      <c r="V48" s="118"/>
      <c r="W48" s="126"/>
      <c r="X48" s="127"/>
      <c r="Y48" s="121"/>
      <c r="Z48" s="128"/>
      <c r="AA48" s="127"/>
      <c r="AB48" s="123"/>
      <c r="AC48" s="98">
        <v>0</v>
      </c>
      <c r="AG48" s="40" t="str">
        <f t="shared" si="4"/>
        <v/>
      </c>
      <c r="AH48" s="415"/>
      <c r="AI48" s="415"/>
      <c r="AJ48" s="404"/>
      <c r="AK48" s="1149"/>
      <c r="AL48" s="1149"/>
      <c r="AM48" s="1149"/>
      <c r="AN48" s="1149"/>
      <c r="AO48" s="1149"/>
      <c r="AP48" s="1149"/>
      <c r="AQ48" s="1149"/>
      <c r="AR48" s="1149"/>
      <c r="AS48" s="1149"/>
      <c r="AT48" s="1149"/>
    </row>
    <row r="49" spans="2:46">
      <c r="B49" s="431">
        <f>名簿!E46</f>
        <v>0</v>
      </c>
      <c r="C49" s="432" t="str">
        <f>名簿!CM46</f>
        <v/>
      </c>
      <c r="D49" s="432" t="str">
        <f>名簿!CM46</f>
        <v/>
      </c>
      <c r="E49" s="432" t="str">
        <f>名簿!Z46</f>
        <v/>
      </c>
      <c r="F49" s="432" t="str">
        <f>名簿!P46</f>
        <v/>
      </c>
      <c r="G49" s="432" t="str">
        <f>名簿!Q46</f>
        <v/>
      </c>
      <c r="H49" s="433" t="str">
        <f>名簿!Y46</f>
        <v/>
      </c>
      <c r="I49" s="433" t="str">
        <f>名簿!CN46</f>
        <v/>
      </c>
      <c r="J49" s="1044">
        <f>名簿!CP46</f>
        <v>0</v>
      </c>
      <c r="K49" s="1044" t="str">
        <f>名簿!CU46</f>
        <v>00</v>
      </c>
      <c r="L49" s="1044" t="str">
        <f>名簿!CU46</f>
        <v>00</v>
      </c>
      <c r="M49" s="1271">
        <f>名簿!D46</f>
        <v>0</v>
      </c>
      <c r="N49" s="1267"/>
      <c r="O49" s="292" t="str">
        <f>IF(N49="","",IF(H49=1,VLOOKUP(N49,男子種目コード!$V$23:$W$25,2,FALSE),IF(H49=2,VLOOKUP(N49,女子種目コード!$V$23:$W$25,2,FALSE))))</f>
        <v/>
      </c>
      <c r="P49" s="669" t="str">
        <f>IF(N49="","",HLOOKUP(N49,名簿!$AH$3:$CH$118,44,FALSE))</f>
        <v/>
      </c>
      <c r="Q49" s="115">
        <f t="shared" si="0"/>
        <v>0</v>
      </c>
      <c r="R49" s="116" t="s">
        <v>793</v>
      </c>
      <c r="S49" s="117" t="str">
        <f t="shared" si="1"/>
        <v>0中学</v>
      </c>
      <c r="T49" s="125"/>
      <c r="U49" s="124"/>
      <c r="V49" s="118"/>
      <c r="W49" s="126"/>
      <c r="X49" s="127"/>
      <c r="Y49" s="121"/>
      <c r="Z49" s="128"/>
      <c r="AA49" s="127"/>
      <c r="AB49" s="123"/>
      <c r="AC49" s="98">
        <v>0</v>
      </c>
      <c r="AG49" s="40" t="str">
        <f t="shared" si="4"/>
        <v/>
      </c>
      <c r="AH49" s="415"/>
      <c r="AI49" s="415"/>
      <c r="AJ49" s="404"/>
      <c r="AK49" s="1149"/>
      <c r="AL49" s="1149"/>
      <c r="AM49" s="1149"/>
      <c r="AN49" s="1149"/>
      <c r="AO49" s="1149"/>
      <c r="AP49" s="1149"/>
      <c r="AQ49" s="1149"/>
      <c r="AR49" s="1149"/>
      <c r="AS49" s="1149"/>
      <c r="AT49" s="1149"/>
    </row>
    <row r="50" spans="2:46">
      <c r="B50" s="431">
        <f>名簿!E47</f>
        <v>0</v>
      </c>
      <c r="C50" s="432" t="str">
        <f>名簿!CM47</f>
        <v/>
      </c>
      <c r="D50" s="432" t="str">
        <f>名簿!CM47</f>
        <v/>
      </c>
      <c r="E50" s="432" t="str">
        <f>名簿!Z47</f>
        <v/>
      </c>
      <c r="F50" s="432" t="str">
        <f>名簿!P47</f>
        <v/>
      </c>
      <c r="G50" s="432" t="str">
        <f>名簿!Q47</f>
        <v/>
      </c>
      <c r="H50" s="433" t="str">
        <f>名簿!Y47</f>
        <v/>
      </c>
      <c r="I50" s="433" t="str">
        <f>名簿!CN47</f>
        <v/>
      </c>
      <c r="J50" s="1044">
        <f>名簿!CP47</f>
        <v>0</v>
      </c>
      <c r="K50" s="1044" t="str">
        <f>名簿!CU47</f>
        <v>00</v>
      </c>
      <c r="L50" s="1044" t="str">
        <f>名簿!CU47</f>
        <v>00</v>
      </c>
      <c r="M50" s="1271">
        <f>名簿!D47</f>
        <v>0</v>
      </c>
      <c r="N50" s="1267"/>
      <c r="O50" s="292" t="str">
        <f>IF(N50="","",IF(H50=1,VLOOKUP(N50,男子種目コード!$V$23:$W$25,2,FALSE),IF(H50=2,VLOOKUP(N50,女子種目コード!$V$23:$W$25,2,FALSE))))</f>
        <v/>
      </c>
      <c r="P50" s="669" t="str">
        <f>IF(N50="","",HLOOKUP(N50,名簿!$AH$3:$CH$118,45,FALSE))</f>
        <v/>
      </c>
      <c r="Q50" s="115">
        <f t="shared" si="0"/>
        <v>0</v>
      </c>
      <c r="R50" s="116" t="s">
        <v>793</v>
      </c>
      <c r="S50" s="117" t="str">
        <f t="shared" si="1"/>
        <v>0中学</v>
      </c>
      <c r="T50" s="125"/>
      <c r="U50" s="124"/>
      <c r="V50" s="118"/>
      <c r="W50" s="126"/>
      <c r="X50" s="127"/>
      <c r="Y50" s="121"/>
      <c r="Z50" s="128"/>
      <c r="AA50" s="127"/>
      <c r="AB50" s="123"/>
      <c r="AC50" s="98">
        <v>0</v>
      </c>
      <c r="AG50" s="40" t="str">
        <f t="shared" si="4"/>
        <v/>
      </c>
      <c r="AH50" s="415"/>
      <c r="AI50" s="415"/>
      <c r="AJ50" s="404"/>
      <c r="AK50" s="1149"/>
      <c r="AL50" s="1149"/>
      <c r="AM50" s="1149"/>
      <c r="AN50" s="1149"/>
      <c r="AO50" s="1149"/>
      <c r="AP50" s="1149"/>
      <c r="AQ50" s="1149"/>
      <c r="AR50" s="1149"/>
      <c r="AS50" s="1149"/>
      <c r="AT50" s="1149"/>
    </row>
    <row r="51" spans="2:46">
      <c r="B51" s="431">
        <f>名簿!E48</f>
        <v>0</v>
      </c>
      <c r="C51" s="432" t="str">
        <f>名簿!CM48</f>
        <v/>
      </c>
      <c r="D51" s="432" t="str">
        <f>名簿!CM48</f>
        <v/>
      </c>
      <c r="E51" s="432" t="str">
        <f>名簿!Z48</f>
        <v/>
      </c>
      <c r="F51" s="432" t="str">
        <f>名簿!P48</f>
        <v/>
      </c>
      <c r="G51" s="432" t="str">
        <f>名簿!Q48</f>
        <v/>
      </c>
      <c r="H51" s="433" t="str">
        <f>名簿!Y48</f>
        <v/>
      </c>
      <c r="I51" s="433" t="str">
        <f>名簿!CN48</f>
        <v/>
      </c>
      <c r="J51" s="1044">
        <f>名簿!CP48</f>
        <v>0</v>
      </c>
      <c r="K51" s="1044" t="str">
        <f>名簿!CU48</f>
        <v>00</v>
      </c>
      <c r="L51" s="1044" t="str">
        <f>名簿!CU48</f>
        <v>00</v>
      </c>
      <c r="M51" s="1271">
        <f>名簿!D48</f>
        <v>0</v>
      </c>
      <c r="N51" s="1267"/>
      <c r="O51" s="292" t="str">
        <f>IF(N51="","",IF(H51=1,VLOOKUP(N51,男子種目コード!$V$23:$W$25,2,FALSE),IF(H51=2,VLOOKUP(N51,女子種目コード!$V$23:$W$25,2,FALSE))))</f>
        <v/>
      </c>
      <c r="P51" s="669" t="str">
        <f>IF(N51="","",HLOOKUP(N51,名簿!$AH$3:$CH$118,46,FALSE))</f>
        <v/>
      </c>
      <c r="Q51" s="115">
        <f t="shared" si="0"/>
        <v>0</v>
      </c>
      <c r="R51" s="116" t="s">
        <v>793</v>
      </c>
      <c r="S51" s="117" t="str">
        <f t="shared" si="1"/>
        <v>0中学</v>
      </c>
      <c r="T51" s="125"/>
      <c r="U51" s="124"/>
      <c r="V51" s="118"/>
      <c r="W51" s="126"/>
      <c r="X51" s="127"/>
      <c r="Y51" s="121"/>
      <c r="Z51" s="128"/>
      <c r="AA51" s="127"/>
      <c r="AB51" s="123"/>
      <c r="AC51" s="98">
        <v>0</v>
      </c>
      <c r="AG51" s="40" t="str">
        <f t="shared" si="4"/>
        <v/>
      </c>
      <c r="AH51" s="415"/>
      <c r="AI51" s="415"/>
      <c r="AJ51" s="404"/>
      <c r="AK51" s="1149"/>
      <c r="AL51" s="1149"/>
      <c r="AM51" s="1149"/>
      <c r="AN51" s="1149"/>
      <c r="AO51" s="1149"/>
      <c r="AP51" s="1149"/>
      <c r="AQ51" s="1149"/>
      <c r="AR51" s="1149"/>
      <c r="AS51" s="1149"/>
      <c r="AT51" s="1149"/>
    </row>
    <row r="52" spans="2:46">
      <c r="B52" s="431">
        <f>名簿!E49</f>
        <v>0</v>
      </c>
      <c r="C52" s="432" t="str">
        <f>名簿!CM49</f>
        <v/>
      </c>
      <c r="D52" s="432" t="str">
        <f>名簿!CM49</f>
        <v/>
      </c>
      <c r="E52" s="432" t="str">
        <f>名簿!Z49</f>
        <v/>
      </c>
      <c r="F52" s="432" t="str">
        <f>名簿!P49</f>
        <v/>
      </c>
      <c r="G52" s="432" t="str">
        <f>名簿!Q49</f>
        <v/>
      </c>
      <c r="H52" s="433" t="str">
        <f>名簿!Y49</f>
        <v/>
      </c>
      <c r="I52" s="433" t="str">
        <f>名簿!CN49</f>
        <v/>
      </c>
      <c r="J52" s="1044">
        <f>名簿!CP49</f>
        <v>0</v>
      </c>
      <c r="K52" s="1044" t="str">
        <f>名簿!CU49</f>
        <v>00</v>
      </c>
      <c r="L52" s="1044" t="str">
        <f>名簿!CU49</f>
        <v>00</v>
      </c>
      <c r="M52" s="1271">
        <f>名簿!D49</f>
        <v>0</v>
      </c>
      <c r="N52" s="1267"/>
      <c r="O52" s="292" t="str">
        <f>IF(N52="","",IF(H52=1,VLOOKUP(N52,男子種目コード!$V$23:$W$25,2,FALSE),IF(H52=2,VLOOKUP(N52,女子種目コード!$V$23:$W$25,2,FALSE))))</f>
        <v/>
      </c>
      <c r="P52" s="669" t="str">
        <f>IF(N52="","",HLOOKUP(N52,名簿!$AH$3:$CH$118,47,FALSE))</f>
        <v/>
      </c>
      <c r="Q52" s="115">
        <f t="shared" si="0"/>
        <v>0</v>
      </c>
      <c r="R52" s="116" t="s">
        <v>793</v>
      </c>
      <c r="S52" s="117" t="str">
        <f t="shared" si="1"/>
        <v>0中学</v>
      </c>
      <c r="T52" s="125"/>
      <c r="U52" s="124"/>
      <c r="V52" s="118"/>
      <c r="W52" s="126"/>
      <c r="X52" s="127"/>
      <c r="Y52" s="121"/>
      <c r="Z52" s="128"/>
      <c r="AA52" s="127"/>
      <c r="AB52" s="123"/>
      <c r="AC52" s="98">
        <v>0</v>
      </c>
      <c r="AG52" s="40" t="str">
        <f t="shared" si="4"/>
        <v/>
      </c>
      <c r="AH52" s="415"/>
      <c r="AI52" s="415"/>
      <c r="AJ52" s="404"/>
      <c r="AK52" s="1149"/>
      <c r="AL52" s="1149"/>
      <c r="AM52" s="1149"/>
      <c r="AN52" s="1149"/>
      <c r="AO52" s="1149"/>
      <c r="AP52" s="1149"/>
      <c r="AQ52" s="1149"/>
      <c r="AR52" s="1149"/>
      <c r="AS52" s="1149"/>
      <c r="AT52" s="1149"/>
    </row>
    <row r="53" spans="2:46">
      <c r="B53" s="431">
        <f>名簿!E50</f>
        <v>0</v>
      </c>
      <c r="C53" s="432" t="str">
        <f>名簿!CM50</f>
        <v/>
      </c>
      <c r="D53" s="432" t="str">
        <f>名簿!CM50</f>
        <v/>
      </c>
      <c r="E53" s="432" t="str">
        <f>名簿!Z50</f>
        <v/>
      </c>
      <c r="F53" s="432" t="str">
        <f>名簿!P50</f>
        <v/>
      </c>
      <c r="G53" s="432" t="str">
        <f>名簿!Q50</f>
        <v/>
      </c>
      <c r="H53" s="433" t="str">
        <f>名簿!Y50</f>
        <v/>
      </c>
      <c r="I53" s="433" t="str">
        <f>名簿!CN50</f>
        <v/>
      </c>
      <c r="J53" s="1044">
        <f>名簿!CP50</f>
        <v>0</v>
      </c>
      <c r="K53" s="1044" t="str">
        <f>名簿!CU50</f>
        <v>00</v>
      </c>
      <c r="L53" s="1044" t="str">
        <f>名簿!CU50</f>
        <v>00</v>
      </c>
      <c r="M53" s="1271">
        <f>名簿!D50</f>
        <v>0</v>
      </c>
      <c r="N53" s="1267"/>
      <c r="O53" s="292" t="str">
        <f>IF(N53="","",IF(H53=1,VLOOKUP(N53,男子種目コード!$V$23:$W$25,2,FALSE),IF(H53=2,VLOOKUP(N53,女子種目コード!$V$23:$W$25,2,FALSE))))</f>
        <v/>
      </c>
      <c r="P53" s="669" t="str">
        <f>IF(N53="","",HLOOKUP(N53,名簿!$AH$3:$CH$118,48,FALSE))</f>
        <v/>
      </c>
      <c r="Q53" s="115">
        <f t="shared" si="0"/>
        <v>0</v>
      </c>
      <c r="R53" s="116" t="s">
        <v>793</v>
      </c>
      <c r="S53" s="117" t="str">
        <f t="shared" si="1"/>
        <v>0中学</v>
      </c>
      <c r="T53" s="125"/>
      <c r="U53" s="124"/>
      <c r="V53" s="118"/>
      <c r="W53" s="126"/>
      <c r="X53" s="127"/>
      <c r="Y53" s="121"/>
      <c r="Z53" s="128"/>
      <c r="AA53" s="127"/>
      <c r="AB53" s="123"/>
      <c r="AC53" s="98">
        <v>0</v>
      </c>
      <c r="AG53" s="40" t="str">
        <f t="shared" si="4"/>
        <v/>
      </c>
      <c r="AH53" s="415"/>
      <c r="AI53" s="415"/>
      <c r="AJ53" s="404"/>
      <c r="AK53" s="1149"/>
      <c r="AL53" s="1149"/>
      <c r="AM53" s="1149"/>
      <c r="AN53" s="1149"/>
      <c r="AO53" s="1149"/>
      <c r="AP53" s="1149"/>
      <c r="AQ53" s="1149"/>
      <c r="AR53" s="1149"/>
      <c r="AS53" s="1149"/>
      <c r="AT53" s="1149"/>
    </row>
    <row r="54" spans="2:46">
      <c r="B54" s="431">
        <f>名簿!E51</f>
        <v>0</v>
      </c>
      <c r="C54" s="432" t="str">
        <f>名簿!CM51</f>
        <v/>
      </c>
      <c r="D54" s="432" t="str">
        <f>名簿!CM51</f>
        <v/>
      </c>
      <c r="E54" s="432" t="str">
        <f>名簿!Z51</f>
        <v/>
      </c>
      <c r="F54" s="432" t="str">
        <f>名簿!P51</f>
        <v/>
      </c>
      <c r="G54" s="432" t="str">
        <f>名簿!Q51</f>
        <v/>
      </c>
      <c r="H54" s="433" t="str">
        <f>名簿!Y51</f>
        <v/>
      </c>
      <c r="I54" s="433" t="str">
        <f>名簿!CN51</f>
        <v/>
      </c>
      <c r="J54" s="1044">
        <f>名簿!CP51</f>
        <v>0</v>
      </c>
      <c r="K54" s="1044" t="str">
        <f>名簿!CU51</f>
        <v>00</v>
      </c>
      <c r="L54" s="1044" t="str">
        <f>名簿!CU51</f>
        <v>00</v>
      </c>
      <c r="M54" s="1271">
        <f>名簿!D51</f>
        <v>0</v>
      </c>
      <c r="N54" s="1267"/>
      <c r="O54" s="292" t="str">
        <f>IF(N54="","",IF(H54=1,VLOOKUP(N54,男子種目コード!$V$23:$W$25,2,FALSE),IF(H54=2,VLOOKUP(N54,女子種目コード!$V$23:$W$25,2,FALSE))))</f>
        <v/>
      </c>
      <c r="P54" s="669" t="str">
        <f>IF(N54="","",HLOOKUP(N54,名簿!$AH$3:$CH$118,49,FALSE))</f>
        <v/>
      </c>
      <c r="Q54" s="115">
        <f t="shared" si="0"/>
        <v>0</v>
      </c>
      <c r="R54" s="116" t="s">
        <v>793</v>
      </c>
      <c r="S54" s="117" t="str">
        <f t="shared" si="1"/>
        <v>0中学</v>
      </c>
      <c r="T54" s="125"/>
      <c r="U54" s="124"/>
      <c r="V54" s="118"/>
      <c r="W54" s="126"/>
      <c r="X54" s="127"/>
      <c r="Y54" s="121"/>
      <c r="Z54" s="128"/>
      <c r="AA54" s="127"/>
      <c r="AB54" s="123"/>
      <c r="AC54" s="98">
        <v>0</v>
      </c>
      <c r="AG54" s="40" t="str">
        <f t="shared" si="4"/>
        <v/>
      </c>
      <c r="AH54" s="415"/>
      <c r="AI54" s="415"/>
      <c r="AJ54" s="404"/>
      <c r="AK54" s="1149"/>
      <c r="AL54" s="1149"/>
      <c r="AM54" s="1149"/>
      <c r="AN54" s="1149"/>
      <c r="AO54" s="1149"/>
      <c r="AP54" s="1149"/>
      <c r="AQ54" s="1149"/>
      <c r="AR54" s="1149"/>
      <c r="AS54" s="1149"/>
      <c r="AT54" s="1149"/>
    </row>
    <row r="55" spans="2:46">
      <c r="B55" s="431">
        <f>名簿!E52</f>
        <v>0</v>
      </c>
      <c r="C55" s="432" t="str">
        <f>名簿!CM52</f>
        <v/>
      </c>
      <c r="D55" s="432" t="str">
        <f>名簿!CM52</f>
        <v/>
      </c>
      <c r="E55" s="432" t="str">
        <f>名簿!Z52</f>
        <v/>
      </c>
      <c r="F55" s="432" t="str">
        <f>名簿!P52</f>
        <v/>
      </c>
      <c r="G55" s="432" t="str">
        <f>名簿!Q52</f>
        <v/>
      </c>
      <c r="H55" s="433" t="str">
        <f>名簿!Y52</f>
        <v/>
      </c>
      <c r="I55" s="433" t="str">
        <f>名簿!CN52</f>
        <v/>
      </c>
      <c r="J55" s="1044">
        <f>名簿!CP52</f>
        <v>0</v>
      </c>
      <c r="K55" s="1044" t="str">
        <f>名簿!CU52</f>
        <v>00</v>
      </c>
      <c r="L55" s="1044" t="str">
        <f>名簿!CU52</f>
        <v>00</v>
      </c>
      <c r="M55" s="1271">
        <f>名簿!D52</f>
        <v>0</v>
      </c>
      <c r="N55" s="1267"/>
      <c r="O55" s="292" t="str">
        <f>IF(N55="","",IF(H55=1,VLOOKUP(N55,男子種目コード!$V$23:$W$25,2,FALSE),IF(H55=2,VLOOKUP(N55,女子種目コード!$V$23:$W$25,2,FALSE))))</f>
        <v/>
      </c>
      <c r="P55" s="669" t="str">
        <f>IF(N55="","",HLOOKUP(N55,名簿!$AH$3:$CH$118,50,FALSE))</f>
        <v/>
      </c>
      <c r="Q55" s="115">
        <f t="shared" si="0"/>
        <v>0</v>
      </c>
      <c r="R55" s="116" t="s">
        <v>793</v>
      </c>
      <c r="S55" s="117" t="str">
        <f t="shared" si="1"/>
        <v>0中学</v>
      </c>
      <c r="T55" s="125"/>
      <c r="U55" s="124"/>
      <c r="V55" s="118"/>
      <c r="W55" s="126"/>
      <c r="X55" s="127"/>
      <c r="Y55" s="121"/>
      <c r="Z55" s="128"/>
      <c r="AA55" s="127"/>
      <c r="AB55" s="123"/>
      <c r="AC55" s="98">
        <v>0</v>
      </c>
      <c r="AG55" s="40" t="str">
        <f t="shared" si="4"/>
        <v/>
      </c>
      <c r="AH55" s="415"/>
      <c r="AI55" s="415"/>
      <c r="AJ55" s="404"/>
      <c r="AK55" s="1149"/>
      <c r="AL55" s="1149"/>
      <c r="AM55" s="1149"/>
      <c r="AN55" s="1149"/>
      <c r="AO55" s="1149"/>
      <c r="AP55" s="1149"/>
      <c r="AQ55" s="1149"/>
      <c r="AR55" s="1149"/>
      <c r="AS55" s="1149"/>
      <c r="AT55" s="1149"/>
    </row>
    <row r="56" spans="2:46">
      <c r="B56" s="431">
        <f>名簿!E53</f>
        <v>0</v>
      </c>
      <c r="C56" s="432" t="str">
        <f>名簿!CM53</f>
        <v/>
      </c>
      <c r="D56" s="432" t="str">
        <f>名簿!CM53</f>
        <v/>
      </c>
      <c r="E56" s="432" t="str">
        <f>名簿!Z53</f>
        <v/>
      </c>
      <c r="F56" s="432" t="str">
        <f>名簿!P53</f>
        <v/>
      </c>
      <c r="G56" s="432" t="str">
        <f>名簿!Q53</f>
        <v/>
      </c>
      <c r="H56" s="433" t="str">
        <f>名簿!Y53</f>
        <v/>
      </c>
      <c r="I56" s="433" t="str">
        <f>名簿!CN53</f>
        <v/>
      </c>
      <c r="J56" s="1044">
        <f>名簿!CP53</f>
        <v>0</v>
      </c>
      <c r="K56" s="1044" t="str">
        <f>名簿!CU53</f>
        <v>00</v>
      </c>
      <c r="L56" s="1044" t="str">
        <f>名簿!CU53</f>
        <v>00</v>
      </c>
      <c r="M56" s="1271">
        <f>名簿!D53</f>
        <v>0</v>
      </c>
      <c r="N56" s="1267"/>
      <c r="O56" s="292" t="str">
        <f>IF(N56="","",IF(H56=1,VLOOKUP(N56,男子種目コード!$V$23:$W$25,2,FALSE),IF(H56=2,VLOOKUP(N56,女子種目コード!$V$23:$W$25,2,FALSE))))</f>
        <v/>
      </c>
      <c r="P56" s="669" t="str">
        <f>IF(N56="","",HLOOKUP(N56,名簿!$AH$3:$CH$118,51,FALSE))</f>
        <v/>
      </c>
      <c r="Q56" s="115">
        <f t="shared" si="0"/>
        <v>0</v>
      </c>
      <c r="R56" s="116" t="s">
        <v>793</v>
      </c>
      <c r="S56" s="117" t="str">
        <f t="shared" si="1"/>
        <v>0中学</v>
      </c>
      <c r="T56" s="125"/>
      <c r="U56" s="124"/>
      <c r="V56" s="118"/>
      <c r="W56" s="126"/>
      <c r="X56" s="127"/>
      <c r="Y56" s="121"/>
      <c r="Z56" s="128"/>
      <c r="AA56" s="127"/>
      <c r="AB56" s="123"/>
      <c r="AC56" s="98">
        <v>0</v>
      </c>
      <c r="AG56" s="40" t="str">
        <f t="shared" si="4"/>
        <v/>
      </c>
      <c r="AH56" s="415"/>
      <c r="AI56" s="415"/>
      <c r="AJ56" s="404"/>
      <c r="AK56" s="1149"/>
      <c r="AL56" s="1149"/>
      <c r="AM56" s="1149"/>
      <c r="AN56" s="1149"/>
      <c r="AO56" s="1149"/>
      <c r="AP56" s="1149"/>
      <c r="AQ56" s="1149"/>
      <c r="AR56" s="1149"/>
      <c r="AS56" s="1149"/>
      <c r="AT56" s="1149"/>
    </row>
    <row r="57" spans="2:46">
      <c r="B57" s="431">
        <f>名簿!E54</f>
        <v>0</v>
      </c>
      <c r="C57" s="432" t="str">
        <f>名簿!CM54</f>
        <v/>
      </c>
      <c r="D57" s="432" t="str">
        <f>名簿!CM54</f>
        <v/>
      </c>
      <c r="E57" s="432" t="str">
        <f>名簿!Z54</f>
        <v/>
      </c>
      <c r="F57" s="432" t="str">
        <f>名簿!P54</f>
        <v/>
      </c>
      <c r="G57" s="432" t="str">
        <f>名簿!Q54</f>
        <v/>
      </c>
      <c r="H57" s="433" t="str">
        <f>名簿!Y54</f>
        <v/>
      </c>
      <c r="I57" s="433" t="str">
        <f>名簿!CN54</f>
        <v/>
      </c>
      <c r="J57" s="1044">
        <f>名簿!CP54</f>
        <v>0</v>
      </c>
      <c r="K57" s="1044" t="str">
        <f>名簿!CU54</f>
        <v>00</v>
      </c>
      <c r="L57" s="1044" t="str">
        <f>名簿!CU54</f>
        <v>00</v>
      </c>
      <c r="M57" s="1271">
        <f>名簿!D54</f>
        <v>0</v>
      </c>
      <c r="N57" s="1267"/>
      <c r="O57" s="292" t="str">
        <f>IF(N57="","",IF(H57=1,VLOOKUP(N57,男子種目コード!$V$23:$W$25,2,FALSE),IF(H57=2,VLOOKUP(N57,女子種目コード!$V$23:$W$25,2,FALSE))))</f>
        <v/>
      </c>
      <c r="P57" s="669" t="str">
        <f>IF(N57="","",HLOOKUP(N57,名簿!$AH$3:$CH$118,52,FALSE))</f>
        <v/>
      </c>
      <c r="Q57" s="115">
        <f t="shared" si="0"/>
        <v>0</v>
      </c>
      <c r="R57" s="116" t="s">
        <v>793</v>
      </c>
      <c r="S57" s="117" t="str">
        <f t="shared" si="1"/>
        <v>0中学</v>
      </c>
      <c r="T57" s="125"/>
      <c r="U57" s="124"/>
      <c r="V57" s="118"/>
      <c r="W57" s="126"/>
      <c r="X57" s="127"/>
      <c r="Y57" s="121"/>
      <c r="Z57" s="128"/>
      <c r="AA57" s="127"/>
      <c r="AB57" s="123"/>
      <c r="AC57" s="98">
        <v>0</v>
      </c>
      <c r="AG57" s="40" t="str">
        <f t="shared" si="4"/>
        <v/>
      </c>
      <c r="AH57" s="415"/>
      <c r="AI57" s="415"/>
      <c r="AJ57" s="404"/>
      <c r="AK57" s="1149"/>
      <c r="AL57" s="1149"/>
      <c r="AM57" s="1149"/>
      <c r="AN57" s="1149"/>
      <c r="AO57" s="1149"/>
      <c r="AP57" s="1149"/>
      <c r="AQ57" s="1149"/>
      <c r="AR57" s="1149"/>
      <c r="AS57" s="1149"/>
      <c r="AT57" s="1149"/>
    </row>
    <row r="58" spans="2:46">
      <c r="B58" s="431">
        <f>名簿!E55</f>
        <v>0</v>
      </c>
      <c r="C58" s="432" t="str">
        <f>名簿!CM55</f>
        <v/>
      </c>
      <c r="D58" s="432" t="str">
        <f>名簿!CM55</f>
        <v/>
      </c>
      <c r="E58" s="432" t="str">
        <f>名簿!Z55</f>
        <v/>
      </c>
      <c r="F58" s="432" t="str">
        <f>名簿!P55</f>
        <v/>
      </c>
      <c r="G58" s="432" t="str">
        <f>名簿!Q55</f>
        <v/>
      </c>
      <c r="H58" s="433" t="str">
        <f>名簿!Y55</f>
        <v/>
      </c>
      <c r="I58" s="433" t="str">
        <f>名簿!CN55</f>
        <v/>
      </c>
      <c r="J58" s="1044">
        <f>名簿!CP55</f>
        <v>0</v>
      </c>
      <c r="K58" s="1044" t="str">
        <f>名簿!CU55</f>
        <v>00</v>
      </c>
      <c r="L58" s="1044" t="str">
        <f>名簿!CU55</f>
        <v>00</v>
      </c>
      <c r="M58" s="1271">
        <f>名簿!D55</f>
        <v>0</v>
      </c>
      <c r="N58" s="1267"/>
      <c r="O58" s="292" t="str">
        <f>IF(N58="","",IF(H58=1,VLOOKUP(N58,男子種目コード!$V$23:$W$25,2,FALSE),IF(H58=2,VLOOKUP(N58,女子種目コード!$V$23:$W$25,2,FALSE))))</f>
        <v/>
      </c>
      <c r="P58" s="669" t="str">
        <f>IF(N58="","",HLOOKUP(N58,名簿!$AH$3:$CH$118,53,FALSE))</f>
        <v/>
      </c>
      <c r="Q58" s="115">
        <f t="shared" si="0"/>
        <v>0</v>
      </c>
      <c r="R58" s="116" t="s">
        <v>793</v>
      </c>
      <c r="S58" s="117" t="str">
        <f t="shared" si="1"/>
        <v>0中学</v>
      </c>
      <c r="T58" s="125"/>
      <c r="U58" s="124"/>
      <c r="V58" s="118"/>
      <c r="W58" s="126"/>
      <c r="X58" s="127"/>
      <c r="Y58" s="121"/>
      <c r="Z58" s="128"/>
      <c r="AA58" s="127"/>
      <c r="AB58" s="123"/>
      <c r="AC58" s="98">
        <v>0</v>
      </c>
      <c r="AG58" s="40" t="str">
        <f t="shared" si="4"/>
        <v/>
      </c>
      <c r="AH58" s="415"/>
      <c r="AI58" s="415"/>
      <c r="AJ58" s="404"/>
      <c r="AK58" s="1149"/>
      <c r="AL58" s="1149"/>
      <c r="AM58" s="1149"/>
      <c r="AN58" s="1149"/>
      <c r="AO58" s="1149"/>
      <c r="AP58" s="1149"/>
      <c r="AQ58" s="1149"/>
      <c r="AR58" s="1149"/>
      <c r="AS58" s="1149"/>
      <c r="AT58" s="1149"/>
    </row>
    <row r="59" spans="2:46">
      <c r="B59" s="431">
        <f>名簿!E56</f>
        <v>0</v>
      </c>
      <c r="C59" s="432" t="str">
        <f>名簿!CM56</f>
        <v/>
      </c>
      <c r="D59" s="432" t="str">
        <f>名簿!CM56</f>
        <v/>
      </c>
      <c r="E59" s="432" t="str">
        <f>名簿!Z56</f>
        <v/>
      </c>
      <c r="F59" s="432" t="str">
        <f>名簿!P56</f>
        <v/>
      </c>
      <c r="G59" s="432" t="str">
        <f>名簿!Q56</f>
        <v/>
      </c>
      <c r="H59" s="433" t="str">
        <f>名簿!Y56</f>
        <v/>
      </c>
      <c r="I59" s="433" t="str">
        <f>名簿!CN56</f>
        <v/>
      </c>
      <c r="J59" s="1044">
        <f>名簿!CP56</f>
        <v>0</v>
      </c>
      <c r="K59" s="1044" t="str">
        <f>名簿!CU56</f>
        <v>00</v>
      </c>
      <c r="L59" s="1044" t="str">
        <f>名簿!CU56</f>
        <v>00</v>
      </c>
      <c r="M59" s="1271">
        <f>名簿!D56</f>
        <v>0</v>
      </c>
      <c r="N59" s="1267"/>
      <c r="O59" s="292" t="str">
        <f>IF(N59="","",IF(H59=1,VLOOKUP(N59,男子種目コード!$V$23:$W$25,2,FALSE),IF(H59=2,VLOOKUP(N59,女子種目コード!$V$23:$W$25,2,FALSE))))</f>
        <v/>
      </c>
      <c r="P59" s="669" t="str">
        <f>IF(N59="","",HLOOKUP(N59,名簿!$AH$3:$CH$118,54,FALSE))</f>
        <v/>
      </c>
      <c r="Q59" s="115">
        <f t="shared" si="0"/>
        <v>0</v>
      </c>
      <c r="R59" s="116" t="s">
        <v>793</v>
      </c>
      <c r="S59" s="117" t="str">
        <f t="shared" si="1"/>
        <v>0中学</v>
      </c>
      <c r="T59" s="125"/>
      <c r="U59" s="124"/>
      <c r="V59" s="118"/>
      <c r="W59" s="126"/>
      <c r="X59" s="127"/>
      <c r="Y59" s="121"/>
      <c r="Z59" s="128"/>
      <c r="AA59" s="127"/>
      <c r="AB59" s="123"/>
      <c r="AC59" s="98">
        <v>0</v>
      </c>
      <c r="AG59" s="40" t="str">
        <f t="shared" si="4"/>
        <v/>
      </c>
      <c r="AH59" s="415"/>
      <c r="AI59" s="415"/>
      <c r="AJ59" s="404"/>
      <c r="AK59" s="1149"/>
      <c r="AL59" s="1149"/>
      <c r="AM59" s="1149"/>
      <c r="AN59" s="1149"/>
      <c r="AO59" s="1149"/>
      <c r="AP59" s="1149"/>
      <c r="AQ59" s="1149"/>
      <c r="AR59" s="1149"/>
      <c r="AS59" s="1149"/>
      <c r="AT59" s="1149"/>
    </row>
    <row r="60" spans="2:46">
      <c r="B60" s="431">
        <f>名簿!E57</f>
        <v>0</v>
      </c>
      <c r="C60" s="432" t="str">
        <f>名簿!CM57</f>
        <v/>
      </c>
      <c r="D60" s="432" t="str">
        <f>名簿!CM57</f>
        <v/>
      </c>
      <c r="E60" s="432" t="str">
        <f>名簿!Z57</f>
        <v/>
      </c>
      <c r="F60" s="432" t="str">
        <f>名簿!P57</f>
        <v/>
      </c>
      <c r="G60" s="432" t="str">
        <f>名簿!Q57</f>
        <v/>
      </c>
      <c r="H60" s="433" t="str">
        <f>名簿!Y57</f>
        <v/>
      </c>
      <c r="I60" s="433" t="str">
        <f>名簿!CN57</f>
        <v/>
      </c>
      <c r="J60" s="1044">
        <f>名簿!CP57</f>
        <v>0</v>
      </c>
      <c r="K60" s="1044" t="str">
        <f>名簿!CU57</f>
        <v>00</v>
      </c>
      <c r="L60" s="1044" t="str">
        <f>名簿!CU57</f>
        <v>00</v>
      </c>
      <c r="M60" s="1271">
        <f>名簿!D57</f>
        <v>0</v>
      </c>
      <c r="N60" s="1267"/>
      <c r="O60" s="292" t="str">
        <f>IF(N60="","",IF(H60=1,VLOOKUP(N60,男子種目コード!$V$23:$W$25,2,FALSE),IF(H60=2,VLOOKUP(N60,女子種目コード!$V$23:$W$25,2,FALSE))))</f>
        <v/>
      </c>
      <c r="P60" s="669" t="str">
        <f>IF(N60="","",HLOOKUP(N60,名簿!$AH$3:$CH$118,55,FALSE))</f>
        <v/>
      </c>
      <c r="Q60" s="115">
        <f t="shared" si="0"/>
        <v>0</v>
      </c>
      <c r="R60" s="116" t="s">
        <v>793</v>
      </c>
      <c r="S60" s="117" t="str">
        <f t="shared" si="1"/>
        <v>0中学</v>
      </c>
      <c r="T60" s="125"/>
      <c r="U60" s="124"/>
      <c r="V60" s="118"/>
      <c r="W60" s="126"/>
      <c r="X60" s="127"/>
      <c r="Y60" s="121"/>
      <c r="Z60" s="128"/>
      <c r="AA60" s="127"/>
      <c r="AB60" s="123"/>
      <c r="AC60" s="98">
        <v>0</v>
      </c>
      <c r="AG60" s="40" t="str">
        <f t="shared" si="4"/>
        <v/>
      </c>
      <c r="AH60" s="415"/>
      <c r="AI60" s="415"/>
      <c r="AJ60" s="404"/>
      <c r="AK60" s="1149"/>
      <c r="AL60" s="1149"/>
      <c r="AM60" s="1149"/>
      <c r="AN60" s="1149"/>
      <c r="AO60" s="1149"/>
      <c r="AP60" s="1149"/>
      <c r="AQ60" s="1149"/>
      <c r="AR60" s="1149"/>
      <c r="AS60" s="1149"/>
      <c r="AT60" s="1149"/>
    </row>
    <row r="61" spans="2:46">
      <c r="B61" s="431">
        <f>名簿!E58</f>
        <v>0</v>
      </c>
      <c r="C61" s="432" t="str">
        <f>名簿!CM58</f>
        <v/>
      </c>
      <c r="D61" s="432" t="str">
        <f>名簿!CM58</f>
        <v/>
      </c>
      <c r="E61" s="432" t="str">
        <f>名簿!Z58</f>
        <v/>
      </c>
      <c r="F61" s="432" t="str">
        <f>名簿!P58</f>
        <v/>
      </c>
      <c r="G61" s="432" t="str">
        <f>名簿!Q58</f>
        <v/>
      </c>
      <c r="H61" s="433" t="str">
        <f>名簿!Y58</f>
        <v/>
      </c>
      <c r="I61" s="433" t="str">
        <f>名簿!CN58</f>
        <v/>
      </c>
      <c r="J61" s="1044">
        <f>名簿!CP58</f>
        <v>0</v>
      </c>
      <c r="K61" s="1044" t="str">
        <f>名簿!CU58</f>
        <v>00</v>
      </c>
      <c r="L61" s="1044" t="str">
        <f>名簿!CU58</f>
        <v>00</v>
      </c>
      <c r="M61" s="1271">
        <f>名簿!D58</f>
        <v>0</v>
      </c>
      <c r="N61" s="1267"/>
      <c r="O61" s="292" t="str">
        <f>IF(N61="","",IF(H61=1,VLOOKUP(N61,男子種目コード!$V$23:$W$25,2,FALSE),IF(H61=2,VLOOKUP(N61,女子種目コード!$V$23:$W$25,2,FALSE))))</f>
        <v/>
      </c>
      <c r="P61" s="669" t="str">
        <f>IF(N61="","",HLOOKUP(N61,名簿!$AH$3:$CH$118,56,FALSE))</f>
        <v/>
      </c>
      <c r="Q61" s="115">
        <f t="shared" si="0"/>
        <v>0</v>
      </c>
      <c r="R61" s="116" t="s">
        <v>793</v>
      </c>
      <c r="S61" s="117" t="str">
        <f t="shared" si="1"/>
        <v>0中学</v>
      </c>
      <c r="T61" s="125"/>
      <c r="U61" s="124"/>
      <c r="V61" s="118"/>
      <c r="W61" s="126"/>
      <c r="X61" s="127"/>
      <c r="Y61" s="121"/>
      <c r="Z61" s="128"/>
      <c r="AA61" s="127"/>
      <c r="AB61" s="123"/>
      <c r="AC61" s="98">
        <v>0</v>
      </c>
      <c r="AG61" s="40" t="str">
        <f t="shared" si="4"/>
        <v/>
      </c>
      <c r="AH61" s="415"/>
      <c r="AI61" s="415"/>
      <c r="AJ61" s="404"/>
      <c r="AK61" s="1149"/>
      <c r="AL61" s="1149"/>
      <c r="AM61" s="1149"/>
      <c r="AN61" s="1149"/>
      <c r="AO61" s="1149"/>
      <c r="AP61" s="1149"/>
      <c r="AQ61" s="1149"/>
      <c r="AR61" s="1149"/>
      <c r="AS61" s="1149"/>
      <c r="AT61" s="1149"/>
    </row>
    <row r="62" spans="2:46">
      <c r="B62" s="431">
        <f>名簿!E59</f>
        <v>0</v>
      </c>
      <c r="C62" s="432" t="str">
        <f>名簿!CM59</f>
        <v/>
      </c>
      <c r="D62" s="432" t="str">
        <f>名簿!CM59</f>
        <v/>
      </c>
      <c r="E62" s="432" t="str">
        <f>名簿!Z59</f>
        <v/>
      </c>
      <c r="F62" s="432" t="str">
        <f>名簿!P59</f>
        <v/>
      </c>
      <c r="G62" s="432" t="str">
        <f>名簿!Q59</f>
        <v/>
      </c>
      <c r="H62" s="433" t="str">
        <f>名簿!Y59</f>
        <v/>
      </c>
      <c r="I62" s="433" t="str">
        <f>名簿!CN59</f>
        <v/>
      </c>
      <c r="J62" s="1044">
        <f>名簿!CP59</f>
        <v>0</v>
      </c>
      <c r="K62" s="1044" t="str">
        <f>名簿!CU59</f>
        <v>00</v>
      </c>
      <c r="L62" s="1044" t="str">
        <f>名簿!CU59</f>
        <v>00</v>
      </c>
      <c r="M62" s="1271">
        <f>名簿!D59</f>
        <v>0</v>
      </c>
      <c r="N62" s="1267"/>
      <c r="O62" s="292" t="str">
        <f>IF(N62="","",IF(H62=1,VLOOKUP(N62,男子種目コード!$V$23:$W$25,2,FALSE),IF(H62=2,VLOOKUP(N62,女子種目コード!$V$23:$W$25,2,FALSE))))</f>
        <v/>
      </c>
      <c r="P62" s="669" t="str">
        <f>IF(N62="","",HLOOKUP(N62,名簿!$AH$3:$CH$118,57,FALSE))</f>
        <v/>
      </c>
      <c r="Q62" s="115">
        <f t="shared" si="0"/>
        <v>0</v>
      </c>
      <c r="R62" s="116" t="s">
        <v>793</v>
      </c>
      <c r="S62" s="117" t="str">
        <f t="shared" si="1"/>
        <v>0中学</v>
      </c>
      <c r="T62" s="125"/>
      <c r="U62" s="124"/>
      <c r="V62" s="118"/>
      <c r="W62" s="126"/>
      <c r="X62" s="127"/>
      <c r="Y62" s="121"/>
      <c r="Z62" s="128"/>
      <c r="AA62" s="127"/>
      <c r="AB62" s="123"/>
      <c r="AC62" s="98">
        <v>0</v>
      </c>
      <c r="AG62" s="40" t="str">
        <f t="shared" si="4"/>
        <v/>
      </c>
      <c r="AH62" s="415"/>
      <c r="AI62" s="415"/>
      <c r="AJ62" s="404"/>
      <c r="AK62" s="1149"/>
      <c r="AL62" s="1149"/>
      <c r="AM62" s="1149"/>
      <c r="AN62" s="1149"/>
      <c r="AO62" s="1149"/>
      <c r="AP62" s="1149"/>
      <c r="AQ62" s="1149"/>
      <c r="AR62" s="1149"/>
      <c r="AS62" s="1149"/>
      <c r="AT62" s="1149"/>
    </row>
    <row r="63" spans="2:46">
      <c r="B63" s="431">
        <f>名簿!E60</f>
        <v>0</v>
      </c>
      <c r="C63" s="432" t="str">
        <f>名簿!CM60</f>
        <v/>
      </c>
      <c r="D63" s="432" t="str">
        <f>名簿!CM60</f>
        <v/>
      </c>
      <c r="E63" s="432" t="str">
        <f>名簿!Z60</f>
        <v/>
      </c>
      <c r="F63" s="432" t="str">
        <f>名簿!P60</f>
        <v/>
      </c>
      <c r="G63" s="432" t="str">
        <f>名簿!Q60</f>
        <v/>
      </c>
      <c r="H63" s="433" t="str">
        <f>名簿!Y60</f>
        <v/>
      </c>
      <c r="I63" s="433" t="str">
        <f>名簿!CN60</f>
        <v/>
      </c>
      <c r="J63" s="1044">
        <f>名簿!CP60</f>
        <v>0</v>
      </c>
      <c r="K63" s="1044" t="str">
        <f>名簿!CU60</f>
        <v>00</v>
      </c>
      <c r="L63" s="1044" t="str">
        <f>名簿!CU60</f>
        <v>00</v>
      </c>
      <c r="M63" s="1271">
        <f>名簿!D60</f>
        <v>0</v>
      </c>
      <c r="N63" s="1267"/>
      <c r="O63" s="292" t="str">
        <f>IF(N63="","",IF(H63=1,VLOOKUP(N63,男子種目コード!$V$23:$W$25,2,FALSE),IF(H63=2,VLOOKUP(N63,女子種目コード!$V$23:$W$25,2,FALSE))))</f>
        <v/>
      </c>
      <c r="P63" s="669" t="str">
        <f>IF(N63="","",HLOOKUP(N63,名簿!$AH$3:$CH$118,58,FALSE))</f>
        <v/>
      </c>
      <c r="Q63" s="115">
        <f t="shared" si="0"/>
        <v>0</v>
      </c>
      <c r="R63" s="116" t="s">
        <v>793</v>
      </c>
      <c r="S63" s="117" t="str">
        <f t="shared" si="1"/>
        <v>0中学</v>
      </c>
      <c r="T63" s="125"/>
      <c r="U63" s="124"/>
      <c r="V63" s="118"/>
      <c r="W63" s="126"/>
      <c r="X63" s="127"/>
      <c r="Y63" s="121"/>
      <c r="Z63" s="128"/>
      <c r="AA63" s="127"/>
      <c r="AB63" s="123"/>
      <c r="AC63" s="98">
        <v>0</v>
      </c>
      <c r="AG63" s="40" t="str">
        <f t="shared" si="4"/>
        <v/>
      </c>
      <c r="AH63" s="415"/>
      <c r="AI63" s="415"/>
      <c r="AJ63" s="404"/>
      <c r="AK63" s="1149"/>
      <c r="AL63" s="1149"/>
      <c r="AM63" s="1149"/>
      <c r="AN63" s="1149"/>
      <c r="AO63" s="1149"/>
      <c r="AP63" s="1149"/>
      <c r="AQ63" s="1149"/>
      <c r="AR63" s="1149"/>
      <c r="AS63" s="1149"/>
      <c r="AT63" s="1149"/>
    </row>
    <row r="64" spans="2:46">
      <c r="B64" s="431">
        <f>名簿!E61</f>
        <v>0</v>
      </c>
      <c r="C64" s="432" t="str">
        <f>名簿!CM61</f>
        <v/>
      </c>
      <c r="D64" s="432" t="str">
        <f>名簿!CM61</f>
        <v/>
      </c>
      <c r="E64" s="432" t="str">
        <f>名簿!Z61</f>
        <v/>
      </c>
      <c r="F64" s="432" t="str">
        <f>名簿!P61</f>
        <v/>
      </c>
      <c r="G64" s="432" t="str">
        <f>名簿!Q61</f>
        <v/>
      </c>
      <c r="H64" s="433" t="str">
        <f>名簿!Y61</f>
        <v/>
      </c>
      <c r="I64" s="433" t="str">
        <f>名簿!CN61</f>
        <v/>
      </c>
      <c r="J64" s="1044">
        <f>名簿!CP61</f>
        <v>0</v>
      </c>
      <c r="K64" s="1044" t="str">
        <f>名簿!CU61</f>
        <v>00</v>
      </c>
      <c r="L64" s="1044" t="str">
        <f>名簿!CU61</f>
        <v>00</v>
      </c>
      <c r="M64" s="1271">
        <f>名簿!D61</f>
        <v>0</v>
      </c>
      <c r="N64" s="1267"/>
      <c r="O64" s="292" t="str">
        <f>IF(N64="","",IF(H64=1,VLOOKUP(N64,男子種目コード!$V$23:$W$25,2,FALSE),IF(H64=2,VLOOKUP(N64,女子種目コード!$V$23:$W$25,2,FALSE))))</f>
        <v/>
      </c>
      <c r="P64" s="669" t="str">
        <f>IF(N64="","",HLOOKUP(N64,名簿!$AH$3:$CH$118,59,FALSE))</f>
        <v/>
      </c>
      <c r="Q64" s="115">
        <f t="shared" si="0"/>
        <v>0</v>
      </c>
      <c r="R64" s="116" t="s">
        <v>793</v>
      </c>
      <c r="S64" s="117" t="str">
        <f t="shared" si="1"/>
        <v>0中学</v>
      </c>
      <c r="T64" s="125"/>
      <c r="U64" s="124"/>
      <c r="V64" s="118"/>
      <c r="W64" s="126"/>
      <c r="X64" s="127"/>
      <c r="Y64" s="121"/>
      <c r="Z64" s="128"/>
      <c r="AA64" s="127"/>
      <c r="AB64" s="123"/>
      <c r="AC64" s="98">
        <v>0</v>
      </c>
      <c r="AG64" s="40" t="str">
        <f t="shared" si="4"/>
        <v/>
      </c>
      <c r="AH64" s="415"/>
      <c r="AI64" s="415"/>
      <c r="AJ64" s="404"/>
      <c r="AK64" s="1149"/>
      <c r="AL64" s="1149"/>
      <c r="AM64" s="1149"/>
      <c r="AN64" s="1149"/>
      <c r="AO64" s="1149"/>
      <c r="AP64" s="1149"/>
      <c r="AQ64" s="1149"/>
      <c r="AR64" s="1149"/>
      <c r="AS64" s="1149"/>
      <c r="AT64" s="1149"/>
    </row>
    <row r="65" spans="2:46">
      <c r="B65" s="431">
        <f>名簿!E62</f>
        <v>0</v>
      </c>
      <c r="C65" s="432" t="str">
        <f>名簿!CM62</f>
        <v/>
      </c>
      <c r="D65" s="432" t="str">
        <f>名簿!CM62</f>
        <v/>
      </c>
      <c r="E65" s="432" t="str">
        <f>名簿!Z62</f>
        <v/>
      </c>
      <c r="F65" s="432" t="str">
        <f>名簿!P62</f>
        <v/>
      </c>
      <c r="G65" s="432" t="str">
        <f>名簿!Q62</f>
        <v/>
      </c>
      <c r="H65" s="433" t="str">
        <f>名簿!Y62</f>
        <v/>
      </c>
      <c r="I65" s="433" t="str">
        <f>名簿!CN62</f>
        <v/>
      </c>
      <c r="J65" s="1044">
        <f>名簿!CP62</f>
        <v>0</v>
      </c>
      <c r="K65" s="1044" t="str">
        <f>名簿!CU62</f>
        <v>00</v>
      </c>
      <c r="L65" s="1044" t="str">
        <f>名簿!CU62</f>
        <v>00</v>
      </c>
      <c r="M65" s="1271">
        <f>名簿!D62</f>
        <v>0</v>
      </c>
      <c r="N65" s="1267"/>
      <c r="O65" s="292" t="str">
        <f>IF(N65="","",IF(H65=1,VLOOKUP(N65,男子種目コード!$V$23:$W$25,2,FALSE),IF(H65=2,VLOOKUP(N65,女子種目コード!$V$23:$W$25,2,FALSE))))</f>
        <v/>
      </c>
      <c r="P65" s="669" t="str">
        <f>IF(N65="","",HLOOKUP(N65,名簿!$AH$3:$CH$118,60,FALSE))</f>
        <v/>
      </c>
      <c r="Q65" s="115">
        <f t="shared" si="0"/>
        <v>0</v>
      </c>
      <c r="R65" s="116" t="s">
        <v>793</v>
      </c>
      <c r="S65" s="117" t="str">
        <f t="shared" si="1"/>
        <v>0中学</v>
      </c>
      <c r="T65" s="125"/>
      <c r="U65" s="124"/>
      <c r="V65" s="118"/>
      <c r="W65" s="126"/>
      <c r="X65" s="127"/>
      <c r="Y65" s="121"/>
      <c r="Z65" s="128"/>
      <c r="AA65" s="127"/>
      <c r="AB65" s="123"/>
      <c r="AC65" s="98">
        <v>0</v>
      </c>
      <c r="AG65" s="40" t="str">
        <f t="shared" si="4"/>
        <v/>
      </c>
      <c r="AH65" s="415"/>
      <c r="AI65" s="415"/>
      <c r="AJ65" s="404"/>
      <c r="AK65" s="1149"/>
      <c r="AL65" s="1149"/>
      <c r="AM65" s="1149"/>
      <c r="AN65" s="1149"/>
      <c r="AO65" s="1149"/>
      <c r="AP65" s="1149"/>
      <c r="AQ65" s="1149"/>
      <c r="AR65" s="1149"/>
      <c r="AS65" s="1149"/>
      <c r="AT65" s="1149"/>
    </row>
    <row r="66" spans="2:46">
      <c r="B66" s="431">
        <f>名簿!E63</f>
        <v>0</v>
      </c>
      <c r="C66" s="432" t="str">
        <f>名簿!CM63</f>
        <v/>
      </c>
      <c r="D66" s="432" t="str">
        <f>名簿!CM63</f>
        <v/>
      </c>
      <c r="E66" s="432" t="str">
        <f>名簿!Z63</f>
        <v/>
      </c>
      <c r="F66" s="432" t="str">
        <f>名簿!P63</f>
        <v/>
      </c>
      <c r="G66" s="432" t="str">
        <f>名簿!Q63</f>
        <v/>
      </c>
      <c r="H66" s="433" t="str">
        <f>名簿!Y63</f>
        <v/>
      </c>
      <c r="I66" s="433" t="str">
        <f>名簿!CN63</f>
        <v/>
      </c>
      <c r="J66" s="1044">
        <f>名簿!CP63</f>
        <v>0</v>
      </c>
      <c r="K66" s="1044" t="str">
        <f>名簿!CU63</f>
        <v>00</v>
      </c>
      <c r="L66" s="1044" t="str">
        <f>名簿!CU63</f>
        <v>00</v>
      </c>
      <c r="M66" s="1271">
        <f>名簿!D63</f>
        <v>0</v>
      </c>
      <c r="N66" s="1267"/>
      <c r="O66" s="292" t="str">
        <f>IF(N66="","",IF(H66=1,VLOOKUP(N66,男子種目コード!$V$23:$W$25,2,FALSE),IF(H66=2,VLOOKUP(N66,女子種目コード!$V$23:$W$25,2,FALSE))))</f>
        <v/>
      </c>
      <c r="P66" s="669" t="str">
        <f>IF(N66="","",HLOOKUP(N66,名簿!$AH$3:$CH$118,61,FALSE))</f>
        <v/>
      </c>
      <c r="Q66" s="115">
        <f t="shared" si="0"/>
        <v>0</v>
      </c>
      <c r="R66" s="116" t="s">
        <v>793</v>
      </c>
      <c r="S66" s="117" t="str">
        <f t="shared" si="1"/>
        <v>0中学</v>
      </c>
      <c r="T66" s="125"/>
      <c r="U66" s="124"/>
      <c r="V66" s="118"/>
      <c r="W66" s="126"/>
      <c r="X66" s="127"/>
      <c r="Y66" s="121"/>
      <c r="Z66" s="128"/>
      <c r="AA66" s="127"/>
      <c r="AB66" s="123"/>
      <c r="AC66" s="98">
        <v>0</v>
      </c>
      <c r="AG66" s="40" t="str">
        <f t="shared" si="4"/>
        <v/>
      </c>
      <c r="AH66" s="415"/>
      <c r="AI66" s="415"/>
      <c r="AJ66" s="404"/>
      <c r="AK66" s="1149"/>
      <c r="AL66" s="1149"/>
      <c r="AM66" s="1149"/>
      <c r="AN66" s="1149"/>
      <c r="AO66" s="1149"/>
      <c r="AP66" s="1149"/>
      <c r="AQ66" s="1149"/>
      <c r="AR66" s="1149"/>
      <c r="AS66" s="1149"/>
      <c r="AT66" s="1149"/>
    </row>
    <row r="67" spans="2:46">
      <c r="B67" s="431">
        <f>名簿!E64</f>
        <v>0</v>
      </c>
      <c r="C67" s="432" t="str">
        <f>名簿!CM64</f>
        <v/>
      </c>
      <c r="D67" s="432" t="str">
        <f>名簿!CM64</f>
        <v/>
      </c>
      <c r="E67" s="432" t="str">
        <f>名簿!Z64</f>
        <v/>
      </c>
      <c r="F67" s="432" t="str">
        <f>名簿!P64</f>
        <v/>
      </c>
      <c r="G67" s="432" t="str">
        <f>名簿!Q64</f>
        <v/>
      </c>
      <c r="H67" s="433" t="str">
        <f>名簿!Y64</f>
        <v/>
      </c>
      <c r="I67" s="433" t="str">
        <f>名簿!CN64</f>
        <v/>
      </c>
      <c r="J67" s="1044">
        <f>名簿!CP64</f>
        <v>0</v>
      </c>
      <c r="K67" s="1044" t="str">
        <f>名簿!CU64</f>
        <v>00</v>
      </c>
      <c r="L67" s="1044" t="str">
        <f>名簿!CU64</f>
        <v>00</v>
      </c>
      <c r="M67" s="1271">
        <f>名簿!D64</f>
        <v>0</v>
      </c>
      <c r="N67" s="1267"/>
      <c r="O67" s="292" t="str">
        <f>IF(N67="","",IF(H67=1,VLOOKUP(N67,男子種目コード!$V$23:$W$25,2,FALSE),IF(H67=2,VLOOKUP(N67,女子種目コード!$V$23:$W$25,2,FALSE))))</f>
        <v/>
      </c>
      <c r="P67" s="669" t="str">
        <f>IF(N67="","",HLOOKUP(N67,名簿!$AH$3:$CH$118,62,FALSE))</f>
        <v/>
      </c>
      <c r="Q67" s="115">
        <f t="shared" si="0"/>
        <v>0</v>
      </c>
      <c r="R67" s="116" t="s">
        <v>793</v>
      </c>
      <c r="S67" s="117" t="str">
        <f t="shared" si="1"/>
        <v>0中学</v>
      </c>
      <c r="T67" s="125"/>
      <c r="U67" s="124"/>
      <c r="V67" s="118"/>
      <c r="W67" s="126"/>
      <c r="X67" s="127"/>
      <c r="Y67" s="121"/>
      <c r="Z67" s="128"/>
      <c r="AA67" s="127"/>
      <c r="AB67" s="123"/>
      <c r="AC67" s="98">
        <v>0</v>
      </c>
      <c r="AG67" s="40" t="str">
        <f t="shared" si="4"/>
        <v/>
      </c>
      <c r="AH67" s="415"/>
      <c r="AI67" s="415"/>
      <c r="AJ67" s="404"/>
      <c r="AK67" s="1149"/>
      <c r="AL67" s="1149"/>
      <c r="AM67" s="1149"/>
      <c r="AN67" s="1149"/>
      <c r="AO67" s="1149"/>
      <c r="AP67" s="1149"/>
      <c r="AQ67" s="1149"/>
      <c r="AR67" s="1149"/>
      <c r="AS67" s="1149"/>
      <c r="AT67" s="1149"/>
    </row>
    <row r="68" spans="2:46">
      <c r="B68" s="431">
        <f>名簿!E65</f>
        <v>0</v>
      </c>
      <c r="C68" s="432" t="str">
        <f>名簿!CM65</f>
        <v/>
      </c>
      <c r="D68" s="432" t="str">
        <f>名簿!CM65</f>
        <v/>
      </c>
      <c r="E68" s="432" t="str">
        <f>名簿!Z65</f>
        <v/>
      </c>
      <c r="F68" s="432" t="str">
        <f>名簿!P65</f>
        <v/>
      </c>
      <c r="G68" s="432" t="str">
        <f>名簿!Q65</f>
        <v/>
      </c>
      <c r="H68" s="433" t="str">
        <f>名簿!Y65</f>
        <v/>
      </c>
      <c r="I68" s="433" t="str">
        <f>名簿!CN65</f>
        <v/>
      </c>
      <c r="J68" s="1044">
        <f>名簿!CP65</f>
        <v>0</v>
      </c>
      <c r="K68" s="1044" t="str">
        <f>名簿!CU65</f>
        <v>00</v>
      </c>
      <c r="L68" s="1044" t="str">
        <f>名簿!CU65</f>
        <v>00</v>
      </c>
      <c r="M68" s="1271">
        <f>名簿!D65</f>
        <v>0</v>
      </c>
      <c r="N68" s="1267"/>
      <c r="O68" s="292" t="str">
        <f>IF(N68="","",IF(H68=1,VLOOKUP(N68,男子種目コード!$V$23:$W$25,2,FALSE),IF(H68=2,VLOOKUP(N68,女子種目コード!$V$23:$W$25,2,FALSE))))</f>
        <v/>
      </c>
      <c r="P68" s="669" t="str">
        <f>IF(N68="","",HLOOKUP(N68,名簿!$AH$3:$CH$118,63,FALSE))</f>
        <v/>
      </c>
      <c r="Q68" s="115">
        <f t="shared" si="0"/>
        <v>0</v>
      </c>
      <c r="R68" s="116" t="s">
        <v>793</v>
      </c>
      <c r="S68" s="117" t="str">
        <f t="shared" si="1"/>
        <v>0中学</v>
      </c>
      <c r="T68" s="125"/>
      <c r="U68" s="124"/>
      <c r="V68" s="118"/>
      <c r="W68" s="126"/>
      <c r="X68" s="127"/>
      <c r="Y68" s="121"/>
      <c r="Z68" s="128"/>
      <c r="AA68" s="127"/>
      <c r="AB68" s="123"/>
      <c r="AC68" s="98">
        <v>0</v>
      </c>
      <c r="AG68" s="40" t="str">
        <f t="shared" si="4"/>
        <v/>
      </c>
      <c r="AH68" s="415"/>
      <c r="AI68" s="415"/>
      <c r="AJ68" s="404"/>
      <c r="AK68" s="1149"/>
      <c r="AL68" s="1149"/>
      <c r="AM68" s="1149"/>
      <c r="AN68" s="1149"/>
      <c r="AO68" s="1149"/>
      <c r="AP68" s="1149"/>
      <c r="AQ68" s="1149"/>
      <c r="AR68" s="1149"/>
      <c r="AS68" s="1149"/>
      <c r="AT68" s="1149"/>
    </row>
    <row r="69" spans="2:46">
      <c r="B69" s="431">
        <f>名簿!E66</f>
        <v>0</v>
      </c>
      <c r="C69" s="432" t="str">
        <f>名簿!CM66</f>
        <v/>
      </c>
      <c r="D69" s="432" t="str">
        <f>名簿!CM66</f>
        <v/>
      </c>
      <c r="E69" s="432" t="str">
        <f>名簿!Z66</f>
        <v/>
      </c>
      <c r="F69" s="432" t="str">
        <f>名簿!P66</f>
        <v/>
      </c>
      <c r="G69" s="432" t="str">
        <f>名簿!Q66</f>
        <v/>
      </c>
      <c r="H69" s="433" t="str">
        <f>名簿!Y66</f>
        <v/>
      </c>
      <c r="I69" s="433" t="str">
        <f>名簿!CN66</f>
        <v/>
      </c>
      <c r="J69" s="1044">
        <f>名簿!CP66</f>
        <v>0</v>
      </c>
      <c r="K69" s="1044" t="str">
        <f>名簿!CU66</f>
        <v>00</v>
      </c>
      <c r="L69" s="1044" t="str">
        <f>名簿!CU66</f>
        <v>00</v>
      </c>
      <c r="M69" s="1271">
        <f>名簿!D66</f>
        <v>0</v>
      </c>
      <c r="N69" s="1267"/>
      <c r="O69" s="292" t="str">
        <f>IF(N69="","",IF(H69=1,VLOOKUP(N69,男子種目コード!$V$23:$W$25,2,FALSE),IF(H69=2,VLOOKUP(N69,女子種目コード!$V$23:$W$25,2,FALSE))))</f>
        <v/>
      </c>
      <c r="P69" s="669" t="str">
        <f>IF(N69="","",HLOOKUP(N69,名簿!$AH$3:$CH$118,64,FALSE))</f>
        <v/>
      </c>
      <c r="Q69" s="115">
        <f t="shared" si="0"/>
        <v>0</v>
      </c>
      <c r="R69" s="116" t="s">
        <v>793</v>
      </c>
      <c r="S69" s="117" t="str">
        <f t="shared" si="1"/>
        <v>0中学</v>
      </c>
      <c r="T69" s="125"/>
      <c r="U69" s="124"/>
      <c r="V69" s="118"/>
      <c r="W69" s="126"/>
      <c r="X69" s="127"/>
      <c r="Y69" s="121"/>
      <c r="Z69" s="128"/>
      <c r="AA69" s="127"/>
      <c r="AB69" s="123"/>
      <c r="AC69" s="98">
        <v>0</v>
      </c>
      <c r="AG69" s="40" t="str">
        <f t="shared" si="4"/>
        <v/>
      </c>
      <c r="AH69" s="415"/>
      <c r="AI69" s="415"/>
      <c r="AJ69" s="404"/>
      <c r="AK69" s="1149"/>
      <c r="AL69" s="1149"/>
      <c r="AM69" s="1149"/>
      <c r="AN69" s="1149"/>
      <c r="AO69" s="1149"/>
      <c r="AP69" s="1149"/>
      <c r="AQ69" s="1149"/>
      <c r="AR69" s="1149"/>
      <c r="AS69" s="1149"/>
      <c r="AT69" s="1149"/>
    </row>
    <row r="70" spans="2:46">
      <c r="B70" s="431">
        <f>名簿!E67</f>
        <v>0</v>
      </c>
      <c r="C70" s="432" t="str">
        <f>名簿!CM67</f>
        <v/>
      </c>
      <c r="D70" s="432" t="str">
        <f>名簿!CM67</f>
        <v/>
      </c>
      <c r="E70" s="432" t="str">
        <f>名簿!Z67</f>
        <v/>
      </c>
      <c r="F70" s="432" t="str">
        <f>名簿!P67</f>
        <v/>
      </c>
      <c r="G70" s="432" t="str">
        <f>名簿!Q67</f>
        <v/>
      </c>
      <c r="H70" s="433" t="str">
        <f>名簿!Y67</f>
        <v/>
      </c>
      <c r="I70" s="433" t="str">
        <f>名簿!CN67</f>
        <v/>
      </c>
      <c r="J70" s="1044">
        <f>名簿!CP67</f>
        <v>0</v>
      </c>
      <c r="K70" s="1044" t="str">
        <f>名簿!CU67</f>
        <v>00</v>
      </c>
      <c r="L70" s="1044" t="str">
        <f>名簿!CU67</f>
        <v>00</v>
      </c>
      <c r="M70" s="1271">
        <f>名簿!D67</f>
        <v>0</v>
      </c>
      <c r="N70" s="1267"/>
      <c r="O70" s="292" t="str">
        <f>IF(N70="","",IF(H70=1,VLOOKUP(N70,男子種目コード!$V$23:$W$25,2,FALSE),IF(H70=2,VLOOKUP(N70,女子種目コード!$V$23:$W$25,2,FALSE))))</f>
        <v/>
      </c>
      <c r="P70" s="669" t="str">
        <f>IF(N70="","",HLOOKUP(N70,名簿!$AH$3:$CH$118,65,FALSE))</f>
        <v/>
      </c>
      <c r="Q70" s="115">
        <f t="shared" si="0"/>
        <v>0</v>
      </c>
      <c r="R70" s="116" t="s">
        <v>793</v>
      </c>
      <c r="S70" s="117" t="str">
        <f t="shared" si="1"/>
        <v>0中学</v>
      </c>
      <c r="T70" s="125"/>
      <c r="U70" s="124"/>
      <c r="V70" s="118"/>
      <c r="W70" s="126"/>
      <c r="X70" s="127"/>
      <c r="Y70" s="121"/>
      <c r="Z70" s="128"/>
      <c r="AA70" s="127"/>
      <c r="AB70" s="123"/>
      <c r="AC70" s="98">
        <v>0</v>
      </c>
      <c r="AG70" s="40" t="str">
        <f t="shared" si="4"/>
        <v/>
      </c>
      <c r="AH70" s="415"/>
      <c r="AI70" s="415"/>
      <c r="AJ70" s="404"/>
      <c r="AK70" s="1149"/>
      <c r="AL70" s="1149"/>
      <c r="AM70" s="1149"/>
      <c r="AN70" s="1149"/>
      <c r="AO70" s="1149"/>
      <c r="AP70" s="1149"/>
      <c r="AQ70" s="1149"/>
      <c r="AR70" s="1149"/>
      <c r="AS70" s="1149"/>
      <c r="AT70" s="1149"/>
    </row>
    <row r="71" spans="2:46">
      <c r="B71" s="431">
        <f>名簿!E68</f>
        <v>0</v>
      </c>
      <c r="C71" s="432" t="str">
        <f>名簿!CM68</f>
        <v/>
      </c>
      <c r="D71" s="432" t="str">
        <f>名簿!CM68</f>
        <v/>
      </c>
      <c r="E71" s="432" t="str">
        <f>名簿!Z68</f>
        <v/>
      </c>
      <c r="F71" s="432" t="str">
        <f>名簿!P68</f>
        <v/>
      </c>
      <c r="G71" s="432" t="str">
        <f>名簿!Q68</f>
        <v/>
      </c>
      <c r="H71" s="433" t="str">
        <f>名簿!Y68</f>
        <v/>
      </c>
      <c r="I71" s="433" t="str">
        <f>名簿!CN68</f>
        <v/>
      </c>
      <c r="J71" s="1044">
        <f>名簿!CP68</f>
        <v>0</v>
      </c>
      <c r="K71" s="1044" t="str">
        <f>名簿!CU68</f>
        <v>00</v>
      </c>
      <c r="L71" s="1044" t="str">
        <f>名簿!CU68</f>
        <v>00</v>
      </c>
      <c r="M71" s="1271">
        <f>名簿!D68</f>
        <v>0</v>
      </c>
      <c r="N71" s="1267"/>
      <c r="O71" s="292" t="str">
        <f>IF(N71="","",IF(H71=1,VLOOKUP(N71,男子種目コード!$V$23:$W$25,2,FALSE),IF(H71=2,VLOOKUP(N71,女子種目コード!$V$23:$W$25,2,FALSE))))</f>
        <v/>
      </c>
      <c r="P71" s="669" t="str">
        <f>IF(N71="","",HLOOKUP(N71,名簿!$AH$3:$CH$118,66,FALSE))</f>
        <v/>
      </c>
      <c r="Q71" s="115">
        <f t="shared" si="0"/>
        <v>0</v>
      </c>
      <c r="R71" s="116" t="s">
        <v>793</v>
      </c>
      <c r="S71" s="117" t="str">
        <f t="shared" si="1"/>
        <v>0中学</v>
      </c>
      <c r="T71" s="125"/>
      <c r="U71" s="124"/>
      <c r="V71" s="118"/>
      <c r="W71" s="126"/>
      <c r="X71" s="127"/>
      <c r="Y71" s="121"/>
      <c r="Z71" s="128"/>
      <c r="AA71" s="127"/>
      <c r="AB71" s="123"/>
      <c r="AC71" s="98">
        <v>0</v>
      </c>
      <c r="AG71" s="40" t="str">
        <f t="shared" ref="AG71:AG102" si="5">IF(N71="","",1)</f>
        <v/>
      </c>
      <c r="AH71" s="415"/>
      <c r="AI71" s="415"/>
      <c r="AJ71" s="404"/>
      <c r="AK71" s="1149"/>
      <c r="AL71" s="1149"/>
      <c r="AM71" s="1149"/>
      <c r="AN71" s="1149"/>
      <c r="AO71" s="1149"/>
      <c r="AP71" s="1149"/>
      <c r="AQ71" s="1149"/>
      <c r="AR71" s="1149"/>
      <c r="AS71" s="1149"/>
      <c r="AT71" s="1149"/>
    </row>
    <row r="72" spans="2:46">
      <c r="B72" s="431">
        <f>名簿!E69</f>
        <v>0</v>
      </c>
      <c r="C72" s="432" t="str">
        <f>名簿!CM69</f>
        <v/>
      </c>
      <c r="D72" s="432" t="str">
        <f>名簿!CM69</f>
        <v/>
      </c>
      <c r="E72" s="432" t="str">
        <f>名簿!Z69</f>
        <v/>
      </c>
      <c r="F72" s="432" t="str">
        <f>名簿!P69</f>
        <v/>
      </c>
      <c r="G72" s="432" t="str">
        <f>名簿!Q69</f>
        <v/>
      </c>
      <c r="H72" s="433" t="str">
        <f>名簿!Y69</f>
        <v/>
      </c>
      <c r="I72" s="433" t="str">
        <f>名簿!CN69</f>
        <v/>
      </c>
      <c r="J72" s="1044">
        <f>名簿!CP69</f>
        <v>0</v>
      </c>
      <c r="K72" s="1044" t="str">
        <f>名簿!CU69</f>
        <v>00</v>
      </c>
      <c r="L72" s="1044" t="str">
        <f>名簿!CU69</f>
        <v>00</v>
      </c>
      <c r="M72" s="1271">
        <f>名簿!D69</f>
        <v>0</v>
      </c>
      <c r="N72" s="1267"/>
      <c r="O72" s="292" t="str">
        <f>IF(N72="","",IF(H72=1,VLOOKUP(N72,男子種目コード!$V$23:$W$25,2,FALSE),IF(H72=2,VLOOKUP(N72,女子種目コード!$V$23:$W$25,2,FALSE))))</f>
        <v/>
      </c>
      <c r="P72" s="669" t="str">
        <f>IF(N72="","",HLOOKUP(N72,名簿!$AH$3:$CH$118,67,FALSE))</f>
        <v/>
      </c>
      <c r="Q72" s="115">
        <f t="shared" ref="Q72:Q116" si="6">$C$1</f>
        <v>0</v>
      </c>
      <c r="R72" s="116" t="s">
        <v>793</v>
      </c>
      <c r="S72" s="117" t="str">
        <f t="shared" ref="S72:S116" si="7">CONCATENATE(Q72,R72)</f>
        <v>0中学</v>
      </c>
      <c r="T72" s="125"/>
      <c r="U72" s="124"/>
      <c r="V72" s="118"/>
      <c r="W72" s="126"/>
      <c r="X72" s="127"/>
      <c r="Y72" s="121"/>
      <c r="Z72" s="128"/>
      <c r="AA72" s="127"/>
      <c r="AB72" s="123"/>
      <c r="AC72" s="98">
        <v>0</v>
      </c>
      <c r="AG72" s="40" t="str">
        <f t="shared" si="5"/>
        <v/>
      </c>
      <c r="AH72" s="415"/>
      <c r="AI72" s="415"/>
      <c r="AJ72" s="404"/>
      <c r="AK72" s="1149"/>
      <c r="AL72" s="1149"/>
      <c r="AM72" s="1149"/>
      <c r="AN72" s="1149"/>
      <c r="AO72" s="1149"/>
      <c r="AP72" s="1149"/>
      <c r="AQ72" s="1149"/>
      <c r="AR72" s="1149"/>
      <c r="AS72" s="1149"/>
      <c r="AT72" s="1149"/>
    </row>
    <row r="73" spans="2:46">
      <c r="B73" s="431">
        <f>名簿!E70</f>
        <v>0</v>
      </c>
      <c r="C73" s="432" t="str">
        <f>名簿!CM70</f>
        <v/>
      </c>
      <c r="D73" s="432" t="str">
        <f>名簿!CM70</f>
        <v/>
      </c>
      <c r="E73" s="432" t="str">
        <f>名簿!Z70</f>
        <v/>
      </c>
      <c r="F73" s="432" t="str">
        <f>名簿!P70</f>
        <v/>
      </c>
      <c r="G73" s="432" t="str">
        <f>名簿!Q70</f>
        <v/>
      </c>
      <c r="H73" s="433" t="str">
        <f>名簿!Y70</f>
        <v/>
      </c>
      <c r="I73" s="433" t="str">
        <f>名簿!CN70</f>
        <v/>
      </c>
      <c r="J73" s="1044">
        <f>名簿!CP70</f>
        <v>0</v>
      </c>
      <c r="K73" s="1044" t="str">
        <f>名簿!CU70</f>
        <v>00</v>
      </c>
      <c r="L73" s="1044" t="str">
        <f>名簿!CU70</f>
        <v>00</v>
      </c>
      <c r="M73" s="1271">
        <f>名簿!D70</f>
        <v>0</v>
      </c>
      <c r="N73" s="1267"/>
      <c r="O73" s="292" t="str">
        <f>IF(N73="","",IF(H73=1,VLOOKUP(N73,男子種目コード!$V$23:$W$25,2,FALSE),IF(H73=2,VLOOKUP(N73,女子種目コード!$V$23:$W$25,2,FALSE))))</f>
        <v/>
      </c>
      <c r="P73" s="669" t="str">
        <f>IF(N73="","",HLOOKUP(N73,名簿!$AH$3:$CH$118,68,FALSE))</f>
        <v/>
      </c>
      <c r="Q73" s="115">
        <f t="shared" si="6"/>
        <v>0</v>
      </c>
      <c r="R73" s="116" t="s">
        <v>793</v>
      </c>
      <c r="S73" s="117" t="str">
        <f t="shared" si="7"/>
        <v>0中学</v>
      </c>
      <c r="T73" s="125"/>
      <c r="U73" s="124"/>
      <c r="V73" s="118"/>
      <c r="W73" s="126"/>
      <c r="X73" s="127"/>
      <c r="Y73" s="121"/>
      <c r="Z73" s="128"/>
      <c r="AA73" s="127"/>
      <c r="AB73" s="123"/>
      <c r="AC73" s="98">
        <v>0</v>
      </c>
      <c r="AG73" s="40" t="str">
        <f t="shared" si="5"/>
        <v/>
      </c>
      <c r="AH73" s="415"/>
      <c r="AI73" s="415"/>
      <c r="AJ73" s="404"/>
      <c r="AK73" s="1149"/>
      <c r="AL73" s="1149"/>
      <c r="AM73" s="1149"/>
      <c r="AN73" s="1149"/>
      <c r="AO73" s="1149"/>
      <c r="AP73" s="1149"/>
      <c r="AQ73" s="1149"/>
      <c r="AR73" s="1149"/>
      <c r="AS73" s="1149"/>
      <c r="AT73" s="1149"/>
    </row>
    <row r="74" spans="2:46">
      <c r="B74" s="431">
        <f>名簿!E71</f>
        <v>0</v>
      </c>
      <c r="C74" s="432" t="str">
        <f>名簿!CM71</f>
        <v/>
      </c>
      <c r="D74" s="432" t="str">
        <f>名簿!CM71</f>
        <v/>
      </c>
      <c r="E74" s="432" t="str">
        <f>名簿!Z71</f>
        <v/>
      </c>
      <c r="F74" s="432" t="str">
        <f>名簿!P71</f>
        <v/>
      </c>
      <c r="G74" s="432" t="str">
        <f>名簿!Q71</f>
        <v/>
      </c>
      <c r="H74" s="433" t="str">
        <f>名簿!Y71</f>
        <v/>
      </c>
      <c r="I74" s="433" t="str">
        <f>名簿!CN71</f>
        <v/>
      </c>
      <c r="J74" s="1044">
        <f>名簿!CP71</f>
        <v>0</v>
      </c>
      <c r="K74" s="1044" t="str">
        <f>名簿!CU71</f>
        <v>00</v>
      </c>
      <c r="L74" s="1044" t="str">
        <f>名簿!CU71</f>
        <v>00</v>
      </c>
      <c r="M74" s="1271">
        <f>名簿!D71</f>
        <v>0</v>
      </c>
      <c r="N74" s="1267"/>
      <c r="O74" s="292" t="str">
        <f>IF(N74="","",IF(H74=1,VLOOKUP(N74,男子種目コード!$V$23:$W$25,2,FALSE),IF(H74=2,VLOOKUP(N74,女子種目コード!$V$23:$W$25,2,FALSE))))</f>
        <v/>
      </c>
      <c r="P74" s="669" t="str">
        <f>IF(N74="","",HLOOKUP(N74,名簿!$AH$3:$CH$118,69,FALSE))</f>
        <v/>
      </c>
      <c r="Q74" s="115">
        <f t="shared" si="6"/>
        <v>0</v>
      </c>
      <c r="R74" s="116" t="s">
        <v>793</v>
      </c>
      <c r="S74" s="117" t="str">
        <f t="shared" si="7"/>
        <v>0中学</v>
      </c>
      <c r="T74" s="125"/>
      <c r="U74" s="124"/>
      <c r="V74" s="118"/>
      <c r="W74" s="126"/>
      <c r="X74" s="127"/>
      <c r="Y74" s="121"/>
      <c r="Z74" s="128"/>
      <c r="AA74" s="127"/>
      <c r="AB74" s="123"/>
      <c r="AC74" s="98">
        <v>0</v>
      </c>
      <c r="AG74" s="40" t="str">
        <f t="shared" si="5"/>
        <v/>
      </c>
      <c r="AH74" s="415"/>
      <c r="AI74" s="415"/>
      <c r="AJ74" s="404"/>
      <c r="AK74" s="1149"/>
      <c r="AL74" s="1149"/>
      <c r="AM74" s="1149"/>
      <c r="AN74" s="1149"/>
      <c r="AO74" s="1149"/>
      <c r="AP74" s="1149"/>
      <c r="AQ74" s="1149"/>
      <c r="AR74" s="1149"/>
      <c r="AS74" s="1149"/>
      <c r="AT74" s="1149"/>
    </row>
    <row r="75" spans="2:46">
      <c r="B75" s="431">
        <f>名簿!E72</f>
        <v>0</v>
      </c>
      <c r="C75" s="432" t="str">
        <f>名簿!CM72</f>
        <v/>
      </c>
      <c r="D75" s="432" t="str">
        <f>名簿!CM72</f>
        <v/>
      </c>
      <c r="E75" s="432" t="str">
        <f>名簿!Z72</f>
        <v/>
      </c>
      <c r="F75" s="432" t="str">
        <f>名簿!P72</f>
        <v/>
      </c>
      <c r="G75" s="432" t="str">
        <f>名簿!Q72</f>
        <v/>
      </c>
      <c r="H75" s="433" t="str">
        <f>名簿!Y72</f>
        <v/>
      </c>
      <c r="I75" s="433" t="str">
        <f>名簿!CN72</f>
        <v/>
      </c>
      <c r="J75" s="1044">
        <f>名簿!CP72</f>
        <v>0</v>
      </c>
      <c r="K75" s="1044" t="str">
        <f>名簿!CU72</f>
        <v>00</v>
      </c>
      <c r="L75" s="1044" t="str">
        <f>名簿!CU72</f>
        <v>00</v>
      </c>
      <c r="M75" s="1271">
        <f>名簿!D72</f>
        <v>0</v>
      </c>
      <c r="N75" s="1267"/>
      <c r="O75" s="292" t="str">
        <f>IF(N75="","",IF(H75=1,VLOOKUP(N75,男子種目コード!$V$23:$W$25,2,FALSE),IF(H75=2,VLOOKUP(N75,女子種目コード!$V$23:$W$25,2,FALSE))))</f>
        <v/>
      </c>
      <c r="P75" s="669" t="str">
        <f>IF(N75="","",HLOOKUP(N75,名簿!$AH$3:$CH$118,70,FALSE))</f>
        <v/>
      </c>
      <c r="Q75" s="115">
        <f t="shared" si="6"/>
        <v>0</v>
      </c>
      <c r="R75" s="116" t="s">
        <v>793</v>
      </c>
      <c r="S75" s="117" t="str">
        <f t="shared" si="7"/>
        <v>0中学</v>
      </c>
      <c r="T75" s="125"/>
      <c r="U75" s="124"/>
      <c r="V75" s="118"/>
      <c r="W75" s="126"/>
      <c r="X75" s="127"/>
      <c r="Y75" s="121"/>
      <c r="Z75" s="128"/>
      <c r="AA75" s="127"/>
      <c r="AB75" s="123"/>
      <c r="AC75" s="98">
        <v>0</v>
      </c>
      <c r="AG75" s="40" t="str">
        <f t="shared" si="5"/>
        <v/>
      </c>
      <c r="AH75" s="415"/>
      <c r="AI75" s="415"/>
      <c r="AJ75" s="404"/>
      <c r="AK75" s="1149"/>
      <c r="AL75" s="1149"/>
      <c r="AM75" s="1149"/>
      <c r="AN75" s="1149"/>
      <c r="AO75" s="1149"/>
      <c r="AP75" s="1149"/>
      <c r="AQ75" s="1149"/>
      <c r="AR75" s="1149"/>
      <c r="AS75" s="1149"/>
      <c r="AT75" s="1149"/>
    </row>
    <row r="76" spans="2:46">
      <c r="B76" s="431">
        <f>名簿!E73</f>
        <v>0</v>
      </c>
      <c r="C76" s="432" t="str">
        <f>名簿!CM73</f>
        <v/>
      </c>
      <c r="D76" s="432" t="str">
        <f>名簿!CM73</f>
        <v/>
      </c>
      <c r="E76" s="432" t="str">
        <f>名簿!Z73</f>
        <v/>
      </c>
      <c r="F76" s="432" t="str">
        <f>名簿!P73</f>
        <v/>
      </c>
      <c r="G76" s="432" t="str">
        <f>名簿!Q73</f>
        <v/>
      </c>
      <c r="H76" s="433" t="str">
        <f>名簿!Y73</f>
        <v/>
      </c>
      <c r="I76" s="433" t="str">
        <f>名簿!CN73</f>
        <v/>
      </c>
      <c r="J76" s="1044">
        <f>名簿!CP73</f>
        <v>0</v>
      </c>
      <c r="K76" s="1044" t="str">
        <f>名簿!CU73</f>
        <v>00</v>
      </c>
      <c r="L76" s="1044" t="str">
        <f>名簿!CU73</f>
        <v>00</v>
      </c>
      <c r="M76" s="1271">
        <f>名簿!D73</f>
        <v>0</v>
      </c>
      <c r="N76" s="1267"/>
      <c r="O76" s="292" t="str">
        <f>IF(N76="","",IF(H76=1,VLOOKUP(N76,男子種目コード!$V$23:$W$25,2,FALSE),IF(H76=2,VLOOKUP(N76,女子種目コード!$V$23:$W$25,2,FALSE))))</f>
        <v/>
      </c>
      <c r="P76" s="669" t="str">
        <f>IF(N76="","",HLOOKUP(N76,名簿!$AH$3:$CH$118,71,FALSE))</f>
        <v/>
      </c>
      <c r="Q76" s="115">
        <f t="shared" si="6"/>
        <v>0</v>
      </c>
      <c r="R76" s="116" t="s">
        <v>793</v>
      </c>
      <c r="S76" s="117" t="str">
        <f t="shared" si="7"/>
        <v>0中学</v>
      </c>
      <c r="T76" s="125"/>
      <c r="U76" s="124"/>
      <c r="V76" s="118"/>
      <c r="W76" s="126"/>
      <c r="X76" s="127"/>
      <c r="Y76" s="121"/>
      <c r="Z76" s="128"/>
      <c r="AA76" s="127"/>
      <c r="AB76" s="123"/>
      <c r="AC76" s="98">
        <v>0</v>
      </c>
      <c r="AG76" s="40" t="str">
        <f t="shared" si="5"/>
        <v/>
      </c>
      <c r="AH76" s="415"/>
      <c r="AI76" s="415"/>
      <c r="AJ76" s="404"/>
      <c r="AK76" s="1149"/>
      <c r="AL76" s="1149"/>
      <c r="AM76" s="1149"/>
      <c r="AN76" s="1149"/>
      <c r="AO76" s="1149"/>
      <c r="AP76" s="1149"/>
      <c r="AQ76" s="1149"/>
      <c r="AR76" s="1149"/>
      <c r="AS76" s="1149"/>
      <c r="AT76" s="1149"/>
    </row>
    <row r="77" spans="2:46">
      <c r="B77" s="431">
        <f>名簿!E74</f>
        <v>0</v>
      </c>
      <c r="C77" s="432" t="str">
        <f>名簿!CM74</f>
        <v/>
      </c>
      <c r="D77" s="432" t="str">
        <f>名簿!CM74</f>
        <v/>
      </c>
      <c r="E77" s="432" t="str">
        <f>名簿!Z74</f>
        <v/>
      </c>
      <c r="F77" s="432" t="str">
        <f>名簿!P74</f>
        <v/>
      </c>
      <c r="G77" s="432" t="str">
        <f>名簿!Q74</f>
        <v/>
      </c>
      <c r="H77" s="433" t="str">
        <f>名簿!Y74</f>
        <v/>
      </c>
      <c r="I77" s="433" t="str">
        <f>名簿!CN74</f>
        <v/>
      </c>
      <c r="J77" s="1044">
        <f>名簿!CP74</f>
        <v>0</v>
      </c>
      <c r="K77" s="1044" t="str">
        <f>名簿!CU74</f>
        <v>00</v>
      </c>
      <c r="L77" s="1044" t="str">
        <f>名簿!CU74</f>
        <v>00</v>
      </c>
      <c r="M77" s="1271">
        <f>名簿!D74</f>
        <v>0</v>
      </c>
      <c r="N77" s="1267"/>
      <c r="O77" s="292" t="str">
        <f>IF(N77="","",IF(H77=1,VLOOKUP(N77,男子種目コード!$V$23:$W$25,2,FALSE),IF(H77=2,VLOOKUP(N77,女子種目コード!$V$23:$W$25,2,FALSE))))</f>
        <v/>
      </c>
      <c r="P77" s="669" t="str">
        <f>IF(N77="","",HLOOKUP(N77,名簿!$AH$3:$CH$118,72,FALSE))</f>
        <v/>
      </c>
      <c r="Q77" s="115">
        <f t="shared" si="6"/>
        <v>0</v>
      </c>
      <c r="R77" s="116" t="s">
        <v>793</v>
      </c>
      <c r="S77" s="117" t="str">
        <f t="shared" si="7"/>
        <v>0中学</v>
      </c>
      <c r="T77" s="125"/>
      <c r="U77" s="124"/>
      <c r="V77" s="118"/>
      <c r="W77" s="126"/>
      <c r="X77" s="127"/>
      <c r="Y77" s="121"/>
      <c r="Z77" s="128"/>
      <c r="AA77" s="127"/>
      <c r="AB77" s="123"/>
      <c r="AC77" s="98">
        <v>0</v>
      </c>
      <c r="AG77" s="40" t="str">
        <f t="shared" si="5"/>
        <v/>
      </c>
      <c r="AH77" s="415"/>
      <c r="AI77" s="415"/>
      <c r="AJ77" s="404"/>
      <c r="AK77" s="1149"/>
      <c r="AL77" s="1149"/>
      <c r="AM77" s="1149"/>
      <c r="AN77" s="1149"/>
      <c r="AO77" s="1149"/>
      <c r="AP77" s="1149"/>
      <c r="AQ77" s="1149"/>
      <c r="AR77" s="1149"/>
      <c r="AS77" s="1149"/>
      <c r="AT77" s="1149"/>
    </row>
    <row r="78" spans="2:46">
      <c r="B78" s="431">
        <f>名簿!E75</f>
        <v>0</v>
      </c>
      <c r="C78" s="432" t="str">
        <f>名簿!CM75</f>
        <v/>
      </c>
      <c r="D78" s="432" t="str">
        <f>名簿!CM75</f>
        <v/>
      </c>
      <c r="E78" s="432" t="str">
        <f>名簿!Z75</f>
        <v/>
      </c>
      <c r="F78" s="432" t="str">
        <f>名簿!P75</f>
        <v/>
      </c>
      <c r="G78" s="432" t="str">
        <f>名簿!Q75</f>
        <v/>
      </c>
      <c r="H78" s="433" t="str">
        <f>名簿!Y75</f>
        <v/>
      </c>
      <c r="I78" s="433" t="str">
        <f>名簿!CN75</f>
        <v/>
      </c>
      <c r="J78" s="1044">
        <f>名簿!CP75</f>
        <v>0</v>
      </c>
      <c r="K78" s="1044" t="str">
        <f>名簿!CU75</f>
        <v>00</v>
      </c>
      <c r="L78" s="1044" t="str">
        <f>名簿!CU75</f>
        <v>00</v>
      </c>
      <c r="M78" s="1271">
        <f>名簿!D75</f>
        <v>0</v>
      </c>
      <c r="N78" s="1267"/>
      <c r="O78" s="292" t="str">
        <f>IF(N78="","",IF(H78=1,VLOOKUP(N78,男子種目コード!$V$23:$W$25,2,FALSE),IF(H78=2,VLOOKUP(N78,女子種目コード!$V$23:$W$25,2,FALSE))))</f>
        <v/>
      </c>
      <c r="P78" s="669" t="str">
        <f>IF(N78="","",HLOOKUP(N78,名簿!$AH$3:$CH$118,73,FALSE))</f>
        <v/>
      </c>
      <c r="Q78" s="115">
        <f t="shared" si="6"/>
        <v>0</v>
      </c>
      <c r="R78" s="116" t="s">
        <v>793</v>
      </c>
      <c r="S78" s="117" t="str">
        <f t="shared" si="7"/>
        <v>0中学</v>
      </c>
      <c r="T78" s="125"/>
      <c r="U78" s="124"/>
      <c r="V78" s="118"/>
      <c r="W78" s="126"/>
      <c r="X78" s="127"/>
      <c r="Y78" s="121"/>
      <c r="Z78" s="128"/>
      <c r="AA78" s="127"/>
      <c r="AB78" s="123"/>
      <c r="AC78" s="98">
        <v>0</v>
      </c>
      <c r="AG78" s="40" t="str">
        <f t="shared" si="5"/>
        <v/>
      </c>
      <c r="AH78" s="415"/>
      <c r="AI78" s="415"/>
      <c r="AJ78" s="404"/>
      <c r="AK78" s="1149"/>
      <c r="AL78" s="1149"/>
      <c r="AM78" s="1149"/>
      <c r="AN78" s="1149"/>
      <c r="AO78" s="1149"/>
      <c r="AP78" s="1149"/>
      <c r="AQ78" s="1149"/>
      <c r="AR78" s="1149"/>
      <c r="AS78" s="1149"/>
      <c r="AT78" s="1149"/>
    </row>
    <row r="79" spans="2:46">
      <c r="B79" s="431">
        <f>名簿!E76</f>
        <v>0</v>
      </c>
      <c r="C79" s="432" t="str">
        <f>名簿!CM76</f>
        <v/>
      </c>
      <c r="D79" s="432" t="str">
        <f>名簿!CM76</f>
        <v/>
      </c>
      <c r="E79" s="432" t="str">
        <f>名簿!Z76</f>
        <v/>
      </c>
      <c r="F79" s="432" t="str">
        <f>名簿!P76</f>
        <v/>
      </c>
      <c r="G79" s="432" t="str">
        <f>名簿!Q76</f>
        <v/>
      </c>
      <c r="H79" s="433" t="str">
        <f>名簿!Y76</f>
        <v/>
      </c>
      <c r="I79" s="433" t="str">
        <f>名簿!CN76</f>
        <v/>
      </c>
      <c r="J79" s="1044">
        <f>名簿!CP76</f>
        <v>0</v>
      </c>
      <c r="K79" s="1044" t="str">
        <f>名簿!CU76</f>
        <v>00</v>
      </c>
      <c r="L79" s="1044" t="str">
        <f>名簿!CU76</f>
        <v>00</v>
      </c>
      <c r="M79" s="1271">
        <f>名簿!D76</f>
        <v>0</v>
      </c>
      <c r="N79" s="1267"/>
      <c r="O79" s="292" t="str">
        <f>IF(N79="","",IF(H79=1,VLOOKUP(N79,男子種目コード!$V$23:$W$25,2,FALSE),IF(H79=2,VLOOKUP(N79,女子種目コード!$V$23:$W$25,2,FALSE))))</f>
        <v/>
      </c>
      <c r="P79" s="669" t="str">
        <f>IF(N79="","",HLOOKUP(N79,名簿!$AH$3:$CH$118,74,FALSE))</f>
        <v/>
      </c>
      <c r="Q79" s="115">
        <f t="shared" si="6"/>
        <v>0</v>
      </c>
      <c r="R79" s="116" t="s">
        <v>793</v>
      </c>
      <c r="S79" s="117" t="str">
        <f t="shared" si="7"/>
        <v>0中学</v>
      </c>
      <c r="T79" s="125"/>
      <c r="U79" s="124"/>
      <c r="V79" s="118"/>
      <c r="W79" s="126"/>
      <c r="X79" s="127"/>
      <c r="Y79" s="121"/>
      <c r="Z79" s="128"/>
      <c r="AA79" s="127"/>
      <c r="AB79" s="123"/>
      <c r="AC79" s="98">
        <v>0</v>
      </c>
      <c r="AG79" s="40" t="str">
        <f t="shared" si="5"/>
        <v/>
      </c>
      <c r="AH79" s="415"/>
      <c r="AI79" s="415"/>
      <c r="AJ79" s="404"/>
      <c r="AK79" s="1149"/>
      <c r="AL79" s="1149"/>
      <c r="AM79" s="1149"/>
      <c r="AN79" s="1149"/>
      <c r="AO79" s="1149"/>
      <c r="AP79" s="1149"/>
      <c r="AQ79" s="1149"/>
      <c r="AR79" s="1149"/>
      <c r="AS79" s="1149"/>
      <c r="AT79" s="1149"/>
    </row>
    <row r="80" spans="2:46">
      <c r="B80" s="431">
        <f>名簿!E77</f>
        <v>0</v>
      </c>
      <c r="C80" s="432" t="str">
        <f>名簿!CM77</f>
        <v/>
      </c>
      <c r="D80" s="432" t="str">
        <f>名簿!CM77</f>
        <v/>
      </c>
      <c r="E80" s="432" t="str">
        <f>名簿!Z77</f>
        <v/>
      </c>
      <c r="F80" s="432" t="str">
        <f>名簿!P77</f>
        <v/>
      </c>
      <c r="G80" s="432" t="str">
        <f>名簿!Q77</f>
        <v/>
      </c>
      <c r="H80" s="433" t="str">
        <f>名簿!Y77</f>
        <v/>
      </c>
      <c r="I80" s="433" t="str">
        <f>名簿!CN77</f>
        <v/>
      </c>
      <c r="J80" s="1044">
        <f>名簿!CP77</f>
        <v>0</v>
      </c>
      <c r="K80" s="1044" t="str">
        <f>名簿!CU77</f>
        <v>00</v>
      </c>
      <c r="L80" s="1044" t="str">
        <f>名簿!CU77</f>
        <v>00</v>
      </c>
      <c r="M80" s="1271">
        <f>名簿!D77</f>
        <v>0</v>
      </c>
      <c r="N80" s="1267"/>
      <c r="O80" s="292" t="str">
        <f>IF(N80="","",IF(H80=1,VLOOKUP(N80,男子種目コード!$V$23:$W$25,2,FALSE),IF(H80=2,VLOOKUP(N80,女子種目コード!$V$23:$W$25,2,FALSE))))</f>
        <v/>
      </c>
      <c r="P80" s="669" t="str">
        <f>IF(N80="","",HLOOKUP(N80,名簿!$AH$3:$CH$118,75,FALSE))</f>
        <v/>
      </c>
      <c r="Q80" s="115">
        <f t="shared" si="6"/>
        <v>0</v>
      </c>
      <c r="R80" s="116" t="s">
        <v>793</v>
      </c>
      <c r="S80" s="117" t="str">
        <f t="shared" si="7"/>
        <v>0中学</v>
      </c>
      <c r="T80" s="125"/>
      <c r="U80" s="124"/>
      <c r="V80" s="118"/>
      <c r="W80" s="126"/>
      <c r="X80" s="127"/>
      <c r="Y80" s="121"/>
      <c r="Z80" s="128"/>
      <c r="AA80" s="127"/>
      <c r="AB80" s="123"/>
      <c r="AC80" s="98">
        <v>0</v>
      </c>
      <c r="AG80" s="40" t="str">
        <f t="shared" si="5"/>
        <v/>
      </c>
      <c r="AH80" s="415"/>
      <c r="AI80" s="415"/>
      <c r="AJ80" s="404"/>
      <c r="AK80" s="1149"/>
      <c r="AL80" s="1149"/>
      <c r="AM80" s="1149"/>
      <c r="AN80" s="1149"/>
      <c r="AO80" s="1149"/>
      <c r="AP80" s="1149"/>
      <c r="AQ80" s="1149"/>
      <c r="AR80" s="1149"/>
      <c r="AS80" s="1149"/>
      <c r="AT80" s="1149"/>
    </row>
    <row r="81" spans="2:46">
      <c r="B81" s="431">
        <f>名簿!E78</f>
        <v>0</v>
      </c>
      <c r="C81" s="432" t="str">
        <f>名簿!CM78</f>
        <v/>
      </c>
      <c r="D81" s="432" t="str">
        <f>名簿!CM78</f>
        <v/>
      </c>
      <c r="E81" s="432" t="str">
        <f>名簿!Z78</f>
        <v/>
      </c>
      <c r="F81" s="432" t="str">
        <f>名簿!P78</f>
        <v/>
      </c>
      <c r="G81" s="432" t="str">
        <f>名簿!Q78</f>
        <v/>
      </c>
      <c r="H81" s="433" t="str">
        <f>名簿!Y78</f>
        <v/>
      </c>
      <c r="I81" s="433" t="str">
        <f>名簿!CN78</f>
        <v/>
      </c>
      <c r="J81" s="1044">
        <f>名簿!CP78</f>
        <v>0</v>
      </c>
      <c r="K81" s="1044" t="str">
        <f>名簿!CU78</f>
        <v>00</v>
      </c>
      <c r="L81" s="1044" t="str">
        <f>名簿!CU78</f>
        <v>00</v>
      </c>
      <c r="M81" s="1271">
        <f>名簿!D78</f>
        <v>0</v>
      </c>
      <c r="N81" s="1267"/>
      <c r="O81" s="292" t="str">
        <f>IF(N81="","",IF(H81=1,VLOOKUP(N81,男子種目コード!$V$23:$W$25,2,FALSE),IF(H81=2,VLOOKUP(N81,女子種目コード!$V$23:$W$25,2,FALSE))))</f>
        <v/>
      </c>
      <c r="P81" s="669" t="str">
        <f>IF(N81="","",HLOOKUP(N81,名簿!$AH$3:$CH$118,76,FALSE))</f>
        <v/>
      </c>
      <c r="Q81" s="115">
        <f t="shared" si="6"/>
        <v>0</v>
      </c>
      <c r="R81" s="116" t="s">
        <v>793</v>
      </c>
      <c r="S81" s="117" t="str">
        <f t="shared" si="7"/>
        <v>0中学</v>
      </c>
      <c r="T81" s="125"/>
      <c r="U81" s="124"/>
      <c r="V81" s="118"/>
      <c r="W81" s="126"/>
      <c r="X81" s="127"/>
      <c r="Y81" s="121"/>
      <c r="Z81" s="128"/>
      <c r="AA81" s="127"/>
      <c r="AB81" s="123"/>
      <c r="AC81" s="98">
        <v>0</v>
      </c>
      <c r="AG81" s="40" t="str">
        <f t="shared" si="5"/>
        <v/>
      </c>
      <c r="AH81" s="415"/>
      <c r="AI81" s="415"/>
      <c r="AJ81" s="404"/>
      <c r="AK81" s="1149"/>
      <c r="AL81" s="1149"/>
      <c r="AM81" s="1149"/>
      <c r="AN81" s="1149"/>
      <c r="AO81" s="1149"/>
      <c r="AP81" s="1149"/>
      <c r="AQ81" s="1149"/>
      <c r="AR81" s="1149"/>
      <c r="AS81" s="1149"/>
      <c r="AT81" s="1149"/>
    </row>
    <row r="82" spans="2:46">
      <c r="B82" s="431">
        <f>名簿!E79</f>
        <v>0</v>
      </c>
      <c r="C82" s="432" t="str">
        <f>名簿!CM79</f>
        <v/>
      </c>
      <c r="D82" s="432" t="str">
        <f>名簿!CM79</f>
        <v/>
      </c>
      <c r="E82" s="432" t="str">
        <f>名簿!Z79</f>
        <v/>
      </c>
      <c r="F82" s="432" t="str">
        <f>名簿!P79</f>
        <v/>
      </c>
      <c r="G82" s="432" t="str">
        <f>名簿!Q79</f>
        <v/>
      </c>
      <c r="H82" s="433" t="str">
        <f>名簿!Y79</f>
        <v/>
      </c>
      <c r="I82" s="433" t="str">
        <f>名簿!CN79</f>
        <v/>
      </c>
      <c r="J82" s="1044">
        <f>名簿!CP79</f>
        <v>0</v>
      </c>
      <c r="K82" s="1044" t="str">
        <f>名簿!CU79</f>
        <v>00</v>
      </c>
      <c r="L82" s="1044" t="str">
        <f>名簿!CU79</f>
        <v>00</v>
      </c>
      <c r="M82" s="1271">
        <f>名簿!D79</f>
        <v>0</v>
      </c>
      <c r="N82" s="1267"/>
      <c r="O82" s="292" t="str">
        <f>IF(N82="","",IF(H82=1,VLOOKUP(N82,男子種目コード!$V$23:$W$25,2,FALSE),IF(H82=2,VLOOKUP(N82,女子種目コード!$V$23:$W$25,2,FALSE))))</f>
        <v/>
      </c>
      <c r="P82" s="669" t="str">
        <f>IF(N82="","",HLOOKUP(N82,名簿!$AH$3:$CH$118,77,FALSE))</f>
        <v/>
      </c>
      <c r="Q82" s="115">
        <f t="shared" si="6"/>
        <v>0</v>
      </c>
      <c r="R82" s="116" t="s">
        <v>793</v>
      </c>
      <c r="S82" s="117" t="str">
        <f t="shared" si="7"/>
        <v>0中学</v>
      </c>
      <c r="T82" s="125"/>
      <c r="U82" s="124"/>
      <c r="V82" s="118"/>
      <c r="W82" s="126"/>
      <c r="X82" s="127"/>
      <c r="Y82" s="121"/>
      <c r="Z82" s="128"/>
      <c r="AA82" s="127"/>
      <c r="AB82" s="123"/>
      <c r="AC82" s="98">
        <v>0</v>
      </c>
      <c r="AG82" s="40" t="str">
        <f t="shared" si="5"/>
        <v/>
      </c>
      <c r="AH82" s="415"/>
      <c r="AI82" s="415"/>
      <c r="AJ82" s="404"/>
      <c r="AK82" s="1149"/>
      <c r="AL82" s="1149"/>
      <c r="AM82" s="1149"/>
      <c r="AN82" s="1149"/>
      <c r="AO82" s="1149"/>
      <c r="AP82" s="1149"/>
      <c r="AQ82" s="1149"/>
      <c r="AR82" s="1149"/>
      <c r="AS82" s="1149"/>
      <c r="AT82" s="1149"/>
    </row>
    <row r="83" spans="2:46">
      <c r="B83" s="431">
        <f>名簿!E80</f>
        <v>0</v>
      </c>
      <c r="C83" s="432" t="str">
        <f>名簿!CM80</f>
        <v/>
      </c>
      <c r="D83" s="432" t="str">
        <f>名簿!CM80</f>
        <v/>
      </c>
      <c r="E83" s="432" t="str">
        <f>名簿!Z80</f>
        <v/>
      </c>
      <c r="F83" s="432" t="str">
        <f>名簿!P80</f>
        <v/>
      </c>
      <c r="G83" s="432" t="str">
        <f>名簿!Q80</f>
        <v/>
      </c>
      <c r="H83" s="433" t="str">
        <f>名簿!Y80</f>
        <v/>
      </c>
      <c r="I83" s="433" t="str">
        <f>名簿!CN80</f>
        <v/>
      </c>
      <c r="J83" s="1044">
        <f>名簿!CP80</f>
        <v>0</v>
      </c>
      <c r="K83" s="1044" t="str">
        <f>名簿!CU80</f>
        <v>00</v>
      </c>
      <c r="L83" s="1044" t="str">
        <f>名簿!CU80</f>
        <v>00</v>
      </c>
      <c r="M83" s="1271">
        <f>名簿!D80</f>
        <v>0</v>
      </c>
      <c r="N83" s="1267"/>
      <c r="O83" s="292" t="str">
        <f>IF(N83="","",IF(H83=1,VLOOKUP(N83,男子種目コード!$V$23:$W$25,2,FALSE),IF(H83=2,VLOOKUP(N83,女子種目コード!$V$23:$W$25,2,FALSE))))</f>
        <v/>
      </c>
      <c r="P83" s="669" t="str">
        <f>IF(N83="","",HLOOKUP(N83,名簿!$AH$3:$CH$118,78,FALSE))</f>
        <v/>
      </c>
      <c r="Q83" s="115">
        <f t="shared" si="6"/>
        <v>0</v>
      </c>
      <c r="R83" s="116" t="s">
        <v>793</v>
      </c>
      <c r="S83" s="117" t="str">
        <f t="shared" si="7"/>
        <v>0中学</v>
      </c>
      <c r="T83" s="125"/>
      <c r="U83" s="124"/>
      <c r="V83" s="118"/>
      <c r="W83" s="126"/>
      <c r="X83" s="127"/>
      <c r="Y83" s="121"/>
      <c r="Z83" s="128"/>
      <c r="AA83" s="127"/>
      <c r="AB83" s="123"/>
      <c r="AC83" s="98">
        <v>0</v>
      </c>
      <c r="AG83" s="40" t="str">
        <f t="shared" si="5"/>
        <v/>
      </c>
      <c r="AH83" s="415"/>
      <c r="AI83" s="415"/>
      <c r="AJ83" s="404"/>
      <c r="AK83" s="1149"/>
      <c r="AL83" s="1149"/>
      <c r="AM83" s="1149"/>
      <c r="AN83" s="1149"/>
      <c r="AO83" s="1149"/>
      <c r="AP83" s="1149"/>
      <c r="AQ83" s="1149"/>
      <c r="AR83" s="1149"/>
      <c r="AS83" s="1149"/>
      <c r="AT83" s="1149"/>
    </row>
    <row r="84" spans="2:46">
      <c r="B84" s="431">
        <f>名簿!E81</f>
        <v>0</v>
      </c>
      <c r="C84" s="432" t="str">
        <f>名簿!CM81</f>
        <v/>
      </c>
      <c r="D84" s="432" t="str">
        <f>名簿!CM81</f>
        <v/>
      </c>
      <c r="E84" s="432" t="str">
        <f>名簿!Z81</f>
        <v/>
      </c>
      <c r="F84" s="432" t="str">
        <f>名簿!P81</f>
        <v/>
      </c>
      <c r="G84" s="432" t="str">
        <f>名簿!Q81</f>
        <v/>
      </c>
      <c r="H84" s="433" t="str">
        <f>名簿!Y81</f>
        <v/>
      </c>
      <c r="I84" s="433" t="str">
        <f>名簿!CN81</f>
        <v/>
      </c>
      <c r="J84" s="1044">
        <f>名簿!CP81</f>
        <v>0</v>
      </c>
      <c r="K84" s="1044" t="str">
        <f>名簿!CU81</f>
        <v>00</v>
      </c>
      <c r="L84" s="1044" t="str">
        <f>名簿!CU81</f>
        <v>00</v>
      </c>
      <c r="M84" s="1271">
        <f>名簿!D81</f>
        <v>0</v>
      </c>
      <c r="N84" s="1267"/>
      <c r="O84" s="292" t="str">
        <f>IF(N84="","",IF(H84=1,VLOOKUP(N84,男子種目コード!$V$23:$W$25,2,FALSE),IF(H84=2,VLOOKUP(N84,女子種目コード!$V$23:$W$25,2,FALSE))))</f>
        <v/>
      </c>
      <c r="P84" s="669" t="str">
        <f>IF(N84="","",HLOOKUP(N84,名簿!$AH$3:$CH$118,79,FALSE))</f>
        <v/>
      </c>
      <c r="Q84" s="115">
        <f t="shared" si="6"/>
        <v>0</v>
      </c>
      <c r="R84" s="116" t="s">
        <v>793</v>
      </c>
      <c r="S84" s="117" t="str">
        <f t="shared" si="7"/>
        <v>0中学</v>
      </c>
      <c r="T84" s="125"/>
      <c r="U84" s="124"/>
      <c r="V84" s="118"/>
      <c r="W84" s="126"/>
      <c r="X84" s="127"/>
      <c r="Y84" s="121"/>
      <c r="Z84" s="128"/>
      <c r="AA84" s="127"/>
      <c r="AB84" s="123"/>
      <c r="AC84" s="98">
        <v>0</v>
      </c>
      <c r="AG84" s="40" t="str">
        <f t="shared" si="5"/>
        <v/>
      </c>
      <c r="AH84" s="415"/>
      <c r="AI84" s="415"/>
      <c r="AJ84" s="404"/>
      <c r="AK84" s="1149"/>
      <c r="AL84" s="1149"/>
      <c r="AM84" s="1149"/>
      <c r="AN84" s="1149"/>
      <c r="AO84" s="1149"/>
      <c r="AP84" s="1149"/>
      <c r="AQ84" s="1149"/>
      <c r="AR84" s="1149"/>
      <c r="AS84" s="1149"/>
      <c r="AT84" s="1149"/>
    </row>
    <row r="85" spans="2:46">
      <c r="B85" s="431">
        <f>名簿!E82</f>
        <v>0</v>
      </c>
      <c r="C85" s="432" t="str">
        <f>名簿!CM82</f>
        <v/>
      </c>
      <c r="D85" s="432" t="str">
        <f>名簿!CM82</f>
        <v/>
      </c>
      <c r="E85" s="432" t="str">
        <f>名簿!Z82</f>
        <v/>
      </c>
      <c r="F85" s="432" t="str">
        <f>名簿!P82</f>
        <v/>
      </c>
      <c r="G85" s="432" t="str">
        <f>名簿!Q82</f>
        <v/>
      </c>
      <c r="H85" s="433" t="str">
        <f>名簿!Y82</f>
        <v/>
      </c>
      <c r="I85" s="433" t="str">
        <f>名簿!CN82</f>
        <v/>
      </c>
      <c r="J85" s="1044">
        <f>名簿!CP82</f>
        <v>0</v>
      </c>
      <c r="K85" s="1044" t="str">
        <f>名簿!CU82</f>
        <v>00</v>
      </c>
      <c r="L85" s="1044" t="str">
        <f>名簿!CU82</f>
        <v>00</v>
      </c>
      <c r="M85" s="1271">
        <f>名簿!D82</f>
        <v>0</v>
      </c>
      <c r="N85" s="1267"/>
      <c r="O85" s="292" t="str">
        <f>IF(N85="","",IF(H85=1,VLOOKUP(N85,男子種目コード!$V$23:$W$25,2,FALSE),IF(H85=2,VLOOKUP(N85,女子種目コード!$V$23:$W$25,2,FALSE))))</f>
        <v/>
      </c>
      <c r="P85" s="669" t="str">
        <f>IF(N85="","",HLOOKUP(N85,名簿!$AH$3:$CH$118,80,FALSE))</f>
        <v/>
      </c>
      <c r="Q85" s="115">
        <f t="shared" si="6"/>
        <v>0</v>
      </c>
      <c r="R85" s="116" t="s">
        <v>793</v>
      </c>
      <c r="S85" s="117" t="str">
        <f t="shared" si="7"/>
        <v>0中学</v>
      </c>
      <c r="T85" s="125"/>
      <c r="U85" s="124"/>
      <c r="V85" s="118"/>
      <c r="W85" s="126"/>
      <c r="X85" s="127"/>
      <c r="Y85" s="121"/>
      <c r="Z85" s="128"/>
      <c r="AA85" s="127"/>
      <c r="AB85" s="123"/>
      <c r="AC85" s="98">
        <v>0</v>
      </c>
      <c r="AG85" s="40" t="str">
        <f t="shared" si="5"/>
        <v/>
      </c>
      <c r="AH85" s="415"/>
      <c r="AI85" s="415"/>
      <c r="AJ85" s="404"/>
      <c r="AK85" s="1149"/>
      <c r="AL85" s="1149"/>
      <c r="AM85" s="1149"/>
      <c r="AN85" s="1149"/>
      <c r="AO85" s="1149"/>
      <c r="AP85" s="1149"/>
      <c r="AQ85" s="1149"/>
      <c r="AR85" s="1149"/>
      <c r="AS85" s="1149"/>
      <c r="AT85" s="1149"/>
    </row>
    <row r="86" spans="2:46">
      <c r="B86" s="431">
        <f>名簿!E83</f>
        <v>0</v>
      </c>
      <c r="C86" s="432" t="str">
        <f>名簿!CM83</f>
        <v/>
      </c>
      <c r="D86" s="432" t="str">
        <f>名簿!CM83</f>
        <v/>
      </c>
      <c r="E86" s="432" t="str">
        <f>名簿!Z83</f>
        <v/>
      </c>
      <c r="F86" s="432" t="str">
        <f>名簿!P83</f>
        <v/>
      </c>
      <c r="G86" s="432" t="str">
        <f>名簿!Q83</f>
        <v/>
      </c>
      <c r="H86" s="433" t="str">
        <f>名簿!Y83</f>
        <v/>
      </c>
      <c r="I86" s="433" t="str">
        <f>名簿!CN83</f>
        <v/>
      </c>
      <c r="J86" s="1044">
        <f>名簿!CP83</f>
        <v>0</v>
      </c>
      <c r="K86" s="1044" t="str">
        <f>名簿!CU83</f>
        <v>00</v>
      </c>
      <c r="L86" s="1044" t="str">
        <f>名簿!CU83</f>
        <v>00</v>
      </c>
      <c r="M86" s="1271">
        <f>名簿!D83</f>
        <v>0</v>
      </c>
      <c r="N86" s="1267"/>
      <c r="O86" s="292" t="str">
        <f>IF(N86="","",IF(H86=1,VLOOKUP(N86,男子種目コード!$V$23:$W$25,2,FALSE),IF(H86=2,VLOOKUP(N86,女子種目コード!$V$23:$W$25,2,FALSE))))</f>
        <v/>
      </c>
      <c r="P86" s="669" t="str">
        <f>IF(N86="","",HLOOKUP(N86,名簿!$AH$3:$CH$118,81,FALSE))</f>
        <v/>
      </c>
      <c r="Q86" s="115">
        <f t="shared" si="6"/>
        <v>0</v>
      </c>
      <c r="R86" s="116" t="s">
        <v>793</v>
      </c>
      <c r="S86" s="117" t="str">
        <f t="shared" si="7"/>
        <v>0中学</v>
      </c>
      <c r="T86" s="125"/>
      <c r="U86" s="124"/>
      <c r="V86" s="118"/>
      <c r="W86" s="126"/>
      <c r="X86" s="127"/>
      <c r="Y86" s="121"/>
      <c r="Z86" s="128"/>
      <c r="AA86" s="127"/>
      <c r="AB86" s="123"/>
      <c r="AC86" s="98">
        <v>0</v>
      </c>
      <c r="AG86" s="40" t="str">
        <f t="shared" si="5"/>
        <v/>
      </c>
      <c r="AH86" s="415"/>
      <c r="AI86" s="415"/>
      <c r="AJ86" s="404"/>
      <c r="AK86" s="1149"/>
      <c r="AL86" s="1149"/>
      <c r="AM86" s="1149"/>
      <c r="AN86" s="1149"/>
      <c r="AO86" s="1149"/>
      <c r="AP86" s="1149"/>
      <c r="AQ86" s="1149"/>
      <c r="AR86" s="1149"/>
      <c r="AS86" s="1149"/>
      <c r="AT86" s="1149"/>
    </row>
    <row r="87" spans="2:46">
      <c r="B87" s="431">
        <f>名簿!E84</f>
        <v>0</v>
      </c>
      <c r="C87" s="432" t="str">
        <f>名簿!CM84</f>
        <v/>
      </c>
      <c r="D87" s="432" t="str">
        <f>名簿!CM84</f>
        <v/>
      </c>
      <c r="E87" s="432" t="str">
        <f>名簿!Z84</f>
        <v/>
      </c>
      <c r="F87" s="432" t="str">
        <f>名簿!P84</f>
        <v/>
      </c>
      <c r="G87" s="432" t="str">
        <f>名簿!Q84</f>
        <v/>
      </c>
      <c r="H87" s="433" t="str">
        <f>名簿!Y84</f>
        <v/>
      </c>
      <c r="I87" s="433" t="str">
        <f>名簿!CN84</f>
        <v/>
      </c>
      <c r="J87" s="1044">
        <f>名簿!CP84</f>
        <v>0</v>
      </c>
      <c r="K87" s="1044" t="str">
        <f>名簿!CU84</f>
        <v>00</v>
      </c>
      <c r="L87" s="1044" t="str">
        <f>名簿!CU84</f>
        <v>00</v>
      </c>
      <c r="M87" s="1271">
        <f>名簿!D84</f>
        <v>0</v>
      </c>
      <c r="N87" s="1267"/>
      <c r="O87" s="292" t="str">
        <f>IF(N87="","",IF(H87=1,VLOOKUP(N87,男子種目コード!$V$23:$W$25,2,FALSE),IF(H87=2,VLOOKUP(N87,女子種目コード!$V$23:$W$25,2,FALSE))))</f>
        <v/>
      </c>
      <c r="P87" s="669" t="str">
        <f>IF(N87="","",HLOOKUP(N87,名簿!$AH$3:$CH$118,82,FALSE))</f>
        <v/>
      </c>
      <c r="Q87" s="115">
        <f t="shared" si="6"/>
        <v>0</v>
      </c>
      <c r="R87" s="116" t="s">
        <v>793</v>
      </c>
      <c r="S87" s="117" t="str">
        <f t="shared" si="7"/>
        <v>0中学</v>
      </c>
      <c r="T87" s="125"/>
      <c r="U87" s="124"/>
      <c r="V87" s="118"/>
      <c r="W87" s="126"/>
      <c r="X87" s="127"/>
      <c r="Y87" s="121"/>
      <c r="Z87" s="128"/>
      <c r="AA87" s="127"/>
      <c r="AB87" s="123"/>
      <c r="AC87" s="98">
        <v>0</v>
      </c>
      <c r="AG87" s="40" t="str">
        <f t="shared" si="5"/>
        <v/>
      </c>
      <c r="AH87" s="415"/>
      <c r="AI87" s="415"/>
      <c r="AJ87" s="404"/>
      <c r="AK87" s="1149"/>
      <c r="AL87" s="1149"/>
      <c r="AM87" s="1149"/>
      <c r="AN87" s="1149"/>
      <c r="AO87" s="1149"/>
      <c r="AP87" s="1149"/>
      <c r="AQ87" s="1149"/>
      <c r="AR87" s="1149"/>
      <c r="AS87" s="1149"/>
      <c r="AT87" s="1149"/>
    </row>
    <row r="88" spans="2:46">
      <c r="B88" s="431">
        <f>名簿!E85</f>
        <v>0</v>
      </c>
      <c r="C88" s="432" t="str">
        <f>名簿!CM85</f>
        <v/>
      </c>
      <c r="D88" s="432" t="str">
        <f>名簿!CM85</f>
        <v/>
      </c>
      <c r="E88" s="432" t="str">
        <f>名簿!Z85</f>
        <v/>
      </c>
      <c r="F88" s="432" t="str">
        <f>名簿!P85</f>
        <v/>
      </c>
      <c r="G88" s="432" t="str">
        <f>名簿!Q85</f>
        <v/>
      </c>
      <c r="H88" s="433" t="str">
        <f>名簿!Y85</f>
        <v/>
      </c>
      <c r="I88" s="433" t="str">
        <f>名簿!CN85</f>
        <v/>
      </c>
      <c r="J88" s="1044">
        <f>名簿!CP85</f>
        <v>0</v>
      </c>
      <c r="K88" s="1044" t="str">
        <f>名簿!CU85</f>
        <v>00</v>
      </c>
      <c r="L88" s="1044" t="str">
        <f>名簿!CU85</f>
        <v>00</v>
      </c>
      <c r="M88" s="1271">
        <f>名簿!D85</f>
        <v>0</v>
      </c>
      <c r="N88" s="1267"/>
      <c r="O88" s="292" t="str">
        <f>IF(N88="","",IF(H88=1,VLOOKUP(N88,男子種目コード!$V$23:$W$25,2,FALSE),IF(H88=2,VLOOKUP(N88,女子種目コード!$V$23:$W$25,2,FALSE))))</f>
        <v/>
      </c>
      <c r="P88" s="669" t="str">
        <f>IF(N88="","",HLOOKUP(N88,名簿!$AH$3:$CH$118,83,FALSE))</f>
        <v/>
      </c>
      <c r="Q88" s="115">
        <f t="shared" si="6"/>
        <v>0</v>
      </c>
      <c r="R88" s="116" t="s">
        <v>793</v>
      </c>
      <c r="S88" s="117" t="str">
        <f t="shared" si="7"/>
        <v>0中学</v>
      </c>
      <c r="T88" s="125"/>
      <c r="U88" s="124"/>
      <c r="V88" s="118"/>
      <c r="W88" s="126"/>
      <c r="X88" s="127"/>
      <c r="Y88" s="121"/>
      <c r="Z88" s="128"/>
      <c r="AA88" s="127"/>
      <c r="AB88" s="123"/>
      <c r="AC88" s="98">
        <v>0</v>
      </c>
      <c r="AG88" s="40" t="str">
        <f t="shared" si="5"/>
        <v/>
      </c>
      <c r="AH88" s="415"/>
      <c r="AI88" s="415"/>
      <c r="AJ88" s="404"/>
      <c r="AK88" s="1149"/>
      <c r="AL88" s="1149"/>
      <c r="AM88" s="1149"/>
      <c r="AN88" s="1149"/>
      <c r="AO88" s="1149"/>
      <c r="AP88" s="1149"/>
      <c r="AQ88" s="1149"/>
      <c r="AR88" s="1149"/>
      <c r="AS88" s="1149"/>
      <c r="AT88" s="1149"/>
    </row>
    <row r="89" spans="2:46">
      <c r="B89" s="431">
        <f>名簿!E86</f>
        <v>0</v>
      </c>
      <c r="C89" s="432" t="str">
        <f>名簿!CM86</f>
        <v/>
      </c>
      <c r="D89" s="432" t="str">
        <f>名簿!CM86</f>
        <v/>
      </c>
      <c r="E89" s="432" t="str">
        <f>名簿!Z86</f>
        <v/>
      </c>
      <c r="F89" s="432" t="str">
        <f>名簿!P86</f>
        <v/>
      </c>
      <c r="G89" s="432" t="str">
        <f>名簿!Q86</f>
        <v/>
      </c>
      <c r="H89" s="433" t="str">
        <f>名簿!Y86</f>
        <v/>
      </c>
      <c r="I89" s="433" t="str">
        <f>名簿!CN86</f>
        <v/>
      </c>
      <c r="J89" s="1044">
        <f>名簿!CP86</f>
        <v>0</v>
      </c>
      <c r="K89" s="1044" t="str">
        <f>名簿!CU86</f>
        <v>00</v>
      </c>
      <c r="L89" s="1044" t="str">
        <f>名簿!CU86</f>
        <v>00</v>
      </c>
      <c r="M89" s="1271">
        <f>名簿!D86</f>
        <v>0</v>
      </c>
      <c r="N89" s="1267"/>
      <c r="O89" s="292" t="str">
        <f>IF(N89="","",IF(H89=1,VLOOKUP(N89,男子種目コード!$V$23:$W$25,2,FALSE),IF(H89=2,VLOOKUP(N89,女子種目コード!$V$23:$W$25,2,FALSE))))</f>
        <v/>
      </c>
      <c r="P89" s="669" t="str">
        <f>IF(N89="","",HLOOKUP(N89,名簿!$AH$3:$CH$118,84,FALSE))</f>
        <v/>
      </c>
      <c r="Q89" s="115">
        <f t="shared" si="6"/>
        <v>0</v>
      </c>
      <c r="R89" s="116" t="s">
        <v>793</v>
      </c>
      <c r="S89" s="117" t="str">
        <f t="shared" si="7"/>
        <v>0中学</v>
      </c>
      <c r="T89" s="125"/>
      <c r="U89" s="124"/>
      <c r="V89" s="118"/>
      <c r="W89" s="126"/>
      <c r="X89" s="127"/>
      <c r="Y89" s="121"/>
      <c r="Z89" s="128"/>
      <c r="AA89" s="127"/>
      <c r="AB89" s="123"/>
      <c r="AC89" s="98">
        <v>0</v>
      </c>
      <c r="AG89" s="40" t="str">
        <f t="shared" si="5"/>
        <v/>
      </c>
      <c r="AH89" s="415"/>
      <c r="AI89" s="415"/>
      <c r="AJ89" s="404"/>
      <c r="AK89" s="1149"/>
      <c r="AL89" s="1149"/>
      <c r="AM89" s="1149"/>
      <c r="AN89" s="1149"/>
      <c r="AO89" s="1149"/>
      <c r="AP89" s="1149"/>
      <c r="AQ89" s="1149"/>
      <c r="AR89" s="1149"/>
      <c r="AS89" s="1149"/>
      <c r="AT89" s="1149"/>
    </row>
    <row r="90" spans="2:46">
      <c r="B90" s="431">
        <f>名簿!E87</f>
        <v>0</v>
      </c>
      <c r="C90" s="432" t="str">
        <f>名簿!CM87</f>
        <v/>
      </c>
      <c r="D90" s="432" t="str">
        <f>名簿!CM87</f>
        <v/>
      </c>
      <c r="E90" s="432" t="str">
        <f>名簿!Z87</f>
        <v/>
      </c>
      <c r="F90" s="432" t="str">
        <f>名簿!P87</f>
        <v/>
      </c>
      <c r="G90" s="432" t="str">
        <f>名簿!Q87</f>
        <v/>
      </c>
      <c r="H90" s="433" t="str">
        <f>名簿!Y87</f>
        <v/>
      </c>
      <c r="I90" s="433" t="str">
        <f>名簿!CN87</f>
        <v/>
      </c>
      <c r="J90" s="1044">
        <f>名簿!CP87</f>
        <v>0</v>
      </c>
      <c r="K90" s="1044" t="str">
        <f>名簿!CU87</f>
        <v>00</v>
      </c>
      <c r="L90" s="1044" t="str">
        <f>名簿!CU87</f>
        <v>00</v>
      </c>
      <c r="M90" s="1271">
        <f>名簿!D87</f>
        <v>0</v>
      </c>
      <c r="N90" s="1267"/>
      <c r="O90" s="292" t="str">
        <f>IF(N90="","",IF(H90=1,VLOOKUP(N90,男子種目コード!$V$23:$W$25,2,FALSE),IF(H90=2,VLOOKUP(N90,女子種目コード!$V$23:$W$25,2,FALSE))))</f>
        <v/>
      </c>
      <c r="P90" s="669" t="str">
        <f>IF(N90="","",HLOOKUP(N90,名簿!$AH$3:$CH$118,85,FALSE))</f>
        <v/>
      </c>
      <c r="Q90" s="115">
        <f t="shared" si="6"/>
        <v>0</v>
      </c>
      <c r="R90" s="116" t="s">
        <v>793</v>
      </c>
      <c r="S90" s="117" t="str">
        <f t="shared" si="7"/>
        <v>0中学</v>
      </c>
      <c r="T90" s="125"/>
      <c r="U90" s="124"/>
      <c r="V90" s="118"/>
      <c r="W90" s="126"/>
      <c r="X90" s="127"/>
      <c r="Y90" s="121"/>
      <c r="Z90" s="128"/>
      <c r="AA90" s="127"/>
      <c r="AB90" s="123"/>
      <c r="AC90" s="98">
        <v>0</v>
      </c>
      <c r="AG90" s="40" t="str">
        <f t="shared" si="5"/>
        <v/>
      </c>
      <c r="AH90" s="415"/>
      <c r="AI90" s="415"/>
      <c r="AJ90" s="404"/>
      <c r="AK90" s="1149"/>
      <c r="AL90" s="1149"/>
      <c r="AM90" s="1149"/>
      <c r="AN90" s="1149"/>
      <c r="AO90" s="1149"/>
      <c r="AP90" s="1149"/>
      <c r="AQ90" s="1149"/>
      <c r="AR90" s="1149"/>
      <c r="AS90" s="1149"/>
      <c r="AT90" s="1149"/>
    </row>
    <row r="91" spans="2:46">
      <c r="B91" s="431">
        <f>名簿!E88</f>
        <v>0</v>
      </c>
      <c r="C91" s="432" t="str">
        <f>名簿!CM88</f>
        <v/>
      </c>
      <c r="D91" s="432" t="str">
        <f>名簿!CM88</f>
        <v/>
      </c>
      <c r="E91" s="432" t="str">
        <f>名簿!Z88</f>
        <v/>
      </c>
      <c r="F91" s="432" t="str">
        <f>名簿!P88</f>
        <v/>
      </c>
      <c r="G91" s="432" t="str">
        <f>名簿!Q88</f>
        <v/>
      </c>
      <c r="H91" s="433" t="str">
        <f>名簿!Y88</f>
        <v/>
      </c>
      <c r="I91" s="433" t="str">
        <f>名簿!CN88</f>
        <v/>
      </c>
      <c r="J91" s="1044">
        <f>名簿!CP88</f>
        <v>0</v>
      </c>
      <c r="K91" s="1044" t="str">
        <f>名簿!CU88</f>
        <v>00</v>
      </c>
      <c r="L91" s="1044" t="str">
        <f>名簿!CU88</f>
        <v>00</v>
      </c>
      <c r="M91" s="1271">
        <f>名簿!D88</f>
        <v>0</v>
      </c>
      <c r="N91" s="1267"/>
      <c r="O91" s="292" t="str">
        <f>IF(N91="","",IF(H91=1,VLOOKUP(N91,男子種目コード!$V$23:$W$25,2,FALSE),IF(H91=2,VLOOKUP(N91,女子種目コード!$V$23:$W$25,2,FALSE))))</f>
        <v/>
      </c>
      <c r="P91" s="669" t="str">
        <f>IF(N91="","",HLOOKUP(N91,名簿!$AH$3:$CH$118,86,FALSE))</f>
        <v/>
      </c>
      <c r="Q91" s="115">
        <f t="shared" si="6"/>
        <v>0</v>
      </c>
      <c r="R91" s="116" t="s">
        <v>793</v>
      </c>
      <c r="S91" s="117" t="str">
        <f t="shared" si="7"/>
        <v>0中学</v>
      </c>
      <c r="T91" s="125"/>
      <c r="U91" s="124"/>
      <c r="V91" s="118"/>
      <c r="W91" s="126"/>
      <c r="X91" s="127"/>
      <c r="Y91" s="121"/>
      <c r="Z91" s="128"/>
      <c r="AA91" s="127"/>
      <c r="AB91" s="123"/>
      <c r="AC91" s="98">
        <v>0</v>
      </c>
      <c r="AG91" s="40" t="str">
        <f t="shared" si="5"/>
        <v/>
      </c>
      <c r="AH91" s="415"/>
      <c r="AI91" s="415"/>
      <c r="AJ91" s="404"/>
      <c r="AK91" s="1149"/>
      <c r="AL91" s="1149"/>
      <c r="AM91" s="1149"/>
      <c r="AN91" s="1149"/>
      <c r="AO91" s="1149"/>
      <c r="AP91" s="1149"/>
      <c r="AQ91" s="1149"/>
      <c r="AR91" s="1149"/>
      <c r="AS91" s="1149"/>
      <c r="AT91" s="1149"/>
    </row>
    <row r="92" spans="2:46">
      <c r="B92" s="431">
        <f>名簿!E89</f>
        <v>0</v>
      </c>
      <c r="C92" s="432" t="str">
        <f>名簿!CM89</f>
        <v/>
      </c>
      <c r="D92" s="432" t="str">
        <f>名簿!CM89</f>
        <v/>
      </c>
      <c r="E92" s="432" t="str">
        <f>名簿!Z89</f>
        <v/>
      </c>
      <c r="F92" s="432" t="str">
        <f>名簿!P89</f>
        <v/>
      </c>
      <c r="G92" s="432" t="str">
        <f>名簿!Q89</f>
        <v/>
      </c>
      <c r="H92" s="433" t="str">
        <f>名簿!Y89</f>
        <v/>
      </c>
      <c r="I92" s="433" t="str">
        <f>名簿!CN89</f>
        <v/>
      </c>
      <c r="J92" s="1044">
        <f>名簿!CP89</f>
        <v>0</v>
      </c>
      <c r="K92" s="1044" t="str">
        <f>名簿!CU89</f>
        <v>00</v>
      </c>
      <c r="L92" s="1044" t="str">
        <f>名簿!CU89</f>
        <v>00</v>
      </c>
      <c r="M92" s="1271">
        <f>名簿!D89</f>
        <v>0</v>
      </c>
      <c r="N92" s="1267"/>
      <c r="O92" s="292" t="str">
        <f>IF(N92="","",IF(H92=1,VLOOKUP(N92,男子種目コード!$V$23:$W$25,2,FALSE),IF(H92=2,VLOOKUP(N92,女子種目コード!$V$23:$W$25,2,FALSE))))</f>
        <v/>
      </c>
      <c r="P92" s="669" t="str">
        <f>IF(N92="","",HLOOKUP(N92,名簿!$AH$3:$CH$118,87,FALSE))</f>
        <v/>
      </c>
      <c r="Q92" s="115">
        <f t="shared" si="6"/>
        <v>0</v>
      </c>
      <c r="R92" s="116" t="s">
        <v>793</v>
      </c>
      <c r="S92" s="117" t="str">
        <f t="shared" si="7"/>
        <v>0中学</v>
      </c>
      <c r="T92" s="125"/>
      <c r="U92" s="124"/>
      <c r="V92" s="118"/>
      <c r="W92" s="126"/>
      <c r="X92" s="127"/>
      <c r="Y92" s="121"/>
      <c r="Z92" s="128"/>
      <c r="AA92" s="127"/>
      <c r="AB92" s="123"/>
      <c r="AC92" s="98">
        <v>0</v>
      </c>
      <c r="AG92" s="40" t="str">
        <f t="shared" si="5"/>
        <v/>
      </c>
      <c r="AH92" s="415"/>
      <c r="AI92" s="415"/>
      <c r="AJ92" s="404"/>
      <c r="AK92" s="1149"/>
      <c r="AL92" s="1149"/>
      <c r="AM92" s="1149"/>
      <c r="AN92" s="1149"/>
      <c r="AO92" s="1149"/>
      <c r="AP92" s="1149"/>
      <c r="AQ92" s="1149"/>
      <c r="AR92" s="1149"/>
      <c r="AS92" s="1149"/>
      <c r="AT92" s="1149"/>
    </row>
    <row r="93" spans="2:46">
      <c r="B93" s="431">
        <f>名簿!E90</f>
        <v>0</v>
      </c>
      <c r="C93" s="432" t="str">
        <f>名簿!CM90</f>
        <v/>
      </c>
      <c r="D93" s="432" t="str">
        <f>名簿!CM90</f>
        <v/>
      </c>
      <c r="E93" s="432" t="str">
        <f>名簿!Z90</f>
        <v/>
      </c>
      <c r="F93" s="432" t="str">
        <f>名簿!P90</f>
        <v/>
      </c>
      <c r="G93" s="432" t="str">
        <f>名簿!Q90</f>
        <v/>
      </c>
      <c r="H93" s="433" t="str">
        <f>名簿!Y90</f>
        <v/>
      </c>
      <c r="I93" s="433" t="str">
        <f>名簿!CN90</f>
        <v/>
      </c>
      <c r="J93" s="1044">
        <f>名簿!CP90</f>
        <v>0</v>
      </c>
      <c r="K93" s="1044" t="str">
        <f>名簿!CU90</f>
        <v>00</v>
      </c>
      <c r="L93" s="1044" t="str">
        <f>名簿!CU90</f>
        <v>00</v>
      </c>
      <c r="M93" s="1271">
        <f>名簿!D90</f>
        <v>0</v>
      </c>
      <c r="N93" s="1267"/>
      <c r="O93" s="292" t="str">
        <f>IF(N93="","",IF(H93=1,VLOOKUP(N93,男子種目コード!$V$23:$W$25,2,FALSE),IF(H93=2,VLOOKUP(N93,女子種目コード!$V$23:$W$25,2,FALSE))))</f>
        <v/>
      </c>
      <c r="P93" s="669" t="str">
        <f>IF(N93="","",HLOOKUP(N93,名簿!$AH$3:$CH$118,88,FALSE))</f>
        <v/>
      </c>
      <c r="Q93" s="115">
        <f t="shared" si="6"/>
        <v>0</v>
      </c>
      <c r="R93" s="116" t="s">
        <v>793</v>
      </c>
      <c r="S93" s="117" t="str">
        <f t="shared" si="7"/>
        <v>0中学</v>
      </c>
      <c r="T93" s="125"/>
      <c r="U93" s="124"/>
      <c r="V93" s="118"/>
      <c r="W93" s="126"/>
      <c r="X93" s="127"/>
      <c r="Y93" s="121"/>
      <c r="Z93" s="128"/>
      <c r="AA93" s="127"/>
      <c r="AB93" s="123"/>
      <c r="AC93" s="98">
        <v>0</v>
      </c>
      <c r="AG93" s="40" t="str">
        <f t="shared" si="5"/>
        <v/>
      </c>
      <c r="AH93" s="415"/>
      <c r="AI93" s="415"/>
      <c r="AJ93" s="404"/>
      <c r="AK93" s="1149"/>
      <c r="AL93" s="1149"/>
      <c r="AM93" s="1149"/>
      <c r="AN93" s="1149"/>
      <c r="AO93" s="1149"/>
      <c r="AP93" s="1149"/>
      <c r="AQ93" s="1149"/>
      <c r="AR93" s="1149"/>
      <c r="AS93" s="1149"/>
      <c r="AT93" s="1149"/>
    </row>
    <row r="94" spans="2:46">
      <c r="B94" s="431">
        <f>名簿!E91</f>
        <v>0</v>
      </c>
      <c r="C94" s="432" t="str">
        <f>名簿!CM91</f>
        <v/>
      </c>
      <c r="D94" s="432" t="str">
        <f>名簿!CM91</f>
        <v/>
      </c>
      <c r="E94" s="432" t="str">
        <f>名簿!Z91</f>
        <v/>
      </c>
      <c r="F94" s="432" t="str">
        <f>名簿!P91</f>
        <v/>
      </c>
      <c r="G94" s="432" t="str">
        <f>名簿!Q91</f>
        <v/>
      </c>
      <c r="H94" s="433" t="str">
        <f>名簿!Y91</f>
        <v/>
      </c>
      <c r="I94" s="433" t="str">
        <f>名簿!CN91</f>
        <v/>
      </c>
      <c r="J94" s="1044">
        <f>名簿!CP91</f>
        <v>0</v>
      </c>
      <c r="K94" s="1044" t="str">
        <f>名簿!CU91</f>
        <v>00</v>
      </c>
      <c r="L94" s="1044" t="str">
        <f>名簿!CU91</f>
        <v>00</v>
      </c>
      <c r="M94" s="1271">
        <f>名簿!D91</f>
        <v>0</v>
      </c>
      <c r="N94" s="1267"/>
      <c r="O94" s="292" t="str">
        <f>IF(N94="","",IF(H94=1,VLOOKUP(N94,男子種目コード!$V$23:$W$25,2,FALSE),IF(H94=2,VLOOKUP(N94,女子種目コード!$V$23:$W$25,2,FALSE))))</f>
        <v/>
      </c>
      <c r="P94" s="669" t="str">
        <f>IF(N94="","",HLOOKUP(N94,名簿!$AH$3:$CH$118,89,FALSE))</f>
        <v/>
      </c>
      <c r="Q94" s="115">
        <f t="shared" si="6"/>
        <v>0</v>
      </c>
      <c r="R94" s="116" t="s">
        <v>793</v>
      </c>
      <c r="S94" s="117" t="str">
        <f t="shared" si="7"/>
        <v>0中学</v>
      </c>
      <c r="T94" s="125"/>
      <c r="U94" s="124"/>
      <c r="V94" s="118"/>
      <c r="W94" s="126"/>
      <c r="X94" s="127"/>
      <c r="Y94" s="121"/>
      <c r="Z94" s="128"/>
      <c r="AA94" s="127"/>
      <c r="AB94" s="123"/>
      <c r="AC94" s="98">
        <v>0</v>
      </c>
      <c r="AG94" s="40" t="str">
        <f t="shared" si="5"/>
        <v/>
      </c>
      <c r="AH94" s="415"/>
      <c r="AI94" s="415"/>
      <c r="AJ94" s="404"/>
      <c r="AK94" s="1149"/>
      <c r="AL94" s="1149"/>
      <c r="AM94" s="1149"/>
      <c r="AN94" s="1149"/>
      <c r="AO94" s="1149"/>
      <c r="AP94" s="1149"/>
      <c r="AQ94" s="1149"/>
      <c r="AR94" s="1149"/>
      <c r="AS94" s="1149"/>
      <c r="AT94" s="1149"/>
    </row>
    <row r="95" spans="2:46">
      <c r="B95" s="431">
        <f>名簿!E92</f>
        <v>0</v>
      </c>
      <c r="C95" s="432" t="str">
        <f>名簿!CM92</f>
        <v/>
      </c>
      <c r="D95" s="432" t="str">
        <f>名簿!CM92</f>
        <v/>
      </c>
      <c r="E95" s="432" t="str">
        <f>名簿!Z92</f>
        <v/>
      </c>
      <c r="F95" s="432" t="str">
        <f>名簿!P92</f>
        <v/>
      </c>
      <c r="G95" s="432" t="str">
        <f>名簿!Q92</f>
        <v/>
      </c>
      <c r="H95" s="433" t="str">
        <f>名簿!Y92</f>
        <v/>
      </c>
      <c r="I95" s="433" t="str">
        <f>名簿!CN92</f>
        <v/>
      </c>
      <c r="J95" s="1044">
        <f>名簿!CP92</f>
        <v>0</v>
      </c>
      <c r="K95" s="1044" t="str">
        <f>名簿!CU92</f>
        <v>00</v>
      </c>
      <c r="L95" s="1044" t="str">
        <f>名簿!CU92</f>
        <v>00</v>
      </c>
      <c r="M95" s="1271">
        <f>名簿!D92</f>
        <v>0</v>
      </c>
      <c r="N95" s="1267"/>
      <c r="O95" s="292" t="str">
        <f>IF(N95="","",IF(H95=1,VLOOKUP(N95,男子種目コード!$V$23:$W$25,2,FALSE),IF(H95=2,VLOOKUP(N95,女子種目コード!$V$23:$W$25,2,FALSE))))</f>
        <v/>
      </c>
      <c r="P95" s="669" t="str">
        <f>IF(N95="","",HLOOKUP(N95,名簿!$AH$3:$CH$118,90,FALSE))</f>
        <v/>
      </c>
      <c r="Q95" s="115">
        <f t="shared" si="6"/>
        <v>0</v>
      </c>
      <c r="R95" s="116" t="s">
        <v>793</v>
      </c>
      <c r="S95" s="117" t="str">
        <f t="shared" si="7"/>
        <v>0中学</v>
      </c>
      <c r="T95" s="125"/>
      <c r="U95" s="124"/>
      <c r="V95" s="118"/>
      <c r="W95" s="126"/>
      <c r="X95" s="127"/>
      <c r="Y95" s="121"/>
      <c r="Z95" s="128"/>
      <c r="AA95" s="127"/>
      <c r="AB95" s="123"/>
      <c r="AC95" s="98">
        <v>0</v>
      </c>
      <c r="AG95" s="40" t="str">
        <f t="shared" si="5"/>
        <v/>
      </c>
      <c r="AH95" s="415"/>
      <c r="AI95" s="415"/>
      <c r="AJ95" s="404"/>
      <c r="AK95" s="1149"/>
      <c r="AL95" s="1149"/>
      <c r="AM95" s="1149"/>
      <c r="AN95" s="1149"/>
      <c r="AO95" s="1149"/>
      <c r="AP95" s="1149"/>
      <c r="AQ95" s="1149"/>
      <c r="AR95" s="1149"/>
      <c r="AS95" s="1149"/>
      <c r="AT95" s="1149"/>
    </row>
    <row r="96" spans="2:46">
      <c r="B96" s="431">
        <f>名簿!E93</f>
        <v>0</v>
      </c>
      <c r="C96" s="432" t="str">
        <f>名簿!CM93</f>
        <v/>
      </c>
      <c r="D96" s="432" t="str">
        <f>名簿!CM93</f>
        <v/>
      </c>
      <c r="E96" s="432" t="str">
        <f>名簿!Z93</f>
        <v/>
      </c>
      <c r="F96" s="432" t="str">
        <f>名簿!P93</f>
        <v/>
      </c>
      <c r="G96" s="432" t="str">
        <f>名簿!Q93</f>
        <v/>
      </c>
      <c r="H96" s="433" t="str">
        <f>名簿!Y93</f>
        <v/>
      </c>
      <c r="I96" s="433" t="str">
        <f>名簿!CN93</f>
        <v/>
      </c>
      <c r="J96" s="1044">
        <f>名簿!CP93</f>
        <v>0</v>
      </c>
      <c r="K96" s="1044" t="str">
        <f>名簿!CU93</f>
        <v>00</v>
      </c>
      <c r="L96" s="1044" t="str">
        <f>名簿!CU93</f>
        <v>00</v>
      </c>
      <c r="M96" s="1271">
        <f>名簿!D93</f>
        <v>0</v>
      </c>
      <c r="N96" s="1267"/>
      <c r="O96" s="292" t="str">
        <f>IF(N96="","",IF(H96=1,VLOOKUP(N96,男子種目コード!$V$23:$W$25,2,FALSE),IF(H96=2,VLOOKUP(N96,女子種目コード!$V$23:$W$25,2,FALSE))))</f>
        <v/>
      </c>
      <c r="P96" s="669" t="str">
        <f>IF(N96="","",HLOOKUP(N96,名簿!$AH$3:$CH$118,91,FALSE))</f>
        <v/>
      </c>
      <c r="Q96" s="115">
        <f t="shared" si="6"/>
        <v>0</v>
      </c>
      <c r="R96" s="116" t="s">
        <v>793</v>
      </c>
      <c r="S96" s="117" t="str">
        <f t="shared" si="7"/>
        <v>0中学</v>
      </c>
      <c r="T96" s="125"/>
      <c r="U96" s="124"/>
      <c r="V96" s="118"/>
      <c r="W96" s="126"/>
      <c r="X96" s="127"/>
      <c r="Y96" s="121"/>
      <c r="Z96" s="128"/>
      <c r="AA96" s="127"/>
      <c r="AB96" s="123"/>
      <c r="AC96" s="98">
        <v>0</v>
      </c>
      <c r="AG96" s="40" t="str">
        <f t="shared" si="5"/>
        <v/>
      </c>
      <c r="AH96" s="415"/>
      <c r="AI96" s="415"/>
      <c r="AJ96" s="404"/>
      <c r="AK96" s="1149"/>
      <c r="AL96" s="1149"/>
      <c r="AM96" s="1149"/>
      <c r="AN96" s="1149"/>
      <c r="AO96" s="1149"/>
      <c r="AP96" s="1149"/>
      <c r="AQ96" s="1149"/>
      <c r="AR96" s="1149"/>
      <c r="AS96" s="1149"/>
      <c r="AT96" s="1149"/>
    </row>
    <row r="97" spans="2:46">
      <c r="B97" s="431">
        <f>名簿!E94</f>
        <v>0</v>
      </c>
      <c r="C97" s="432" t="str">
        <f>名簿!CM94</f>
        <v/>
      </c>
      <c r="D97" s="432" t="str">
        <f>名簿!CM94</f>
        <v/>
      </c>
      <c r="E97" s="432" t="str">
        <f>名簿!Z94</f>
        <v/>
      </c>
      <c r="F97" s="432" t="str">
        <f>名簿!P94</f>
        <v/>
      </c>
      <c r="G97" s="432" t="str">
        <f>名簿!Q94</f>
        <v/>
      </c>
      <c r="H97" s="433" t="str">
        <f>名簿!Y94</f>
        <v/>
      </c>
      <c r="I97" s="433" t="str">
        <f>名簿!CN94</f>
        <v/>
      </c>
      <c r="J97" s="1044">
        <f>名簿!CP94</f>
        <v>0</v>
      </c>
      <c r="K97" s="1044" t="str">
        <f>名簿!CU94</f>
        <v>00</v>
      </c>
      <c r="L97" s="1044" t="str">
        <f>名簿!CU94</f>
        <v>00</v>
      </c>
      <c r="M97" s="1271">
        <f>名簿!D94</f>
        <v>0</v>
      </c>
      <c r="N97" s="1267"/>
      <c r="O97" s="292" t="str">
        <f>IF(N97="","",IF(H97=1,VLOOKUP(N97,男子種目コード!$V$23:$W$25,2,FALSE),IF(H97=2,VLOOKUP(N97,女子種目コード!$V$23:$W$25,2,FALSE))))</f>
        <v/>
      </c>
      <c r="P97" s="669" t="str">
        <f>IF(N97="","",HLOOKUP(N97,名簿!$AH$3:$CH$118,92,FALSE))</f>
        <v/>
      </c>
      <c r="Q97" s="115">
        <f t="shared" si="6"/>
        <v>0</v>
      </c>
      <c r="R97" s="116" t="s">
        <v>793</v>
      </c>
      <c r="S97" s="117" t="str">
        <f t="shared" si="7"/>
        <v>0中学</v>
      </c>
      <c r="T97" s="125"/>
      <c r="U97" s="124"/>
      <c r="V97" s="118"/>
      <c r="W97" s="126"/>
      <c r="X97" s="127"/>
      <c r="Y97" s="121"/>
      <c r="Z97" s="128"/>
      <c r="AA97" s="127"/>
      <c r="AB97" s="123"/>
      <c r="AC97" s="98">
        <v>0</v>
      </c>
      <c r="AG97" s="40" t="str">
        <f t="shared" si="5"/>
        <v/>
      </c>
      <c r="AH97" s="415"/>
      <c r="AI97" s="415"/>
      <c r="AJ97" s="404"/>
      <c r="AK97" s="1149"/>
      <c r="AL97" s="1149"/>
      <c r="AM97" s="1149"/>
      <c r="AN97" s="1149"/>
      <c r="AO97" s="1149"/>
      <c r="AP97" s="1149"/>
      <c r="AQ97" s="1149"/>
      <c r="AR97" s="1149"/>
      <c r="AS97" s="1149"/>
      <c r="AT97" s="1149"/>
    </row>
    <row r="98" spans="2:46">
      <c r="B98" s="431">
        <f>名簿!E95</f>
        <v>0</v>
      </c>
      <c r="C98" s="432" t="str">
        <f>名簿!CM95</f>
        <v/>
      </c>
      <c r="D98" s="432" t="str">
        <f>名簿!CM95</f>
        <v/>
      </c>
      <c r="E98" s="432" t="str">
        <f>名簿!Z95</f>
        <v/>
      </c>
      <c r="F98" s="432" t="str">
        <f>名簿!P95</f>
        <v/>
      </c>
      <c r="G98" s="432" t="str">
        <f>名簿!Q95</f>
        <v/>
      </c>
      <c r="H98" s="433" t="str">
        <f>名簿!Y95</f>
        <v/>
      </c>
      <c r="I98" s="433" t="str">
        <f>名簿!CN95</f>
        <v/>
      </c>
      <c r="J98" s="1044">
        <f>名簿!CP95</f>
        <v>0</v>
      </c>
      <c r="K98" s="1044" t="str">
        <f>名簿!CU95</f>
        <v>00</v>
      </c>
      <c r="L98" s="1044" t="str">
        <f>名簿!CU95</f>
        <v>00</v>
      </c>
      <c r="M98" s="1271">
        <f>名簿!D95</f>
        <v>0</v>
      </c>
      <c r="N98" s="1267"/>
      <c r="O98" s="292" t="str">
        <f>IF(N98="","",IF(H98=1,VLOOKUP(N98,男子種目コード!$V$23:$W$25,2,FALSE),IF(H98=2,VLOOKUP(N98,女子種目コード!$V$23:$W$25,2,FALSE))))</f>
        <v/>
      </c>
      <c r="P98" s="669" t="str">
        <f>IF(N98="","",HLOOKUP(N98,名簿!$AH$3:$CH$118,93,FALSE))</f>
        <v/>
      </c>
      <c r="Q98" s="115">
        <f t="shared" si="6"/>
        <v>0</v>
      </c>
      <c r="R98" s="116" t="s">
        <v>793</v>
      </c>
      <c r="S98" s="117" t="str">
        <f t="shared" si="7"/>
        <v>0中学</v>
      </c>
      <c r="T98" s="125"/>
      <c r="U98" s="124"/>
      <c r="V98" s="118"/>
      <c r="W98" s="126"/>
      <c r="X98" s="127"/>
      <c r="Y98" s="121"/>
      <c r="Z98" s="128"/>
      <c r="AA98" s="127"/>
      <c r="AB98" s="123"/>
      <c r="AC98" s="98">
        <v>0</v>
      </c>
      <c r="AG98" s="40" t="str">
        <f t="shared" si="5"/>
        <v/>
      </c>
      <c r="AH98" s="415"/>
      <c r="AI98" s="415"/>
      <c r="AJ98" s="404"/>
      <c r="AK98" s="1149"/>
      <c r="AL98" s="1149"/>
      <c r="AM98" s="1149"/>
      <c r="AN98" s="1149"/>
      <c r="AO98" s="1149"/>
      <c r="AP98" s="1149"/>
      <c r="AQ98" s="1149"/>
      <c r="AR98" s="1149"/>
      <c r="AS98" s="1149"/>
      <c r="AT98" s="1149"/>
    </row>
    <row r="99" spans="2:46">
      <c r="B99" s="431">
        <f>名簿!E96</f>
        <v>0</v>
      </c>
      <c r="C99" s="432" t="str">
        <f>名簿!CM96</f>
        <v/>
      </c>
      <c r="D99" s="432" t="str">
        <f>名簿!CM96</f>
        <v/>
      </c>
      <c r="E99" s="432" t="str">
        <f>名簿!Z96</f>
        <v/>
      </c>
      <c r="F99" s="432" t="str">
        <f>名簿!P96</f>
        <v/>
      </c>
      <c r="G99" s="432" t="str">
        <f>名簿!Q96</f>
        <v/>
      </c>
      <c r="H99" s="433" t="str">
        <f>名簿!Y96</f>
        <v/>
      </c>
      <c r="I99" s="433" t="str">
        <f>名簿!CN96</f>
        <v/>
      </c>
      <c r="J99" s="1044">
        <f>名簿!CP96</f>
        <v>0</v>
      </c>
      <c r="K99" s="1044" t="str">
        <f>名簿!CU96</f>
        <v>00</v>
      </c>
      <c r="L99" s="1044" t="str">
        <f>名簿!CU96</f>
        <v>00</v>
      </c>
      <c r="M99" s="1271">
        <f>名簿!D96</f>
        <v>0</v>
      </c>
      <c r="N99" s="1267"/>
      <c r="O99" s="292" t="str">
        <f>IF(N99="","",IF(H99=1,VLOOKUP(N99,男子種目コード!$V$23:$W$25,2,FALSE),IF(H99=2,VLOOKUP(N99,女子種目コード!$V$23:$W$25,2,FALSE))))</f>
        <v/>
      </c>
      <c r="P99" s="669" t="str">
        <f>IF(N99="","",HLOOKUP(N99,名簿!$AH$3:$CH$118,94,FALSE))</f>
        <v/>
      </c>
      <c r="Q99" s="115">
        <f t="shared" si="6"/>
        <v>0</v>
      </c>
      <c r="R99" s="116" t="s">
        <v>793</v>
      </c>
      <c r="S99" s="117" t="str">
        <f t="shared" si="7"/>
        <v>0中学</v>
      </c>
      <c r="T99" s="125"/>
      <c r="U99" s="124"/>
      <c r="V99" s="118"/>
      <c r="W99" s="126"/>
      <c r="X99" s="127"/>
      <c r="Y99" s="121"/>
      <c r="Z99" s="128"/>
      <c r="AA99" s="127"/>
      <c r="AB99" s="123"/>
      <c r="AC99" s="98">
        <v>0</v>
      </c>
      <c r="AG99" s="40" t="str">
        <f t="shared" si="5"/>
        <v/>
      </c>
      <c r="AH99" s="415"/>
      <c r="AI99" s="415"/>
      <c r="AJ99" s="404"/>
      <c r="AK99" s="1149"/>
      <c r="AL99" s="1149"/>
      <c r="AM99" s="1149"/>
      <c r="AN99" s="1149"/>
      <c r="AO99" s="1149"/>
      <c r="AP99" s="1149"/>
      <c r="AQ99" s="1149"/>
      <c r="AR99" s="1149"/>
      <c r="AS99" s="1149"/>
      <c r="AT99" s="1149"/>
    </row>
    <row r="100" spans="2:46">
      <c r="B100" s="431">
        <f>名簿!E97</f>
        <v>0</v>
      </c>
      <c r="C100" s="432" t="str">
        <f>名簿!CM97</f>
        <v/>
      </c>
      <c r="D100" s="432" t="str">
        <f>名簿!CM97</f>
        <v/>
      </c>
      <c r="E100" s="432" t="str">
        <f>名簿!Z97</f>
        <v/>
      </c>
      <c r="F100" s="432" t="str">
        <f>名簿!P97</f>
        <v/>
      </c>
      <c r="G100" s="432" t="str">
        <f>名簿!Q97</f>
        <v/>
      </c>
      <c r="H100" s="433" t="str">
        <f>名簿!Y97</f>
        <v/>
      </c>
      <c r="I100" s="433" t="str">
        <f>名簿!CN97</f>
        <v/>
      </c>
      <c r="J100" s="1044">
        <f>名簿!CP97</f>
        <v>0</v>
      </c>
      <c r="K100" s="1044" t="str">
        <f>名簿!CU97</f>
        <v>00</v>
      </c>
      <c r="L100" s="1044" t="str">
        <f>名簿!CU97</f>
        <v>00</v>
      </c>
      <c r="M100" s="1271">
        <f>名簿!D97</f>
        <v>0</v>
      </c>
      <c r="N100" s="1267"/>
      <c r="O100" s="292" t="str">
        <f>IF(N100="","",IF(H100=1,VLOOKUP(N100,男子種目コード!$V$23:$W$25,2,FALSE),IF(H100=2,VLOOKUP(N100,女子種目コード!$V$23:$W$25,2,FALSE))))</f>
        <v/>
      </c>
      <c r="P100" s="669" t="str">
        <f>IF(N100="","",HLOOKUP(N100,名簿!$AH$3:$CH$118,95,FALSE))</f>
        <v/>
      </c>
      <c r="Q100" s="115">
        <f t="shared" si="6"/>
        <v>0</v>
      </c>
      <c r="R100" s="116" t="s">
        <v>793</v>
      </c>
      <c r="S100" s="117" t="str">
        <f t="shared" si="7"/>
        <v>0中学</v>
      </c>
      <c r="T100" s="125"/>
      <c r="U100" s="124"/>
      <c r="V100" s="118"/>
      <c r="W100" s="126"/>
      <c r="X100" s="127"/>
      <c r="Y100" s="121"/>
      <c r="Z100" s="128"/>
      <c r="AA100" s="127"/>
      <c r="AB100" s="123"/>
      <c r="AC100" s="98">
        <v>0</v>
      </c>
      <c r="AG100" s="40" t="str">
        <f t="shared" si="5"/>
        <v/>
      </c>
      <c r="AH100" s="415"/>
      <c r="AI100" s="415"/>
      <c r="AJ100" s="404"/>
      <c r="AK100" s="1149"/>
      <c r="AL100" s="1149"/>
      <c r="AM100" s="1149"/>
      <c r="AN100" s="1149"/>
      <c r="AO100" s="1149"/>
      <c r="AP100" s="1149"/>
      <c r="AQ100" s="1149"/>
      <c r="AR100" s="1149"/>
      <c r="AS100" s="1149"/>
      <c r="AT100" s="1149"/>
    </row>
    <row r="101" spans="2:46">
      <c r="B101" s="431">
        <f>名簿!E98</f>
        <v>0</v>
      </c>
      <c r="C101" s="432" t="str">
        <f>名簿!CM98</f>
        <v/>
      </c>
      <c r="D101" s="432" t="str">
        <f>名簿!CM98</f>
        <v/>
      </c>
      <c r="E101" s="432" t="str">
        <f>名簿!Z98</f>
        <v/>
      </c>
      <c r="F101" s="432" t="str">
        <f>名簿!P98</f>
        <v/>
      </c>
      <c r="G101" s="432" t="str">
        <f>名簿!Q98</f>
        <v/>
      </c>
      <c r="H101" s="433" t="str">
        <f>名簿!Y98</f>
        <v/>
      </c>
      <c r="I101" s="433" t="str">
        <f>名簿!CN98</f>
        <v/>
      </c>
      <c r="J101" s="1044">
        <f>名簿!CP98</f>
        <v>0</v>
      </c>
      <c r="K101" s="1044" t="str">
        <f>名簿!CU98</f>
        <v>00</v>
      </c>
      <c r="L101" s="1044" t="str">
        <f>名簿!CU98</f>
        <v>00</v>
      </c>
      <c r="M101" s="1271">
        <f>名簿!D98</f>
        <v>0</v>
      </c>
      <c r="N101" s="1267"/>
      <c r="O101" s="292" t="str">
        <f>IF(N101="","",IF(H101=1,VLOOKUP(N101,男子種目コード!$V$23:$W$25,2,FALSE),IF(H101=2,VLOOKUP(N101,女子種目コード!$V$23:$W$25,2,FALSE))))</f>
        <v/>
      </c>
      <c r="P101" s="669" t="str">
        <f>IF(N101="","",HLOOKUP(N101,名簿!$AH$3:$CH$118,96,FALSE))</f>
        <v/>
      </c>
      <c r="Q101" s="115">
        <f t="shared" si="6"/>
        <v>0</v>
      </c>
      <c r="R101" s="116" t="s">
        <v>793</v>
      </c>
      <c r="S101" s="117" t="str">
        <f t="shared" si="7"/>
        <v>0中学</v>
      </c>
      <c r="T101" s="125"/>
      <c r="U101" s="124"/>
      <c r="V101" s="118"/>
      <c r="W101" s="126"/>
      <c r="X101" s="127"/>
      <c r="Y101" s="121"/>
      <c r="Z101" s="128"/>
      <c r="AA101" s="127"/>
      <c r="AB101" s="123"/>
      <c r="AC101" s="98">
        <v>0</v>
      </c>
      <c r="AG101" s="40" t="str">
        <f t="shared" si="5"/>
        <v/>
      </c>
      <c r="AH101" s="415"/>
      <c r="AI101" s="415"/>
      <c r="AJ101" s="404"/>
      <c r="AK101" s="1149"/>
      <c r="AL101" s="1149"/>
      <c r="AM101" s="1149"/>
      <c r="AN101" s="1149"/>
      <c r="AO101" s="1149"/>
      <c r="AP101" s="1149"/>
      <c r="AQ101" s="1149"/>
      <c r="AR101" s="1149"/>
      <c r="AS101" s="1149"/>
      <c r="AT101" s="1149"/>
    </row>
    <row r="102" spans="2:46">
      <c r="B102" s="431">
        <f>名簿!E99</f>
        <v>0</v>
      </c>
      <c r="C102" s="432" t="str">
        <f>名簿!CM99</f>
        <v/>
      </c>
      <c r="D102" s="432" t="str">
        <f>名簿!CM99</f>
        <v/>
      </c>
      <c r="E102" s="432" t="str">
        <f>名簿!Z99</f>
        <v/>
      </c>
      <c r="F102" s="432" t="str">
        <f>名簿!P99</f>
        <v/>
      </c>
      <c r="G102" s="432" t="str">
        <f>名簿!Q99</f>
        <v/>
      </c>
      <c r="H102" s="433" t="str">
        <f>名簿!Y99</f>
        <v/>
      </c>
      <c r="I102" s="433" t="str">
        <f>名簿!CN99</f>
        <v/>
      </c>
      <c r="J102" s="1044">
        <f>名簿!CP99</f>
        <v>0</v>
      </c>
      <c r="K102" s="1044" t="str">
        <f>名簿!CU99</f>
        <v>00</v>
      </c>
      <c r="L102" s="1044" t="str">
        <f>名簿!CU99</f>
        <v>00</v>
      </c>
      <c r="M102" s="1271">
        <f>名簿!D99</f>
        <v>0</v>
      </c>
      <c r="N102" s="1267"/>
      <c r="O102" s="292" t="str">
        <f>IF(N102="","",IF(H102=1,VLOOKUP(N102,男子種目コード!$V$23:$W$25,2,FALSE),IF(H102=2,VLOOKUP(N102,女子種目コード!$V$23:$W$25,2,FALSE))))</f>
        <v/>
      </c>
      <c r="P102" s="669" t="str">
        <f>IF(N102="","",HLOOKUP(N102,名簿!$AH$3:$CH$118,97,FALSE))</f>
        <v/>
      </c>
      <c r="Q102" s="115">
        <f t="shared" si="6"/>
        <v>0</v>
      </c>
      <c r="R102" s="116" t="s">
        <v>793</v>
      </c>
      <c r="S102" s="117" t="str">
        <f t="shared" si="7"/>
        <v>0中学</v>
      </c>
      <c r="T102" s="125"/>
      <c r="U102" s="124"/>
      <c r="V102" s="118"/>
      <c r="W102" s="126"/>
      <c r="X102" s="127"/>
      <c r="Y102" s="121"/>
      <c r="Z102" s="128"/>
      <c r="AA102" s="127"/>
      <c r="AB102" s="123"/>
      <c r="AC102" s="98">
        <v>0</v>
      </c>
      <c r="AG102" s="40" t="str">
        <f t="shared" si="5"/>
        <v/>
      </c>
      <c r="AH102" s="415"/>
      <c r="AI102" s="415"/>
      <c r="AJ102" s="404"/>
      <c r="AK102" s="1149"/>
      <c r="AL102" s="1149"/>
      <c r="AM102" s="1149"/>
      <c r="AN102" s="1149"/>
      <c r="AO102" s="1149"/>
      <c r="AP102" s="1149"/>
      <c r="AQ102" s="1149"/>
      <c r="AR102" s="1149"/>
      <c r="AS102" s="1149"/>
      <c r="AT102" s="1149"/>
    </row>
    <row r="103" spans="2:46">
      <c r="B103" s="431">
        <f>名簿!E100</f>
        <v>0</v>
      </c>
      <c r="C103" s="432" t="str">
        <f>名簿!CM100</f>
        <v/>
      </c>
      <c r="D103" s="432" t="str">
        <f>名簿!CM100</f>
        <v/>
      </c>
      <c r="E103" s="432" t="str">
        <f>名簿!Z100</f>
        <v/>
      </c>
      <c r="F103" s="432" t="str">
        <f>名簿!P100</f>
        <v/>
      </c>
      <c r="G103" s="432" t="str">
        <f>名簿!Q100</f>
        <v/>
      </c>
      <c r="H103" s="433" t="str">
        <f>名簿!Y100</f>
        <v/>
      </c>
      <c r="I103" s="433" t="str">
        <f>名簿!CN100</f>
        <v/>
      </c>
      <c r="J103" s="1044">
        <f>名簿!CP100</f>
        <v>0</v>
      </c>
      <c r="K103" s="1044" t="str">
        <f>名簿!CU100</f>
        <v>00</v>
      </c>
      <c r="L103" s="1044" t="str">
        <f>名簿!CU100</f>
        <v>00</v>
      </c>
      <c r="M103" s="1271">
        <f>名簿!D100</f>
        <v>0</v>
      </c>
      <c r="N103" s="1267"/>
      <c r="O103" s="292" t="str">
        <f>IF(N103="","",IF(H103=1,VLOOKUP(N103,男子種目コード!$V$23:$W$25,2,FALSE),IF(H103=2,VLOOKUP(N103,女子種目コード!$V$23:$W$25,2,FALSE))))</f>
        <v/>
      </c>
      <c r="P103" s="669" t="str">
        <f>IF(N103="","",HLOOKUP(N103,名簿!$AH$3:$CH$118,98,FALSE))</f>
        <v/>
      </c>
      <c r="Q103" s="115">
        <f t="shared" si="6"/>
        <v>0</v>
      </c>
      <c r="R103" s="116" t="s">
        <v>793</v>
      </c>
      <c r="S103" s="117" t="str">
        <f t="shared" si="7"/>
        <v>0中学</v>
      </c>
      <c r="T103" s="125"/>
      <c r="U103" s="124"/>
      <c r="V103" s="118"/>
      <c r="W103" s="126"/>
      <c r="X103" s="127"/>
      <c r="Y103" s="121"/>
      <c r="Z103" s="128"/>
      <c r="AA103" s="127"/>
      <c r="AB103" s="123"/>
      <c r="AC103" s="98">
        <v>0</v>
      </c>
      <c r="AG103" s="40" t="str">
        <f t="shared" ref="AG103:AG116" si="8">IF(N103="","",1)</f>
        <v/>
      </c>
      <c r="AH103" s="415"/>
      <c r="AI103" s="415"/>
      <c r="AJ103" s="404"/>
      <c r="AK103" s="1149"/>
      <c r="AL103" s="1149"/>
      <c r="AM103" s="1149"/>
      <c r="AN103" s="1149"/>
      <c r="AO103" s="1149"/>
      <c r="AP103" s="1149"/>
      <c r="AQ103" s="1149"/>
      <c r="AR103" s="1149"/>
      <c r="AS103" s="1149"/>
      <c r="AT103" s="1149"/>
    </row>
    <row r="104" spans="2:46">
      <c r="B104" s="431">
        <f>名簿!E101</f>
        <v>0</v>
      </c>
      <c r="C104" s="432" t="str">
        <f>名簿!CM101</f>
        <v/>
      </c>
      <c r="D104" s="432" t="str">
        <f>名簿!CM101</f>
        <v/>
      </c>
      <c r="E104" s="432" t="str">
        <f>名簿!Z101</f>
        <v/>
      </c>
      <c r="F104" s="432" t="str">
        <f>名簿!P101</f>
        <v/>
      </c>
      <c r="G104" s="432" t="str">
        <f>名簿!Q101</f>
        <v/>
      </c>
      <c r="H104" s="433" t="str">
        <f>名簿!Y101</f>
        <v/>
      </c>
      <c r="I104" s="433" t="str">
        <f>名簿!CN101</f>
        <v/>
      </c>
      <c r="J104" s="1044">
        <f>名簿!CP101</f>
        <v>0</v>
      </c>
      <c r="K104" s="1044" t="str">
        <f>名簿!CU101</f>
        <v>00</v>
      </c>
      <c r="L104" s="1044" t="str">
        <f>名簿!CU101</f>
        <v>00</v>
      </c>
      <c r="M104" s="1271">
        <f>名簿!D101</f>
        <v>0</v>
      </c>
      <c r="N104" s="1267"/>
      <c r="O104" s="292" t="str">
        <f>IF(N104="","",IF(H104=1,VLOOKUP(N104,男子種目コード!$V$23:$W$25,2,FALSE),IF(H104=2,VLOOKUP(N104,女子種目コード!$V$23:$W$25,2,FALSE))))</f>
        <v/>
      </c>
      <c r="P104" s="669" t="str">
        <f>IF(N104="","",HLOOKUP(N104,名簿!$AH$3:$CH$118,99,FALSE))</f>
        <v/>
      </c>
      <c r="Q104" s="115">
        <f t="shared" si="6"/>
        <v>0</v>
      </c>
      <c r="R104" s="116" t="s">
        <v>793</v>
      </c>
      <c r="S104" s="117" t="str">
        <f t="shared" si="7"/>
        <v>0中学</v>
      </c>
      <c r="T104" s="125"/>
      <c r="U104" s="124"/>
      <c r="V104" s="118"/>
      <c r="W104" s="126"/>
      <c r="X104" s="127"/>
      <c r="Y104" s="121"/>
      <c r="Z104" s="128"/>
      <c r="AA104" s="127"/>
      <c r="AB104" s="123"/>
      <c r="AC104" s="98">
        <v>0</v>
      </c>
      <c r="AG104" s="40" t="str">
        <f t="shared" si="8"/>
        <v/>
      </c>
      <c r="AH104" s="415"/>
      <c r="AI104" s="415"/>
      <c r="AJ104" s="404"/>
      <c r="AK104" s="1149"/>
      <c r="AL104" s="1149"/>
      <c r="AM104" s="1149"/>
      <c r="AN104" s="1149"/>
      <c r="AO104" s="1149"/>
      <c r="AP104" s="1149"/>
      <c r="AQ104" s="1149"/>
      <c r="AR104" s="1149"/>
      <c r="AS104" s="1149"/>
      <c r="AT104" s="1149"/>
    </row>
    <row r="105" spans="2:46">
      <c r="B105" s="431">
        <f>名簿!E102</f>
        <v>0</v>
      </c>
      <c r="C105" s="432" t="str">
        <f>名簿!CM102</f>
        <v/>
      </c>
      <c r="D105" s="432" t="str">
        <f>名簿!CM102</f>
        <v/>
      </c>
      <c r="E105" s="432" t="str">
        <f>名簿!Z102</f>
        <v/>
      </c>
      <c r="F105" s="432" t="str">
        <f>名簿!P102</f>
        <v/>
      </c>
      <c r="G105" s="432" t="str">
        <f>名簿!Q102</f>
        <v/>
      </c>
      <c r="H105" s="433" t="str">
        <f>名簿!Y102</f>
        <v/>
      </c>
      <c r="I105" s="433" t="str">
        <f>名簿!CN102</f>
        <v/>
      </c>
      <c r="J105" s="1044">
        <f>名簿!CP102</f>
        <v>0</v>
      </c>
      <c r="K105" s="1044" t="str">
        <f>名簿!CU102</f>
        <v>00</v>
      </c>
      <c r="L105" s="1044" t="str">
        <f>名簿!CU102</f>
        <v>00</v>
      </c>
      <c r="M105" s="1271">
        <f>名簿!D102</f>
        <v>0</v>
      </c>
      <c r="N105" s="1267"/>
      <c r="O105" s="292" t="str">
        <f>IF(N105="","",IF(H105=1,VLOOKUP(N105,男子種目コード!$V$23:$W$25,2,FALSE),IF(H105=2,VLOOKUP(N105,女子種目コード!$V$23:$W$25,2,FALSE))))</f>
        <v/>
      </c>
      <c r="P105" s="669" t="str">
        <f>IF(N105="","",HLOOKUP(N105,名簿!$AH$3:$CH$118,100,FALSE))</f>
        <v/>
      </c>
      <c r="Q105" s="115">
        <f t="shared" si="6"/>
        <v>0</v>
      </c>
      <c r="R105" s="116" t="s">
        <v>793</v>
      </c>
      <c r="S105" s="117" t="str">
        <f t="shared" si="7"/>
        <v>0中学</v>
      </c>
      <c r="T105" s="125"/>
      <c r="U105" s="124"/>
      <c r="V105" s="118"/>
      <c r="W105" s="126"/>
      <c r="X105" s="127"/>
      <c r="Y105" s="121"/>
      <c r="Z105" s="128"/>
      <c r="AA105" s="127"/>
      <c r="AB105" s="123"/>
      <c r="AC105" s="98">
        <v>0</v>
      </c>
      <c r="AG105" s="40" t="str">
        <f t="shared" si="8"/>
        <v/>
      </c>
      <c r="AH105" s="415"/>
      <c r="AI105" s="415"/>
      <c r="AJ105" s="404"/>
      <c r="AK105" s="1149"/>
      <c r="AL105" s="1149"/>
      <c r="AM105" s="1149"/>
      <c r="AN105" s="1149"/>
      <c r="AO105" s="1149"/>
      <c r="AP105" s="1149"/>
      <c r="AQ105" s="1149"/>
      <c r="AR105" s="1149"/>
      <c r="AS105" s="1149"/>
      <c r="AT105" s="1149"/>
    </row>
    <row r="106" spans="2:46">
      <c r="B106" s="431">
        <f>名簿!E103</f>
        <v>0</v>
      </c>
      <c r="C106" s="432" t="str">
        <f>名簿!CM103</f>
        <v/>
      </c>
      <c r="D106" s="432" t="str">
        <f>名簿!CM103</f>
        <v/>
      </c>
      <c r="E106" s="432" t="str">
        <f>名簿!Z103</f>
        <v/>
      </c>
      <c r="F106" s="432" t="str">
        <f>名簿!P103</f>
        <v/>
      </c>
      <c r="G106" s="432" t="str">
        <f>名簿!Q103</f>
        <v/>
      </c>
      <c r="H106" s="433" t="str">
        <f>名簿!Y103</f>
        <v/>
      </c>
      <c r="I106" s="433" t="str">
        <f>名簿!CN103</f>
        <v/>
      </c>
      <c r="J106" s="1044">
        <f>名簿!CP103</f>
        <v>0</v>
      </c>
      <c r="K106" s="1044" t="str">
        <f>名簿!CU103</f>
        <v>00</v>
      </c>
      <c r="L106" s="1044" t="str">
        <f>名簿!CU103</f>
        <v>00</v>
      </c>
      <c r="M106" s="1271">
        <f>名簿!D103</f>
        <v>0</v>
      </c>
      <c r="N106" s="1267"/>
      <c r="O106" s="292" t="str">
        <f>IF(N106="","",IF(H106=1,VLOOKUP(N106,男子種目コード!$V$23:$W$25,2,FALSE),IF(H106=2,VLOOKUP(N106,女子種目コード!$V$23:$W$25,2,FALSE))))</f>
        <v/>
      </c>
      <c r="P106" s="669" t="str">
        <f>IF(N106="","",HLOOKUP(N106,名簿!$AH$3:$CH$118,101,FALSE))</f>
        <v/>
      </c>
      <c r="Q106" s="115">
        <f t="shared" si="6"/>
        <v>0</v>
      </c>
      <c r="R106" s="116" t="s">
        <v>793</v>
      </c>
      <c r="S106" s="117" t="str">
        <f t="shared" si="7"/>
        <v>0中学</v>
      </c>
      <c r="T106" s="125"/>
      <c r="U106" s="124"/>
      <c r="V106" s="118"/>
      <c r="W106" s="126"/>
      <c r="X106" s="127"/>
      <c r="Y106" s="121"/>
      <c r="Z106" s="128"/>
      <c r="AA106" s="127"/>
      <c r="AB106" s="123"/>
      <c r="AC106" s="98">
        <v>0</v>
      </c>
      <c r="AG106" s="40" t="str">
        <f t="shared" si="8"/>
        <v/>
      </c>
      <c r="AH106" s="415"/>
      <c r="AI106" s="415"/>
      <c r="AJ106" s="404"/>
      <c r="AK106" s="1149"/>
      <c r="AL106" s="1149"/>
      <c r="AM106" s="1149"/>
      <c r="AN106" s="1149"/>
      <c r="AO106" s="1149"/>
      <c r="AP106" s="1149"/>
      <c r="AQ106" s="1149"/>
      <c r="AR106" s="1149"/>
      <c r="AS106" s="1149"/>
      <c r="AT106" s="1149"/>
    </row>
    <row r="107" spans="2:46">
      <c r="B107" s="431">
        <f>名簿!E104</f>
        <v>0</v>
      </c>
      <c r="C107" s="432" t="str">
        <f>名簿!CM104</f>
        <v/>
      </c>
      <c r="D107" s="432" t="str">
        <f>名簿!CM104</f>
        <v/>
      </c>
      <c r="E107" s="432" t="str">
        <f>名簿!Z104</f>
        <v/>
      </c>
      <c r="F107" s="432" t="str">
        <f>名簿!P104</f>
        <v/>
      </c>
      <c r="G107" s="432" t="str">
        <f>名簿!Q104</f>
        <v/>
      </c>
      <c r="H107" s="433" t="str">
        <f>名簿!Y104</f>
        <v/>
      </c>
      <c r="I107" s="433" t="str">
        <f>名簿!CN104</f>
        <v/>
      </c>
      <c r="J107" s="1044">
        <f>名簿!CP104</f>
        <v>0</v>
      </c>
      <c r="K107" s="1044" t="str">
        <f>名簿!CU104</f>
        <v>00</v>
      </c>
      <c r="L107" s="1044" t="str">
        <f>名簿!CU104</f>
        <v>00</v>
      </c>
      <c r="M107" s="1271">
        <f>名簿!D104</f>
        <v>0</v>
      </c>
      <c r="N107" s="1267"/>
      <c r="O107" s="292" t="str">
        <f>IF(N107="","",IF(H107=1,VLOOKUP(N107,男子種目コード!$V$23:$W$25,2,FALSE),IF(H107=2,VLOOKUP(N107,女子種目コード!$V$23:$W$25,2,FALSE))))</f>
        <v/>
      </c>
      <c r="P107" s="669" t="str">
        <f>IF(N107="","",HLOOKUP(N107,名簿!$AH$3:$CH$118,102,FALSE))</f>
        <v/>
      </c>
      <c r="Q107" s="115">
        <f t="shared" si="6"/>
        <v>0</v>
      </c>
      <c r="R107" s="116" t="s">
        <v>793</v>
      </c>
      <c r="S107" s="117" t="str">
        <f t="shared" si="7"/>
        <v>0中学</v>
      </c>
      <c r="T107" s="125"/>
      <c r="U107" s="124"/>
      <c r="V107" s="118"/>
      <c r="W107" s="126"/>
      <c r="X107" s="127"/>
      <c r="Y107" s="121"/>
      <c r="Z107" s="128"/>
      <c r="AA107" s="127"/>
      <c r="AB107" s="123"/>
      <c r="AC107" s="98">
        <v>0</v>
      </c>
      <c r="AG107" s="40" t="str">
        <f t="shared" si="8"/>
        <v/>
      </c>
      <c r="AH107" s="415"/>
      <c r="AI107" s="415"/>
      <c r="AJ107" s="404"/>
      <c r="AK107" s="1149"/>
      <c r="AL107" s="1149"/>
      <c r="AM107" s="1149"/>
      <c r="AN107" s="1149"/>
      <c r="AO107" s="1149"/>
      <c r="AP107" s="1149"/>
      <c r="AQ107" s="1149"/>
      <c r="AR107" s="1149"/>
      <c r="AS107" s="1149"/>
      <c r="AT107" s="1149"/>
    </row>
    <row r="108" spans="2:46">
      <c r="B108" s="431">
        <f>名簿!E105</f>
        <v>0</v>
      </c>
      <c r="C108" s="432" t="str">
        <f>名簿!CM105</f>
        <v/>
      </c>
      <c r="D108" s="432" t="str">
        <f>名簿!CM105</f>
        <v/>
      </c>
      <c r="E108" s="432" t="str">
        <f>名簿!Z105</f>
        <v/>
      </c>
      <c r="F108" s="432" t="str">
        <f>名簿!P105</f>
        <v/>
      </c>
      <c r="G108" s="432" t="str">
        <f>名簿!Q105</f>
        <v/>
      </c>
      <c r="H108" s="433" t="str">
        <f>名簿!Y105</f>
        <v/>
      </c>
      <c r="I108" s="433" t="str">
        <f>名簿!CN105</f>
        <v/>
      </c>
      <c r="J108" s="1044">
        <f>名簿!CP105</f>
        <v>0</v>
      </c>
      <c r="K108" s="1044" t="str">
        <f>名簿!CU105</f>
        <v>00</v>
      </c>
      <c r="L108" s="1044" t="str">
        <f>名簿!CU105</f>
        <v>00</v>
      </c>
      <c r="M108" s="1271">
        <f>名簿!D105</f>
        <v>0</v>
      </c>
      <c r="N108" s="1267"/>
      <c r="O108" s="292" t="str">
        <f>IF(N108="","",IF(H108=1,VLOOKUP(N108,男子種目コード!$V$23:$W$25,2,FALSE),IF(H108=2,VLOOKUP(N108,女子種目コード!$V$23:$W$25,2,FALSE))))</f>
        <v/>
      </c>
      <c r="P108" s="669" t="str">
        <f>IF(N108="","",HLOOKUP(N108,名簿!$AH$3:$CH$118,103,FALSE))</f>
        <v/>
      </c>
      <c r="Q108" s="115">
        <f t="shared" si="6"/>
        <v>0</v>
      </c>
      <c r="R108" s="116" t="s">
        <v>793</v>
      </c>
      <c r="S108" s="117" t="str">
        <f t="shared" si="7"/>
        <v>0中学</v>
      </c>
      <c r="T108" s="125"/>
      <c r="U108" s="124"/>
      <c r="V108" s="118"/>
      <c r="W108" s="126"/>
      <c r="X108" s="127"/>
      <c r="Y108" s="121"/>
      <c r="Z108" s="128"/>
      <c r="AA108" s="127"/>
      <c r="AB108" s="123"/>
      <c r="AC108" s="98">
        <v>0</v>
      </c>
      <c r="AG108" s="40" t="str">
        <f t="shared" si="8"/>
        <v/>
      </c>
      <c r="AH108" s="415"/>
      <c r="AI108" s="415"/>
      <c r="AJ108" s="404"/>
      <c r="AK108" s="1149"/>
      <c r="AL108" s="1149"/>
      <c r="AM108" s="1149"/>
      <c r="AN108" s="1149"/>
      <c r="AO108" s="1149"/>
      <c r="AP108" s="1149"/>
      <c r="AQ108" s="1149"/>
      <c r="AR108" s="1149"/>
      <c r="AS108" s="1149"/>
      <c r="AT108" s="1149"/>
    </row>
    <row r="109" spans="2:46">
      <c r="B109" s="431">
        <f>名簿!E106</f>
        <v>0</v>
      </c>
      <c r="C109" s="432" t="str">
        <f>名簿!CM106</f>
        <v/>
      </c>
      <c r="D109" s="432" t="str">
        <f>名簿!CM106</f>
        <v/>
      </c>
      <c r="E109" s="432" t="str">
        <f>名簿!Z106</f>
        <v/>
      </c>
      <c r="F109" s="432" t="str">
        <f>名簿!P106</f>
        <v/>
      </c>
      <c r="G109" s="432" t="str">
        <f>名簿!Q106</f>
        <v/>
      </c>
      <c r="H109" s="433" t="str">
        <f>名簿!Y106</f>
        <v/>
      </c>
      <c r="I109" s="433" t="str">
        <f>名簿!CN106</f>
        <v/>
      </c>
      <c r="J109" s="1044">
        <f>名簿!CP106</f>
        <v>0</v>
      </c>
      <c r="K109" s="1044" t="str">
        <f>名簿!CU106</f>
        <v>00</v>
      </c>
      <c r="L109" s="1044" t="str">
        <f>名簿!CU106</f>
        <v>00</v>
      </c>
      <c r="M109" s="1271">
        <f>名簿!D106</f>
        <v>0</v>
      </c>
      <c r="N109" s="1267"/>
      <c r="O109" s="292" t="str">
        <f>IF(N109="","",IF(H109=1,VLOOKUP(N109,男子種目コード!$V$23:$W$25,2,FALSE),IF(H109=2,VLOOKUP(N109,女子種目コード!$V$23:$W$25,2,FALSE))))</f>
        <v/>
      </c>
      <c r="P109" s="669" t="str">
        <f>IF(N109="","",HLOOKUP(N109,名簿!$AH$3:$CH$118,104,FALSE))</f>
        <v/>
      </c>
      <c r="Q109" s="115">
        <f t="shared" si="6"/>
        <v>0</v>
      </c>
      <c r="R109" s="116" t="s">
        <v>793</v>
      </c>
      <c r="S109" s="117" t="str">
        <f t="shared" si="7"/>
        <v>0中学</v>
      </c>
      <c r="T109" s="125"/>
      <c r="U109" s="124"/>
      <c r="V109" s="118"/>
      <c r="W109" s="126"/>
      <c r="X109" s="127"/>
      <c r="Y109" s="121"/>
      <c r="Z109" s="128"/>
      <c r="AA109" s="127"/>
      <c r="AB109" s="123"/>
      <c r="AC109" s="98">
        <v>0</v>
      </c>
      <c r="AG109" s="40" t="str">
        <f t="shared" si="8"/>
        <v/>
      </c>
      <c r="AH109" s="415"/>
      <c r="AI109" s="415"/>
      <c r="AJ109" s="404"/>
      <c r="AK109" s="1149"/>
      <c r="AL109" s="1149"/>
      <c r="AM109" s="1149"/>
      <c r="AN109" s="1149"/>
      <c r="AO109" s="1149"/>
      <c r="AP109" s="1149"/>
      <c r="AQ109" s="1149"/>
      <c r="AR109" s="1149"/>
      <c r="AS109" s="1149"/>
      <c r="AT109" s="1149"/>
    </row>
    <row r="110" spans="2:46">
      <c r="B110" s="431">
        <f>名簿!E107</f>
        <v>0</v>
      </c>
      <c r="C110" s="432" t="str">
        <f>名簿!CM107</f>
        <v/>
      </c>
      <c r="D110" s="432" t="str">
        <f>名簿!CM107</f>
        <v/>
      </c>
      <c r="E110" s="432" t="str">
        <f>名簿!Z107</f>
        <v/>
      </c>
      <c r="F110" s="432" t="str">
        <f>名簿!P107</f>
        <v/>
      </c>
      <c r="G110" s="432" t="str">
        <f>名簿!Q107</f>
        <v/>
      </c>
      <c r="H110" s="433" t="str">
        <f>名簿!Y107</f>
        <v/>
      </c>
      <c r="I110" s="433" t="str">
        <f>名簿!CN107</f>
        <v/>
      </c>
      <c r="J110" s="1044">
        <f>名簿!CP107</f>
        <v>0</v>
      </c>
      <c r="K110" s="1044" t="str">
        <f>名簿!CU107</f>
        <v>00</v>
      </c>
      <c r="L110" s="1044" t="str">
        <f>名簿!CU107</f>
        <v>00</v>
      </c>
      <c r="M110" s="1271">
        <f>名簿!D107</f>
        <v>0</v>
      </c>
      <c r="N110" s="1267"/>
      <c r="O110" s="292" t="str">
        <f>IF(N110="","",IF(H110=1,VLOOKUP(N110,男子種目コード!$V$23:$W$25,2,FALSE),IF(H110=2,VLOOKUP(N110,女子種目コード!$V$23:$W$25,2,FALSE))))</f>
        <v/>
      </c>
      <c r="P110" s="669" t="str">
        <f>IF(N110="","",HLOOKUP(N110,名簿!$AH$3:$CH$118,105,FALSE))</f>
        <v/>
      </c>
      <c r="Q110" s="115">
        <f t="shared" si="6"/>
        <v>0</v>
      </c>
      <c r="R110" s="116" t="s">
        <v>793</v>
      </c>
      <c r="S110" s="117" t="str">
        <f t="shared" si="7"/>
        <v>0中学</v>
      </c>
      <c r="T110" s="125"/>
      <c r="U110" s="124"/>
      <c r="V110" s="118"/>
      <c r="W110" s="126"/>
      <c r="X110" s="127"/>
      <c r="Y110" s="121"/>
      <c r="Z110" s="128"/>
      <c r="AA110" s="127"/>
      <c r="AB110" s="123"/>
      <c r="AC110" s="98">
        <v>0</v>
      </c>
      <c r="AG110" s="40" t="str">
        <f t="shared" si="8"/>
        <v/>
      </c>
      <c r="AH110" s="415"/>
      <c r="AI110" s="415"/>
      <c r="AJ110" s="404"/>
      <c r="AK110" s="1149"/>
      <c r="AL110" s="1149"/>
      <c r="AM110" s="1149"/>
      <c r="AN110" s="1149"/>
      <c r="AO110" s="1149"/>
      <c r="AP110" s="1149"/>
      <c r="AQ110" s="1149"/>
      <c r="AR110" s="1149"/>
      <c r="AS110" s="1149"/>
      <c r="AT110" s="1149"/>
    </row>
    <row r="111" spans="2:46">
      <c r="B111" s="431">
        <f>名簿!E108</f>
        <v>0</v>
      </c>
      <c r="C111" s="432" t="str">
        <f>名簿!CM108</f>
        <v/>
      </c>
      <c r="D111" s="432" t="str">
        <f>名簿!CM108</f>
        <v/>
      </c>
      <c r="E111" s="432" t="str">
        <f>名簿!Z108</f>
        <v/>
      </c>
      <c r="F111" s="432" t="str">
        <f>名簿!P108</f>
        <v/>
      </c>
      <c r="G111" s="432" t="str">
        <f>名簿!Q108</f>
        <v/>
      </c>
      <c r="H111" s="433" t="str">
        <f>名簿!Y108</f>
        <v/>
      </c>
      <c r="I111" s="433" t="str">
        <f>名簿!CN108</f>
        <v/>
      </c>
      <c r="J111" s="1044">
        <f>名簿!CP108</f>
        <v>0</v>
      </c>
      <c r="K111" s="1044" t="str">
        <f>名簿!CU108</f>
        <v>00</v>
      </c>
      <c r="L111" s="1044" t="str">
        <f>名簿!CU108</f>
        <v>00</v>
      </c>
      <c r="M111" s="1271">
        <f>名簿!D108</f>
        <v>0</v>
      </c>
      <c r="N111" s="1267"/>
      <c r="O111" s="292" t="str">
        <f>IF(N111="","",IF(H111=1,VLOOKUP(N111,男子種目コード!$V$23:$W$25,2,FALSE),IF(H111=2,VLOOKUP(N111,女子種目コード!$V$23:$W$25,2,FALSE))))</f>
        <v/>
      </c>
      <c r="P111" s="669" t="str">
        <f>IF(N111="","",HLOOKUP(N111,名簿!$AH$3:$CH$118,106,FALSE))</f>
        <v/>
      </c>
      <c r="Q111" s="115">
        <f t="shared" si="6"/>
        <v>0</v>
      </c>
      <c r="R111" s="116" t="s">
        <v>793</v>
      </c>
      <c r="S111" s="117" t="str">
        <f t="shared" si="7"/>
        <v>0中学</v>
      </c>
      <c r="T111" s="125"/>
      <c r="U111" s="124"/>
      <c r="V111" s="118"/>
      <c r="W111" s="126"/>
      <c r="X111" s="127"/>
      <c r="Y111" s="121"/>
      <c r="Z111" s="128"/>
      <c r="AA111" s="127"/>
      <c r="AB111" s="123"/>
      <c r="AC111" s="98">
        <v>0</v>
      </c>
      <c r="AG111" s="40" t="str">
        <f t="shared" si="8"/>
        <v/>
      </c>
      <c r="AH111" s="415"/>
      <c r="AI111" s="415"/>
      <c r="AJ111" s="404"/>
      <c r="AK111" s="1149"/>
      <c r="AL111" s="1149"/>
      <c r="AM111" s="1149"/>
      <c r="AN111" s="1149"/>
      <c r="AO111" s="1149"/>
      <c r="AP111" s="1149"/>
      <c r="AQ111" s="1149"/>
      <c r="AR111" s="1149"/>
      <c r="AS111" s="1149"/>
      <c r="AT111" s="1149"/>
    </row>
    <row r="112" spans="2:46">
      <c r="B112" s="431">
        <f>名簿!E109</f>
        <v>0</v>
      </c>
      <c r="C112" s="432" t="str">
        <f>名簿!CM109</f>
        <v/>
      </c>
      <c r="D112" s="432" t="str">
        <f>名簿!CM109</f>
        <v/>
      </c>
      <c r="E112" s="432" t="str">
        <f>名簿!Z109</f>
        <v/>
      </c>
      <c r="F112" s="432" t="str">
        <f>名簿!P109</f>
        <v/>
      </c>
      <c r="G112" s="432" t="str">
        <f>名簿!Q109</f>
        <v/>
      </c>
      <c r="H112" s="433" t="str">
        <f>名簿!Y109</f>
        <v/>
      </c>
      <c r="I112" s="433" t="str">
        <f>名簿!CN109</f>
        <v/>
      </c>
      <c r="J112" s="1044">
        <f>名簿!CP109</f>
        <v>0</v>
      </c>
      <c r="K112" s="1044" t="str">
        <f>名簿!CU109</f>
        <v>00</v>
      </c>
      <c r="L112" s="1044" t="str">
        <f>名簿!CU109</f>
        <v>00</v>
      </c>
      <c r="M112" s="1271">
        <f>名簿!D109</f>
        <v>0</v>
      </c>
      <c r="N112" s="1267"/>
      <c r="O112" s="292" t="str">
        <f>IF(N112="","",IF(H112=1,VLOOKUP(N112,男子種目コード!$V$23:$W$25,2,FALSE),IF(H112=2,VLOOKUP(N112,女子種目コード!$V$23:$W$25,2,FALSE))))</f>
        <v/>
      </c>
      <c r="P112" s="669" t="str">
        <f>IF(N112="","",HLOOKUP(N112,名簿!$AH$3:$CH$118,107,FALSE))</f>
        <v/>
      </c>
      <c r="Q112" s="115">
        <f t="shared" si="6"/>
        <v>0</v>
      </c>
      <c r="R112" s="116" t="s">
        <v>793</v>
      </c>
      <c r="S112" s="117" t="str">
        <f t="shared" si="7"/>
        <v>0中学</v>
      </c>
      <c r="T112" s="125"/>
      <c r="U112" s="124"/>
      <c r="V112" s="118"/>
      <c r="W112" s="126"/>
      <c r="X112" s="127"/>
      <c r="Y112" s="121"/>
      <c r="Z112" s="128"/>
      <c r="AA112" s="127"/>
      <c r="AB112" s="123"/>
      <c r="AC112" s="98">
        <v>0</v>
      </c>
      <c r="AG112" s="40" t="str">
        <f t="shared" si="8"/>
        <v/>
      </c>
      <c r="AH112" s="415"/>
      <c r="AI112" s="415"/>
      <c r="AJ112" s="404"/>
      <c r="AK112" s="1149"/>
      <c r="AL112" s="1149"/>
      <c r="AM112" s="1149"/>
      <c r="AN112" s="1149"/>
      <c r="AO112" s="1149"/>
      <c r="AP112" s="1149"/>
      <c r="AQ112" s="1149"/>
      <c r="AR112" s="1149"/>
      <c r="AS112" s="1149"/>
      <c r="AT112" s="1149"/>
    </row>
    <row r="113" spans="2:46">
      <c r="B113" s="431">
        <f>名簿!E110</f>
        <v>0</v>
      </c>
      <c r="C113" s="432" t="str">
        <f>名簿!CM110</f>
        <v/>
      </c>
      <c r="D113" s="432" t="str">
        <f>名簿!CM110</f>
        <v/>
      </c>
      <c r="E113" s="432" t="str">
        <f>名簿!Z110</f>
        <v/>
      </c>
      <c r="F113" s="432" t="str">
        <f>名簿!P110</f>
        <v/>
      </c>
      <c r="G113" s="432" t="str">
        <f>名簿!Q110</f>
        <v/>
      </c>
      <c r="H113" s="433" t="str">
        <f>名簿!Y110</f>
        <v/>
      </c>
      <c r="I113" s="433" t="str">
        <f>名簿!CN110</f>
        <v/>
      </c>
      <c r="J113" s="1044">
        <f>名簿!CP110</f>
        <v>0</v>
      </c>
      <c r="K113" s="1044" t="str">
        <f>名簿!CU110</f>
        <v>00</v>
      </c>
      <c r="L113" s="1044" t="str">
        <f>名簿!CU110</f>
        <v>00</v>
      </c>
      <c r="M113" s="1271">
        <f>名簿!D110</f>
        <v>0</v>
      </c>
      <c r="N113" s="1267"/>
      <c r="O113" s="292" t="str">
        <f>IF(N113="","",IF(H113=1,VLOOKUP(N113,男子種目コード!$V$23:$W$25,2,FALSE),IF(H113=2,VLOOKUP(N113,女子種目コード!$V$23:$W$25,2,FALSE))))</f>
        <v/>
      </c>
      <c r="P113" s="669" t="str">
        <f>IF(N113="","",HLOOKUP(N113,名簿!$AH$3:$CH$118,108,FALSE))</f>
        <v/>
      </c>
      <c r="Q113" s="115">
        <f t="shared" si="6"/>
        <v>0</v>
      </c>
      <c r="R113" s="116" t="s">
        <v>793</v>
      </c>
      <c r="S113" s="117" t="str">
        <f t="shared" si="7"/>
        <v>0中学</v>
      </c>
      <c r="T113" s="125"/>
      <c r="U113" s="124"/>
      <c r="V113" s="118"/>
      <c r="W113" s="126"/>
      <c r="X113" s="127"/>
      <c r="Y113" s="121"/>
      <c r="Z113" s="128"/>
      <c r="AA113" s="127"/>
      <c r="AB113" s="123"/>
      <c r="AC113" s="98">
        <v>0</v>
      </c>
      <c r="AG113" s="40" t="str">
        <f t="shared" si="8"/>
        <v/>
      </c>
      <c r="AH113" s="415"/>
      <c r="AI113" s="415"/>
      <c r="AJ113" s="404"/>
      <c r="AK113" s="1149"/>
      <c r="AL113" s="1149"/>
      <c r="AM113" s="1149"/>
      <c r="AN113" s="1149"/>
      <c r="AO113" s="1149"/>
      <c r="AP113" s="1149"/>
      <c r="AQ113" s="1149"/>
      <c r="AR113" s="1149"/>
      <c r="AS113" s="1149"/>
      <c r="AT113" s="1149"/>
    </row>
    <row r="114" spans="2:46">
      <c r="B114" s="431">
        <f>名簿!E111</f>
        <v>0</v>
      </c>
      <c r="C114" s="432" t="str">
        <f>名簿!CM111</f>
        <v/>
      </c>
      <c r="D114" s="432" t="str">
        <f>名簿!CM111</f>
        <v/>
      </c>
      <c r="E114" s="432" t="str">
        <f>名簿!Z111</f>
        <v/>
      </c>
      <c r="F114" s="432" t="str">
        <f>名簿!P111</f>
        <v/>
      </c>
      <c r="G114" s="432" t="str">
        <f>名簿!Q111</f>
        <v/>
      </c>
      <c r="H114" s="433" t="str">
        <f>名簿!Y111</f>
        <v/>
      </c>
      <c r="I114" s="433" t="str">
        <f>名簿!CN111</f>
        <v/>
      </c>
      <c r="J114" s="1044">
        <f>名簿!CP111</f>
        <v>0</v>
      </c>
      <c r="K114" s="1044" t="str">
        <f>名簿!CU111</f>
        <v>00</v>
      </c>
      <c r="L114" s="1044" t="str">
        <f>名簿!CU111</f>
        <v>00</v>
      </c>
      <c r="M114" s="1271">
        <f>名簿!D111</f>
        <v>0</v>
      </c>
      <c r="N114" s="1267"/>
      <c r="O114" s="292" t="str">
        <f>IF(N114="","",IF(H114=1,VLOOKUP(N114,男子種目コード!$V$23:$W$25,2,FALSE),IF(H114=2,VLOOKUP(N114,女子種目コード!$V$23:$W$25,2,FALSE))))</f>
        <v/>
      </c>
      <c r="P114" s="669" t="str">
        <f>IF(N114="","",HLOOKUP(N114,名簿!$AH$3:$CH$118,109,FALSE))</f>
        <v/>
      </c>
      <c r="Q114" s="115">
        <f t="shared" si="6"/>
        <v>0</v>
      </c>
      <c r="R114" s="116" t="s">
        <v>793</v>
      </c>
      <c r="S114" s="117" t="str">
        <f t="shared" si="7"/>
        <v>0中学</v>
      </c>
      <c r="T114" s="125"/>
      <c r="U114" s="124"/>
      <c r="V114" s="118"/>
      <c r="W114" s="126"/>
      <c r="X114" s="127"/>
      <c r="Y114" s="121"/>
      <c r="Z114" s="128"/>
      <c r="AA114" s="127"/>
      <c r="AB114" s="123"/>
      <c r="AC114" s="98">
        <v>0</v>
      </c>
      <c r="AG114" s="40" t="str">
        <f t="shared" si="8"/>
        <v/>
      </c>
      <c r="AH114" s="415"/>
      <c r="AI114" s="415"/>
      <c r="AJ114" s="404"/>
      <c r="AK114" s="1149"/>
      <c r="AL114" s="1149"/>
      <c r="AM114" s="1149"/>
      <c r="AN114" s="1149"/>
      <c r="AO114" s="1149"/>
      <c r="AP114" s="1149"/>
      <c r="AQ114" s="1149"/>
      <c r="AR114" s="1149"/>
      <c r="AS114" s="1149"/>
      <c r="AT114" s="1149"/>
    </row>
    <row r="115" spans="2:46">
      <c r="B115" s="431">
        <f>名簿!E112</f>
        <v>0</v>
      </c>
      <c r="C115" s="432" t="str">
        <f>名簿!CM112</f>
        <v/>
      </c>
      <c r="D115" s="432" t="str">
        <f>名簿!CM112</f>
        <v/>
      </c>
      <c r="E115" s="432" t="str">
        <f>名簿!Z112</f>
        <v/>
      </c>
      <c r="F115" s="432" t="str">
        <f>名簿!P112</f>
        <v/>
      </c>
      <c r="G115" s="432" t="str">
        <f>名簿!Q112</f>
        <v/>
      </c>
      <c r="H115" s="433" t="str">
        <f>名簿!Y112</f>
        <v/>
      </c>
      <c r="I115" s="433" t="str">
        <f>名簿!CN112</f>
        <v/>
      </c>
      <c r="J115" s="1044">
        <f>名簿!CP112</f>
        <v>0</v>
      </c>
      <c r="K115" s="1044" t="str">
        <f>名簿!CU112</f>
        <v>00</v>
      </c>
      <c r="L115" s="1044" t="str">
        <f>名簿!CU112</f>
        <v>00</v>
      </c>
      <c r="M115" s="1271">
        <f>名簿!D112</f>
        <v>0</v>
      </c>
      <c r="N115" s="1267"/>
      <c r="O115" s="292" t="str">
        <f>IF(N115="","",IF(H115=1,VLOOKUP(N115,男子種目コード!$V$23:$W$25,2,FALSE),IF(H115=2,VLOOKUP(N115,女子種目コード!$V$23:$W$25,2,FALSE))))</f>
        <v/>
      </c>
      <c r="P115" s="669" t="str">
        <f>IF(N115="","",HLOOKUP(N115,名簿!$AH$3:$CH$118,110,FALSE))</f>
        <v/>
      </c>
      <c r="Q115" s="115">
        <f t="shared" si="6"/>
        <v>0</v>
      </c>
      <c r="R115" s="116" t="s">
        <v>793</v>
      </c>
      <c r="S115" s="117" t="str">
        <f t="shared" si="7"/>
        <v>0中学</v>
      </c>
      <c r="T115" s="125"/>
      <c r="U115" s="124"/>
      <c r="V115" s="118"/>
      <c r="W115" s="126"/>
      <c r="X115" s="127"/>
      <c r="Y115" s="121"/>
      <c r="Z115" s="128"/>
      <c r="AA115" s="127"/>
      <c r="AB115" s="123"/>
      <c r="AC115" s="98">
        <v>0</v>
      </c>
      <c r="AG115" s="40" t="str">
        <f t="shared" si="8"/>
        <v/>
      </c>
      <c r="AH115" s="415"/>
      <c r="AI115" s="415"/>
      <c r="AJ115" s="404"/>
      <c r="AK115" s="1149"/>
      <c r="AL115" s="1149"/>
      <c r="AM115" s="1149"/>
      <c r="AN115" s="1149"/>
      <c r="AO115" s="1149"/>
      <c r="AP115" s="1149"/>
      <c r="AQ115" s="1149"/>
      <c r="AR115" s="1149"/>
      <c r="AS115" s="1149"/>
      <c r="AT115" s="1149"/>
    </row>
    <row r="116" spans="2:46" ht="14.25" thickBot="1">
      <c r="B116" s="434">
        <f>名簿!E113</f>
        <v>0</v>
      </c>
      <c r="C116" s="435" t="str">
        <f>名簿!CM113</f>
        <v/>
      </c>
      <c r="D116" s="435" t="str">
        <f>名簿!CM113</f>
        <v/>
      </c>
      <c r="E116" s="435" t="str">
        <f>名簿!Z113</f>
        <v/>
      </c>
      <c r="F116" s="435" t="str">
        <f>名簿!P113</f>
        <v/>
      </c>
      <c r="G116" s="435" t="str">
        <f>名簿!Q113</f>
        <v/>
      </c>
      <c r="H116" s="436" t="str">
        <f>名簿!Y113</f>
        <v/>
      </c>
      <c r="I116" s="436" t="str">
        <f>名簿!CN113</f>
        <v/>
      </c>
      <c r="J116" s="1046">
        <f>名簿!CP113</f>
        <v>0</v>
      </c>
      <c r="K116" s="1046" t="str">
        <f>名簿!CU113</f>
        <v>00</v>
      </c>
      <c r="L116" s="1046" t="str">
        <f>名簿!CU113</f>
        <v>00</v>
      </c>
      <c r="M116" s="1272">
        <f>名簿!D113</f>
        <v>0</v>
      </c>
      <c r="N116" s="1268"/>
      <c r="O116" s="295" t="str">
        <f>IF(N116="","",IF(H116=1,VLOOKUP(N116,男子種目コード!$V$23:$W$25,2,FALSE),IF(H116=2,VLOOKUP(N116,女子種目コード!$V$23:$W$25,2,FALSE))))</f>
        <v/>
      </c>
      <c r="P116" s="670" t="str">
        <f>IF(N116="","",HLOOKUP(N116,名簿!$AH$3:$CH$118,111,FALSE))</f>
        <v/>
      </c>
      <c r="Q116" s="115">
        <f t="shared" si="6"/>
        <v>0</v>
      </c>
      <c r="R116" s="116" t="s">
        <v>793</v>
      </c>
      <c r="S116" s="117" t="str">
        <f t="shared" si="7"/>
        <v>0中学</v>
      </c>
      <c r="T116" s="125"/>
      <c r="U116" s="124"/>
      <c r="V116" s="118"/>
      <c r="W116" s="126"/>
      <c r="X116" s="127"/>
      <c r="Y116" s="121"/>
      <c r="Z116" s="128"/>
      <c r="AA116" s="127"/>
      <c r="AB116" s="123"/>
      <c r="AC116" s="98">
        <v>0</v>
      </c>
      <c r="AG116" s="40" t="str">
        <f t="shared" si="8"/>
        <v/>
      </c>
      <c r="AH116" s="415"/>
      <c r="AI116" s="415"/>
      <c r="AJ116" s="404"/>
      <c r="AK116" s="1149"/>
      <c r="AL116" s="1149"/>
      <c r="AM116" s="1149"/>
      <c r="AN116" s="1149"/>
      <c r="AO116" s="1149"/>
      <c r="AP116" s="1149"/>
      <c r="AQ116" s="1149"/>
      <c r="AR116" s="1149"/>
      <c r="AS116" s="1149"/>
      <c r="AT116" s="1149"/>
    </row>
    <row r="117" spans="2:46">
      <c r="B117" s="404"/>
      <c r="C117" s="404"/>
      <c r="D117" s="404"/>
      <c r="E117" s="404"/>
      <c r="F117" s="404"/>
      <c r="G117" s="404"/>
      <c r="H117" s="404"/>
      <c r="I117" s="404"/>
      <c r="J117" s="414"/>
      <c r="K117" s="414"/>
      <c r="L117" s="414"/>
      <c r="M117" s="404"/>
      <c r="N117" s="409"/>
      <c r="O117" s="426"/>
      <c r="P117" s="411"/>
      <c r="Q117" s="409"/>
      <c r="R117" s="410"/>
      <c r="S117" s="411"/>
      <c r="T117" s="409"/>
      <c r="U117" s="410"/>
      <c r="V117" s="411"/>
      <c r="W117" s="412"/>
      <c r="X117" s="404"/>
      <c r="Y117" s="413"/>
      <c r="Z117" s="412"/>
      <c r="AA117" s="404"/>
      <c r="AB117" s="413"/>
      <c r="AC117" s="414"/>
      <c r="AD117" s="414"/>
      <c r="AE117" s="404"/>
      <c r="AF117" s="404"/>
      <c r="AG117" s="404">
        <f>SUM(AG7:AG116)</f>
        <v>0</v>
      </c>
      <c r="AH117" s="415"/>
      <c r="AI117" s="415"/>
      <c r="AJ117" s="404"/>
      <c r="AK117" s="1149"/>
      <c r="AL117" s="1149"/>
      <c r="AM117" s="1149"/>
      <c r="AN117" s="1149"/>
      <c r="AO117" s="1149"/>
      <c r="AP117" s="1149"/>
      <c r="AQ117" s="1149"/>
      <c r="AR117" s="1149"/>
      <c r="AS117" s="1149"/>
      <c r="AT117" s="1149"/>
    </row>
    <row r="118" spans="2:46">
      <c r="B118" s="404"/>
      <c r="C118" s="404"/>
      <c r="D118" s="404"/>
      <c r="E118" s="404"/>
      <c r="F118" s="404"/>
      <c r="G118" s="404"/>
      <c r="H118" s="404"/>
      <c r="I118" s="404"/>
      <c r="J118" s="414"/>
      <c r="K118" s="414"/>
      <c r="L118" s="414"/>
      <c r="M118" s="404"/>
      <c r="N118" s="409"/>
      <c r="O118" s="426"/>
      <c r="P118" s="411"/>
      <c r="Q118" s="409"/>
      <c r="R118" s="410"/>
      <c r="S118" s="411"/>
      <c r="T118" s="409"/>
      <c r="U118" s="410"/>
      <c r="V118" s="411"/>
      <c r="W118" s="412"/>
      <c r="X118" s="404"/>
      <c r="Y118" s="413"/>
      <c r="Z118" s="412"/>
      <c r="AA118" s="404"/>
      <c r="AB118" s="413"/>
      <c r="AC118" s="414"/>
      <c r="AD118" s="414"/>
      <c r="AE118" s="404"/>
      <c r="AF118" s="404"/>
      <c r="AG118" s="404"/>
      <c r="AH118" s="415"/>
      <c r="AI118" s="415"/>
      <c r="AJ118" s="404"/>
      <c r="AK118" s="1149"/>
      <c r="AL118" s="1149"/>
      <c r="AM118" s="1149"/>
      <c r="AN118" s="1149"/>
      <c r="AO118" s="1149"/>
      <c r="AP118" s="1149"/>
      <c r="AQ118" s="1149"/>
      <c r="AR118" s="1149"/>
      <c r="AS118" s="1149"/>
      <c r="AT118" s="1149"/>
    </row>
    <row r="119" spans="2:46">
      <c r="B119" s="404"/>
      <c r="C119" s="404"/>
      <c r="D119" s="404"/>
      <c r="E119" s="404"/>
      <c r="F119" s="404"/>
      <c r="G119" s="404"/>
      <c r="H119" s="404"/>
      <c r="I119" s="404"/>
      <c r="J119" s="414"/>
      <c r="K119" s="414"/>
      <c r="L119" s="414"/>
      <c r="M119" s="404"/>
      <c r="N119" s="409"/>
      <c r="O119" s="426"/>
      <c r="P119" s="411"/>
      <c r="Q119" s="409"/>
      <c r="R119" s="410"/>
      <c r="S119" s="411"/>
      <c r="T119" s="409"/>
      <c r="U119" s="410"/>
      <c r="V119" s="411"/>
      <c r="W119" s="412"/>
      <c r="X119" s="404"/>
      <c r="Y119" s="413"/>
      <c r="Z119" s="412"/>
      <c r="AA119" s="404"/>
      <c r="AB119" s="413"/>
      <c r="AC119" s="414"/>
      <c r="AD119" s="414"/>
      <c r="AE119" s="404"/>
      <c r="AF119" s="404"/>
      <c r="AG119" s="404"/>
      <c r="AH119" s="415"/>
      <c r="AI119" s="415"/>
      <c r="AJ119" s="404"/>
      <c r="AK119" s="1149"/>
      <c r="AL119" s="1149"/>
      <c r="AM119" s="1149"/>
      <c r="AN119" s="1149"/>
      <c r="AO119" s="1149"/>
      <c r="AP119" s="1149"/>
      <c r="AQ119" s="1149"/>
      <c r="AR119" s="1149"/>
      <c r="AS119" s="1149"/>
      <c r="AT119" s="1149"/>
    </row>
    <row r="120" spans="2:46">
      <c r="B120" s="404"/>
      <c r="C120" s="404"/>
      <c r="D120" s="404"/>
      <c r="E120" s="404"/>
      <c r="F120" s="404"/>
      <c r="G120" s="404"/>
      <c r="H120" s="404"/>
      <c r="I120" s="404"/>
      <c r="J120" s="414"/>
      <c r="K120" s="414"/>
      <c r="L120" s="414"/>
      <c r="M120" s="404"/>
      <c r="N120" s="409"/>
      <c r="O120" s="426"/>
      <c r="P120" s="411"/>
      <c r="Q120" s="409"/>
      <c r="R120" s="410"/>
      <c r="S120" s="411"/>
      <c r="T120" s="409"/>
      <c r="U120" s="410"/>
      <c r="V120" s="411"/>
      <c r="W120" s="412"/>
      <c r="X120" s="404"/>
      <c r="Y120" s="413"/>
      <c r="Z120" s="412"/>
      <c r="AA120" s="404"/>
      <c r="AB120" s="413"/>
      <c r="AC120" s="414"/>
      <c r="AD120" s="414"/>
      <c r="AE120" s="404"/>
      <c r="AF120" s="404"/>
      <c r="AG120" s="404"/>
      <c r="AH120" s="415"/>
      <c r="AI120" s="415"/>
      <c r="AJ120" s="404"/>
      <c r="AK120" s="1149"/>
      <c r="AL120" s="1149"/>
      <c r="AM120" s="1149"/>
      <c r="AN120" s="1149"/>
      <c r="AO120" s="1149"/>
      <c r="AP120" s="1149"/>
      <c r="AQ120" s="1149"/>
      <c r="AR120" s="1149"/>
      <c r="AS120" s="1149"/>
      <c r="AT120" s="1149"/>
    </row>
    <row r="121" spans="2:46">
      <c r="B121" s="404"/>
      <c r="C121" s="404"/>
      <c r="D121" s="404"/>
      <c r="E121" s="404"/>
      <c r="F121" s="404"/>
      <c r="G121" s="404"/>
      <c r="H121" s="404"/>
      <c r="I121" s="404"/>
      <c r="J121" s="414"/>
      <c r="K121" s="414"/>
      <c r="L121" s="414"/>
      <c r="M121" s="404"/>
      <c r="N121" s="409"/>
      <c r="O121" s="426"/>
      <c r="P121" s="411"/>
      <c r="Q121" s="409"/>
      <c r="R121" s="410"/>
      <c r="S121" s="411"/>
      <c r="T121" s="409"/>
      <c r="U121" s="410"/>
      <c r="V121" s="411"/>
      <c r="W121" s="412"/>
      <c r="X121" s="404"/>
      <c r="Y121" s="413"/>
      <c r="Z121" s="412"/>
      <c r="AA121" s="404"/>
      <c r="AB121" s="413"/>
      <c r="AC121" s="414"/>
      <c r="AD121" s="414"/>
      <c r="AE121" s="404"/>
      <c r="AF121" s="404"/>
      <c r="AG121" s="404"/>
      <c r="AH121" s="415"/>
      <c r="AI121" s="415"/>
      <c r="AJ121" s="404"/>
      <c r="AK121" s="1149"/>
      <c r="AL121" s="1149"/>
      <c r="AM121" s="1149"/>
      <c r="AN121" s="1149"/>
      <c r="AO121" s="1149"/>
      <c r="AP121" s="1149"/>
      <c r="AQ121" s="1149"/>
      <c r="AR121" s="1149"/>
      <c r="AS121" s="1149"/>
      <c r="AT121" s="1149"/>
    </row>
    <row r="122" spans="2:46">
      <c r="B122" s="404"/>
      <c r="C122" s="404"/>
      <c r="D122" s="404"/>
      <c r="E122" s="404"/>
      <c r="F122" s="404"/>
      <c r="G122" s="404"/>
      <c r="H122" s="404"/>
      <c r="I122" s="404"/>
      <c r="J122" s="414"/>
      <c r="K122" s="414"/>
      <c r="L122" s="414"/>
      <c r="M122" s="404"/>
      <c r="N122" s="409"/>
      <c r="O122" s="426"/>
      <c r="P122" s="411"/>
      <c r="Q122" s="409"/>
      <c r="R122" s="410"/>
      <c r="S122" s="411"/>
      <c r="T122" s="409"/>
      <c r="U122" s="410"/>
      <c r="V122" s="411"/>
      <c r="W122" s="412"/>
      <c r="X122" s="404"/>
      <c r="Y122" s="413"/>
      <c r="Z122" s="412"/>
      <c r="AA122" s="404"/>
      <c r="AB122" s="413"/>
      <c r="AC122" s="414"/>
      <c r="AD122" s="414"/>
      <c r="AE122" s="404"/>
      <c r="AF122" s="404"/>
      <c r="AG122" s="404"/>
      <c r="AH122" s="415"/>
      <c r="AI122" s="415"/>
      <c r="AJ122" s="404"/>
      <c r="AK122" s="1149"/>
      <c r="AL122" s="1149"/>
      <c r="AM122" s="1149"/>
      <c r="AN122" s="1149"/>
      <c r="AO122" s="1149"/>
      <c r="AP122" s="1149"/>
      <c r="AQ122" s="1149"/>
      <c r="AR122" s="1149"/>
      <c r="AS122" s="1149"/>
      <c r="AT122" s="1149"/>
    </row>
    <row r="123" spans="2:46">
      <c r="B123" s="404"/>
      <c r="C123" s="404"/>
      <c r="D123" s="404"/>
      <c r="E123" s="404"/>
      <c r="F123" s="404"/>
      <c r="G123" s="404"/>
      <c r="H123" s="404"/>
      <c r="I123" s="404"/>
      <c r="J123" s="414"/>
      <c r="K123" s="414"/>
      <c r="L123" s="414"/>
      <c r="M123" s="404"/>
      <c r="N123" s="409"/>
      <c r="O123" s="426"/>
      <c r="P123" s="411"/>
      <c r="Q123" s="409"/>
      <c r="R123" s="410"/>
      <c r="S123" s="411"/>
      <c r="T123" s="409"/>
      <c r="U123" s="410"/>
      <c r="V123" s="411"/>
      <c r="W123" s="412"/>
      <c r="X123" s="404"/>
      <c r="Y123" s="413"/>
      <c r="Z123" s="412"/>
      <c r="AA123" s="404"/>
      <c r="AB123" s="413"/>
      <c r="AC123" s="414"/>
      <c r="AD123" s="414"/>
      <c r="AE123" s="404"/>
      <c r="AF123" s="404"/>
      <c r="AG123" s="404"/>
      <c r="AH123" s="415"/>
      <c r="AI123" s="415"/>
      <c r="AJ123" s="404"/>
      <c r="AK123" s="1149"/>
      <c r="AL123" s="1149"/>
      <c r="AM123" s="1149"/>
      <c r="AN123" s="1149"/>
      <c r="AO123" s="1149"/>
      <c r="AP123" s="1149"/>
      <c r="AQ123" s="1149"/>
      <c r="AR123" s="1149"/>
      <c r="AS123" s="1149"/>
      <c r="AT123" s="1149"/>
    </row>
    <row r="124" spans="2:46">
      <c r="B124" s="404"/>
      <c r="C124" s="404"/>
      <c r="D124" s="404"/>
      <c r="E124" s="404"/>
      <c r="F124" s="404"/>
      <c r="G124" s="404"/>
      <c r="H124" s="404"/>
      <c r="I124" s="404"/>
      <c r="J124" s="414"/>
      <c r="K124" s="414"/>
      <c r="L124" s="414"/>
      <c r="M124" s="404"/>
      <c r="N124" s="409"/>
      <c r="O124" s="426"/>
      <c r="P124" s="411"/>
      <c r="Q124" s="409"/>
      <c r="R124" s="410"/>
      <c r="S124" s="411"/>
      <c r="T124" s="409"/>
      <c r="U124" s="410"/>
      <c r="V124" s="411"/>
      <c r="W124" s="412"/>
      <c r="X124" s="404"/>
      <c r="Y124" s="413"/>
      <c r="Z124" s="412"/>
      <c r="AA124" s="404"/>
      <c r="AB124" s="413"/>
      <c r="AC124" s="414"/>
      <c r="AD124" s="414"/>
      <c r="AE124" s="404"/>
      <c r="AF124" s="404"/>
      <c r="AG124" s="404"/>
      <c r="AH124" s="415"/>
      <c r="AI124" s="415"/>
      <c r="AJ124" s="404"/>
      <c r="AK124" s="1149"/>
      <c r="AL124" s="1149"/>
      <c r="AM124" s="1149"/>
      <c r="AN124" s="1149"/>
      <c r="AO124" s="1149"/>
      <c r="AP124" s="1149"/>
      <c r="AQ124" s="1149"/>
      <c r="AR124" s="1149"/>
      <c r="AS124" s="1149"/>
      <c r="AT124" s="1149"/>
    </row>
    <row r="125" spans="2:46">
      <c r="B125" s="404"/>
      <c r="C125" s="404"/>
      <c r="D125" s="404"/>
      <c r="E125" s="404"/>
      <c r="F125" s="404"/>
      <c r="G125" s="404"/>
      <c r="H125" s="404"/>
      <c r="I125" s="404"/>
      <c r="J125" s="414"/>
      <c r="K125" s="414"/>
      <c r="L125" s="414"/>
      <c r="M125" s="404"/>
      <c r="N125" s="409"/>
      <c r="O125" s="426"/>
      <c r="P125" s="411"/>
      <c r="Q125" s="409"/>
      <c r="R125" s="410"/>
      <c r="S125" s="411"/>
      <c r="T125" s="409"/>
      <c r="U125" s="410"/>
      <c r="V125" s="411"/>
      <c r="W125" s="412"/>
      <c r="X125" s="404"/>
      <c r="Y125" s="413"/>
      <c r="Z125" s="412"/>
      <c r="AA125" s="404"/>
      <c r="AB125" s="413"/>
      <c r="AC125" s="414"/>
      <c r="AD125" s="414"/>
      <c r="AE125" s="404"/>
      <c r="AF125" s="404"/>
      <c r="AG125" s="404"/>
      <c r="AH125" s="415"/>
      <c r="AI125" s="415"/>
      <c r="AJ125" s="404"/>
      <c r="AK125" s="1149"/>
      <c r="AL125" s="1149"/>
      <c r="AM125" s="1149"/>
      <c r="AN125" s="1149"/>
      <c r="AO125" s="1149"/>
      <c r="AP125" s="1149"/>
      <c r="AQ125" s="1149"/>
      <c r="AR125" s="1149"/>
      <c r="AS125" s="1149"/>
      <c r="AT125" s="1149"/>
    </row>
    <row r="126" spans="2:46">
      <c r="B126" s="404"/>
      <c r="C126" s="404"/>
      <c r="D126" s="404"/>
      <c r="E126" s="404"/>
      <c r="F126" s="404"/>
      <c r="G126" s="404"/>
      <c r="H126" s="404"/>
      <c r="I126" s="404"/>
      <c r="J126" s="414"/>
      <c r="K126" s="414"/>
      <c r="L126" s="414"/>
      <c r="M126" s="404"/>
      <c r="N126" s="409"/>
      <c r="O126" s="426"/>
      <c r="P126" s="411"/>
      <c r="Q126" s="409"/>
      <c r="R126" s="410"/>
      <c r="S126" s="411"/>
      <c r="T126" s="409"/>
      <c r="U126" s="410"/>
      <c r="V126" s="411"/>
      <c r="W126" s="412"/>
      <c r="X126" s="404"/>
      <c r="Y126" s="413"/>
      <c r="Z126" s="412"/>
      <c r="AA126" s="404"/>
      <c r="AB126" s="413"/>
      <c r="AC126" s="414"/>
      <c r="AD126" s="414"/>
      <c r="AE126" s="404"/>
      <c r="AF126" s="404"/>
      <c r="AG126" s="404"/>
      <c r="AH126" s="415"/>
      <c r="AI126" s="415"/>
      <c r="AJ126" s="404"/>
      <c r="AK126" s="1149"/>
      <c r="AL126" s="1149"/>
      <c r="AM126" s="1149"/>
      <c r="AN126" s="1149"/>
      <c r="AO126" s="1149"/>
      <c r="AP126" s="1149"/>
      <c r="AQ126" s="1149"/>
      <c r="AR126" s="1149"/>
      <c r="AS126" s="1149"/>
      <c r="AT126" s="1149"/>
    </row>
  </sheetData>
  <sheetProtection password="83D4" sheet="1" objects="1" scenarios="1"/>
  <mergeCells count="2">
    <mergeCell ref="AH6:AI6"/>
    <mergeCell ref="E2:Q2"/>
  </mergeCells>
  <phoneticPr fontId="5"/>
  <conditionalFormatting sqref="C7:C116">
    <cfRule type="expression" dxfId="116" priority="1" stopIfTrue="1">
      <formula>H7=2</formula>
    </cfRule>
  </conditionalFormatting>
  <conditionalFormatting sqref="E7:E116">
    <cfRule type="expression" dxfId="115" priority="2" stopIfTrue="1">
      <formula>H7=2</formula>
    </cfRule>
  </conditionalFormatting>
  <conditionalFormatting sqref="H7:H116">
    <cfRule type="cellIs" dxfId="114" priority="3" stopIfTrue="1" operator="equal">
      <formula>2</formula>
    </cfRule>
  </conditionalFormatting>
  <conditionalFormatting sqref="N7:N116">
    <cfRule type="expression" dxfId="113" priority="4" stopIfTrue="1">
      <formula>ISNA(O7)</formula>
    </cfRule>
    <cfRule type="expression" dxfId="112" priority="5" stopIfTrue="1">
      <formula>H7=""</formula>
    </cfRule>
  </conditionalFormatting>
  <conditionalFormatting sqref="P7">
    <cfRule type="expression" dxfId="111" priority="6" stopIfTrue="1">
      <formula>$H$7=""</formula>
    </cfRule>
  </conditionalFormatting>
  <conditionalFormatting sqref="P8">
    <cfRule type="expression" dxfId="110" priority="7" stopIfTrue="1">
      <formula>$H$8=""</formula>
    </cfRule>
  </conditionalFormatting>
  <conditionalFormatting sqref="P9">
    <cfRule type="expression" dxfId="109" priority="8" stopIfTrue="1">
      <formula>$H$9=""</formula>
    </cfRule>
  </conditionalFormatting>
  <conditionalFormatting sqref="P10">
    <cfRule type="expression" dxfId="108" priority="9" stopIfTrue="1">
      <formula>$H$10=""</formula>
    </cfRule>
  </conditionalFormatting>
  <conditionalFormatting sqref="P11">
    <cfRule type="expression" dxfId="107" priority="10" stopIfTrue="1">
      <formula>$H$11=""</formula>
    </cfRule>
  </conditionalFormatting>
  <conditionalFormatting sqref="P12">
    <cfRule type="expression" dxfId="106" priority="11" stopIfTrue="1">
      <formula>$H$12=""</formula>
    </cfRule>
  </conditionalFormatting>
  <conditionalFormatting sqref="P13">
    <cfRule type="expression" dxfId="105" priority="12" stopIfTrue="1">
      <formula>$H$13=""</formula>
    </cfRule>
  </conditionalFormatting>
  <conditionalFormatting sqref="P14">
    <cfRule type="expression" dxfId="104" priority="13" stopIfTrue="1">
      <formula>$H$14=""</formula>
    </cfRule>
  </conditionalFormatting>
  <conditionalFormatting sqref="P15">
    <cfRule type="expression" dxfId="103" priority="14" stopIfTrue="1">
      <formula>$H$15=""</formula>
    </cfRule>
  </conditionalFormatting>
  <conditionalFormatting sqref="P16">
    <cfRule type="expression" dxfId="102" priority="15" stopIfTrue="1">
      <formula>$H$16=""</formula>
    </cfRule>
  </conditionalFormatting>
  <conditionalFormatting sqref="P17">
    <cfRule type="expression" dxfId="101" priority="16" stopIfTrue="1">
      <formula>$H$17=""</formula>
    </cfRule>
  </conditionalFormatting>
  <conditionalFormatting sqref="P18">
    <cfRule type="expression" dxfId="100" priority="17" stopIfTrue="1">
      <formula>$H$18=""</formula>
    </cfRule>
  </conditionalFormatting>
  <conditionalFormatting sqref="P19">
    <cfRule type="expression" dxfId="99" priority="18" stopIfTrue="1">
      <formula>$H$19=""</formula>
    </cfRule>
  </conditionalFormatting>
  <conditionalFormatting sqref="P20">
    <cfRule type="expression" dxfId="98" priority="19" stopIfTrue="1">
      <formula>$H$20=""</formula>
    </cfRule>
  </conditionalFormatting>
  <conditionalFormatting sqref="P21">
    <cfRule type="expression" dxfId="97" priority="20" stopIfTrue="1">
      <formula>$H$21=""</formula>
    </cfRule>
  </conditionalFormatting>
  <conditionalFormatting sqref="P22">
    <cfRule type="expression" dxfId="96" priority="21" stopIfTrue="1">
      <formula>$H$22=""</formula>
    </cfRule>
  </conditionalFormatting>
  <conditionalFormatting sqref="P23">
    <cfRule type="expression" dxfId="95" priority="22" stopIfTrue="1">
      <formula>$H$23=""</formula>
    </cfRule>
  </conditionalFormatting>
  <conditionalFormatting sqref="P24">
    <cfRule type="expression" dxfId="94" priority="23" stopIfTrue="1">
      <formula>$H$24=""</formula>
    </cfRule>
  </conditionalFormatting>
  <conditionalFormatting sqref="P25">
    <cfRule type="expression" dxfId="93" priority="24" stopIfTrue="1">
      <formula>$H$25=""</formula>
    </cfRule>
  </conditionalFormatting>
  <conditionalFormatting sqref="P26">
    <cfRule type="expression" dxfId="92" priority="25" stopIfTrue="1">
      <formula>$H$26=""</formula>
    </cfRule>
  </conditionalFormatting>
  <conditionalFormatting sqref="P27">
    <cfRule type="expression" dxfId="91" priority="26" stopIfTrue="1">
      <formula>$H$27=""</formula>
    </cfRule>
  </conditionalFormatting>
  <conditionalFormatting sqref="P28">
    <cfRule type="expression" dxfId="90" priority="27" stopIfTrue="1">
      <formula>$H$28=""</formula>
    </cfRule>
  </conditionalFormatting>
  <conditionalFormatting sqref="P29">
    <cfRule type="expression" dxfId="89" priority="28" stopIfTrue="1">
      <formula>$H$29=""</formula>
    </cfRule>
  </conditionalFormatting>
  <conditionalFormatting sqref="P30">
    <cfRule type="expression" dxfId="88" priority="29" stopIfTrue="1">
      <formula>$H$30=""</formula>
    </cfRule>
  </conditionalFormatting>
  <conditionalFormatting sqref="P31">
    <cfRule type="expression" dxfId="87" priority="30" stopIfTrue="1">
      <formula>$H$31=""</formula>
    </cfRule>
  </conditionalFormatting>
  <conditionalFormatting sqref="P32">
    <cfRule type="expression" dxfId="86" priority="31" stopIfTrue="1">
      <formula>$H$32=""</formula>
    </cfRule>
  </conditionalFormatting>
  <conditionalFormatting sqref="P33">
    <cfRule type="expression" dxfId="85" priority="32" stopIfTrue="1">
      <formula>$H$33=""</formula>
    </cfRule>
  </conditionalFormatting>
  <conditionalFormatting sqref="P34">
    <cfRule type="expression" dxfId="84" priority="33" stopIfTrue="1">
      <formula>$H$34=""</formula>
    </cfRule>
  </conditionalFormatting>
  <conditionalFormatting sqref="P35">
    <cfRule type="expression" dxfId="83" priority="34" stopIfTrue="1">
      <formula>$H$35=""</formula>
    </cfRule>
  </conditionalFormatting>
  <conditionalFormatting sqref="P36">
    <cfRule type="expression" dxfId="82" priority="35" stopIfTrue="1">
      <formula>$H$36=""</formula>
    </cfRule>
  </conditionalFormatting>
  <conditionalFormatting sqref="P47">
    <cfRule type="expression" dxfId="81" priority="36" stopIfTrue="1">
      <formula>$H$47=""</formula>
    </cfRule>
  </conditionalFormatting>
  <conditionalFormatting sqref="P48">
    <cfRule type="expression" dxfId="80" priority="37" stopIfTrue="1">
      <formula>$H$48=""</formula>
    </cfRule>
  </conditionalFormatting>
  <conditionalFormatting sqref="P49">
    <cfRule type="expression" dxfId="79" priority="38" stopIfTrue="1">
      <formula>$H$49=""</formula>
    </cfRule>
  </conditionalFormatting>
  <conditionalFormatting sqref="P50">
    <cfRule type="expression" dxfId="78" priority="39" stopIfTrue="1">
      <formula>$H$50=""</formula>
    </cfRule>
  </conditionalFormatting>
  <conditionalFormatting sqref="P51">
    <cfRule type="expression" dxfId="77" priority="40" stopIfTrue="1">
      <formula>$H$51=""</formula>
    </cfRule>
  </conditionalFormatting>
  <conditionalFormatting sqref="P52">
    <cfRule type="expression" dxfId="76" priority="41" stopIfTrue="1">
      <formula>$H$52=""</formula>
    </cfRule>
  </conditionalFormatting>
  <conditionalFormatting sqref="P53">
    <cfRule type="expression" dxfId="75" priority="42" stopIfTrue="1">
      <formula>$H$53=""</formula>
    </cfRule>
  </conditionalFormatting>
  <conditionalFormatting sqref="P54">
    <cfRule type="expression" dxfId="74" priority="43" stopIfTrue="1">
      <formula>$H$54=""</formula>
    </cfRule>
  </conditionalFormatting>
  <conditionalFormatting sqref="P55">
    <cfRule type="expression" dxfId="73" priority="44" stopIfTrue="1">
      <formula>$H$55=""</formula>
    </cfRule>
  </conditionalFormatting>
  <conditionalFormatting sqref="P56">
    <cfRule type="expression" dxfId="72" priority="45" stopIfTrue="1">
      <formula>$H$56=""</formula>
    </cfRule>
  </conditionalFormatting>
  <conditionalFormatting sqref="P57">
    <cfRule type="expression" dxfId="71" priority="46" stopIfTrue="1">
      <formula>$H$57=""</formula>
    </cfRule>
  </conditionalFormatting>
  <conditionalFormatting sqref="P58">
    <cfRule type="expression" dxfId="70" priority="47" stopIfTrue="1">
      <formula>$H$58=""</formula>
    </cfRule>
  </conditionalFormatting>
  <conditionalFormatting sqref="P59">
    <cfRule type="expression" dxfId="69" priority="48" stopIfTrue="1">
      <formula>$H$59=""</formula>
    </cfRule>
  </conditionalFormatting>
  <conditionalFormatting sqref="P60">
    <cfRule type="expression" dxfId="68" priority="49" stopIfTrue="1">
      <formula>$H$60=""</formula>
    </cfRule>
  </conditionalFormatting>
  <conditionalFormatting sqref="P61">
    <cfRule type="expression" dxfId="67" priority="50" stopIfTrue="1">
      <formula>$H$61=""</formula>
    </cfRule>
  </conditionalFormatting>
  <conditionalFormatting sqref="P62">
    <cfRule type="expression" dxfId="66" priority="51" stopIfTrue="1">
      <formula>$H$62=""</formula>
    </cfRule>
  </conditionalFormatting>
  <conditionalFormatting sqref="P63">
    <cfRule type="expression" dxfId="65" priority="52" stopIfTrue="1">
      <formula>$H$63=""</formula>
    </cfRule>
  </conditionalFormatting>
  <conditionalFormatting sqref="P64">
    <cfRule type="expression" dxfId="64" priority="53" stopIfTrue="1">
      <formula>$H$64=""</formula>
    </cfRule>
  </conditionalFormatting>
  <conditionalFormatting sqref="P65">
    <cfRule type="expression" dxfId="63" priority="54" stopIfTrue="1">
      <formula>$H$65=""</formula>
    </cfRule>
  </conditionalFormatting>
  <conditionalFormatting sqref="P66">
    <cfRule type="expression" dxfId="62" priority="55" stopIfTrue="1">
      <formula>$H$66=""</formula>
    </cfRule>
  </conditionalFormatting>
  <conditionalFormatting sqref="P67">
    <cfRule type="expression" dxfId="61" priority="56" stopIfTrue="1">
      <formula>$H$67=""</formula>
    </cfRule>
  </conditionalFormatting>
  <conditionalFormatting sqref="P68">
    <cfRule type="expression" dxfId="60" priority="57" stopIfTrue="1">
      <formula>$H$68=""</formula>
    </cfRule>
  </conditionalFormatting>
  <conditionalFormatting sqref="P69">
    <cfRule type="expression" dxfId="59" priority="58" stopIfTrue="1">
      <formula>$H$69=""</formula>
    </cfRule>
  </conditionalFormatting>
  <conditionalFormatting sqref="P71">
    <cfRule type="expression" dxfId="58" priority="59" stopIfTrue="1">
      <formula>$H$71=""</formula>
    </cfRule>
  </conditionalFormatting>
  <conditionalFormatting sqref="P72">
    <cfRule type="expression" dxfId="57" priority="60" stopIfTrue="1">
      <formula>$H$72=""</formula>
    </cfRule>
  </conditionalFormatting>
  <conditionalFormatting sqref="P73">
    <cfRule type="expression" dxfId="56" priority="61" stopIfTrue="1">
      <formula>$H$73=""</formula>
    </cfRule>
  </conditionalFormatting>
  <conditionalFormatting sqref="P74">
    <cfRule type="expression" dxfId="55" priority="62" stopIfTrue="1">
      <formula>$H$74=""</formula>
    </cfRule>
  </conditionalFormatting>
  <conditionalFormatting sqref="P75">
    <cfRule type="expression" dxfId="54" priority="63" stopIfTrue="1">
      <formula>$H$75=""</formula>
    </cfRule>
  </conditionalFormatting>
  <conditionalFormatting sqref="P76">
    <cfRule type="expression" dxfId="53" priority="64" stopIfTrue="1">
      <formula>$H$76=""</formula>
    </cfRule>
  </conditionalFormatting>
  <conditionalFormatting sqref="P77">
    <cfRule type="expression" dxfId="52" priority="65" stopIfTrue="1">
      <formula>$H$77=""</formula>
    </cfRule>
  </conditionalFormatting>
  <conditionalFormatting sqref="P78">
    <cfRule type="expression" dxfId="51" priority="66" stopIfTrue="1">
      <formula>$H$78=""</formula>
    </cfRule>
  </conditionalFormatting>
  <conditionalFormatting sqref="P79">
    <cfRule type="expression" dxfId="50" priority="67" stopIfTrue="1">
      <formula>$H$79=""</formula>
    </cfRule>
  </conditionalFormatting>
  <conditionalFormatting sqref="P80">
    <cfRule type="expression" dxfId="49" priority="68" stopIfTrue="1">
      <formula>$H$80=""</formula>
    </cfRule>
  </conditionalFormatting>
  <conditionalFormatting sqref="P81">
    <cfRule type="expression" dxfId="48" priority="69" stopIfTrue="1">
      <formula>$H$81=""</formula>
    </cfRule>
  </conditionalFormatting>
  <conditionalFormatting sqref="P82">
    <cfRule type="expression" dxfId="47" priority="70" stopIfTrue="1">
      <formula>$H$82=""</formula>
    </cfRule>
  </conditionalFormatting>
  <conditionalFormatting sqref="P83">
    <cfRule type="expression" dxfId="46" priority="71" stopIfTrue="1">
      <formula>$H$83=""</formula>
    </cfRule>
  </conditionalFormatting>
  <conditionalFormatting sqref="P84">
    <cfRule type="expression" dxfId="45" priority="72" stopIfTrue="1">
      <formula>$H$84=""</formula>
    </cfRule>
  </conditionalFormatting>
  <conditionalFormatting sqref="P85">
    <cfRule type="expression" dxfId="44" priority="73" stopIfTrue="1">
      <formula>$H$85=""</formula>
    </cfRule>
  </conditionalFormatting>
  <conditionalFormatting sqref="P86">
    <cfRule type="expression" dxfId="43" priority="74" stopIfTrue="1">
      <formula>$H$86=""</formula>
    </cfRule>
  </conditionalFormatting>
  <conditionalFormatting sqref="P87">
    <cfRule type="expression" dxfId="42" priority="75" stopIfTrue="1">
      <formula>$H$87=""</formula>
    </cfRule>
  </conditionalFormatting>
  <conditionalFormatting sqref="P88">
    <cfRule type="expression" dxfId="41" priority="76" stopIfTrue="1">
      <formula>$H$88=""</formula>
    </cfRule>
  </conditionalFormatting>
  <conditionalFormatting sqref="P89">
    <cfRule type="expression" dxfId="40" priority="77" stopIfTrue="1">
      <formula>$H$89=""</formula>
    </cfRule>
  </conditionalFormatting>
  <conditionalFormatting sqref="P90">
    <cfRule type="expression" dxfId="39" priority="78" stopIfTrue="1">
      <formula>$H$90=""</formula>
    </cfRule>
  </conditionalFormatting>
  <conditionalFormatting sqref="P91">
    <cfRule type="expression" dxfId="38" priority="79" stopIfTrue="1">
      <formula>$H$91=""</formula>
    </cfRule>
  </conditionalFormatting>
  <conditionalFormatting sqref="P92">
    <cfRule type="expression" dxfId="37" priority="80" stopIfTrue="1">
      <formula>$H$92=""</formula>
    </cfRule>
  </conditionalFormatting>
  <conditionalFormatting sqref="P93">
    <cfRule type="expression" dxfId="36" priority="81" stopIfTrue="1">
      <formula>$H$93=""</formula>
    </cfRule>
  </conditionalFormatting>
  <conditionalFormatting sqref="P94">
    <cfRule type="expression" dxfId="35" priority="82" stopIfTrue="1">
      <formula>$H$94=""</formula>
    </cfRule>
  </conditionalFormatting>
  <conditionalFormatting sqref="P95">
    <cfRule type="expression" dxfId="34" priority="83" stopIfTrue="1">
      <formula>$H$95=""</formula>
    </cfRule>
  </conditionalFormatting>
  <conditionalFormatting sqref="P96">
    <cfRule type="expression" dxfId="33" priority="84" stopIfTrue="1">
      <formula>$H$96=""</formula>
    </cfRule>
  </conditionalFormatting>
  <conditionalFormatting sqref="P97">
    <cfRule type="expression" dxfId="32" priority="85" stopIfTrue="1">
      <formula>$H$97=""</formula>
    </cfRule>
  </conditionalFormatting>
  <conditionalFormatting sqref="P98">
    <cfRule type="expression" dxfId="31" priority="86" stopIfTrue="1">
      <formula>$H$98=""</formula>
    </cfRule>
  </conditionalFormatting>
  <conditionalFormatting sqref="P99">
    <cfRule type="expression" dxfId="30" priority="87" stopIfTrue="1">
      <formula>$H$99=""</formula>
    </cfRule>
  </conditionalFormatting>
  <conditionalFormatting sqref="P100">
    <cfRule type="expression" dxfId="29" priority="88" stopIfTrue="1">
      <formula>$H$100=""</formula>
    </cfRule>
  </conditionalFormatting>
  <conditionalFormatting sqref="P101">
    <cfRule type="expression" dxfId="28" priority="89" stopIfTrue="1">
      <formula>$H$101=""</formula>
    </cfRule>
  </conditionalFormatting>
  <conditionalFormatting sqref="P102">
    <cfRule type="expression" dxfId="27" priority="90" stopIfTrue="1">
      <formula>$H$102=""</formula>
    </cfRule>
  </conditionalFormatting>
  <conditionalFormatting sqref="P103">
    <cfRule type="expression" dxfId="26" priority="91" stopIfTrue="1">
      <formula>$H$103=""</formula>
    </cfRule>
  </conditionalFormatting>
  <conditionalFormatting sqref="P104">
    <cfRule type="expression" dxfId="25" priority="92" stopIfTrue="1">
      <formula>$H$104=""</formula>
    </cfRule>
  </conditionalFormatting>
  <conditionalFormatting sqref="P105">
    <cfRule type="expression" dxfId="24" priority="93" stopIfTrue="1">
      <formula>$H$105=""</formula>
    </cfRule>
  </conditionalFormatting>
  <conditionalFormatting sqref="P106">
    <cfRule type="expression" dxfId="23" priority="94" stopIfTrue="1">
      <formula>$H$106=""</formula>
    </cfRule>
  </conditionalFormatting>
  <conditionalFormatting sqref="P107">
    <cfRule type="expression" dxfId="22" priority="95" stopIfTrue="1">
      <formula>$H$107=""</formula>
    </cfRule>
  </conditionalFormatting>
  <conditionalFormatting sqref="P108">
    <cfRule type="expression" dxfId="21" priority="96" stopIfTrue="1">
      <formula>$H$108=""</formula>
    </cfRule>
  </conditionalFormatting>
  <conditionalFormatting sqref="P109">
    <cfRule type="expression" dxfId="20" priority="97" stopIfTrue="1">
      <formula>$H$109=""</formula>
    </cfRule>
  </conditionalFormatting>
  <conditionalFormatting sqref="P110">
    <cfRule type="expression" dxfId="19" priority="98" stopIfTrue="1">
      <formula>$H$110=""</formula>
    </cfRule>
  </conditionalFormatting>
  <conditionalFormatting sqref="P111">
    <cfRule type="expression" dxfId="18" priority="99" stopIfTrue="1">
      <formula>$H$111=""</formula>
    </cfRule>
  </conditionalFormatting>
  <conditionalFormatting sqref="P112">
    <cfRule type="expression" dxfId="17" priority="100" stopIfTrue="1">
      <formula>$H$112=""</formula>
    </cfRule>
  </conditionalFormatting>
  <conditionalFormatting sqref="P113">
    <cfRule type="expression" dxfId="16" priority="101" stopIfTrue="1">
      <formula>$H$113=""</formula>
    </cfRule>
  </conditionalFormatting>
  <conditionalFormatting sqref="P114">
    <cfRule type="expression" dxfId="15" priority="102" stopIfTrue="1">
      <formula>$H$114=""</formula>
    </cfRule>
  </conditionalFormatting>
  <conditionalFormatting sqref="P115">
    <cfRule type="expression" dxfId="14" priority="103" stopIfTrue="1">
      <formula>$H$115=""</formula>
    </cfRule>
  </conditionalFormatting>
  <conditionalFormatting sqref="P116">
    <cfRule type="expression" dxfId="13" priority="104" stopIfTrue="1">
      <formula>$H$116=""</formula>
    </cfRule>
  </conditionalFormatting>
  <conditionalFormatting sqref="P37">
    <cfRule type="expression" dxfId="12" priority="105" stopIfTrue="1">
      <formula>$H$37=""</formula>
    </cfRule>
  </conditionalFormatting>
  <conditionalFormatting sqref="P38">
    <cfRule type="expression" dxfId="11" priority="106" stopIfTrue="1">
      <formula>$H$38=""</formula>
    </cfRule>
  </conditionalFormatting>
  <conditionalFormatting sqref="P39">
    <cfRule type="expression" dxfId="10" priority="107" stopIfTrue="1">
      <formula>$H$39=""</formula>
    </cfRule>
  </conditionalFormatting>
  <conditionalFormatting sqref="P40">
    <cfRule type="expression" dxfId="9" priority="108" stopIfTrue="1">
      <formula>$H$40=""</formula>
    </cfRule>
  </conditionalFormatting>
  <conditionalFormatting sqref="P41">
    <cfRule type="expression" dxfId="8" priority="109" stopIfTrue="1">
      <formula>$H$41=""</formula>
    </cfRule>
  </conditionalFormatting>
  <conditionalFormatting sqref="P42">
    <cfRule type="expression" dxfId="7" priority="110" stopIfTrue="1">
      <formula>$H$42=""</formula>
    </cfRule>
  </conditionalFormatting>
  <conditionalFormatting sqref="P43">
    <cfRule type="expression" dxfId="6" priority="111" stopIfTrue="1">
      <formula>$H$43=""</formula>
    </cfRule>
  </conditionalFormatting>
  <conditionalFormatting sqref="P44">
    <cfRule type="expression" dxfId="5" priority="112" stopIfTrue="1">
      <formula>$H$44=""</formula>
    </cfRule>
  </conditionalFormatting>
  <conditionalFormatting sqref="P45">
    <cfRule type="expression" dxfId="4" priority="113" stopIfTrue="1">
      <formula>$H$45=""</formula>
    </cfRule>
  </conditionalFormatting>
  <conditionalFormatting sqref="P46">
    <cfRule type="expression" dxfId="3" priority="114" stopIfTrue="1">
      <formula>$H$46=""</formula>
    </cfRule>
  </conditionalFormatting>
  <conditionalFormatting sqref="P70">
    <cfRule type="expression" dxfId="2" priority="115" stopIfTrue="1">
      <formula>$H$70=""</formula>
    </cfRule>
  </conditionalFormatting>
  <dataValidations count="5">
    <dataValidation imeMode="disabled" allowBlank="1" sqref="P117:P65536 P1 P3:P6"/>
    <dataValidation allowBlank="1" showInputMessage="1" showErrorMessage="1" prompt="#N/A表示は種目選択ミス" sqref="O7:O116"/>
    <dataValidation type="list" errorStyle="warning" allowBlank="1" showInputMessage="1" showErrorMessage="1" sqref="N7:N116">
      <formula1>IF(H7=1,$AF$6,IF(H7=2,$AF$7))</formula1>
    </dataValidation>
    <dataValidation imeMode="disabled" allowBlank="1" showInputMessage="1" prompt="記録は半角英数字で_x000a_例_x000a_11秒11→11.11_x000a_1分50秒00→1.50.00_x000a_15m50→15m50_x000a__x000a_" sqref="P7:P116"/>
    <dataValidation errorStyle="warning" allowBlank="1" showInputMessage="1" showErrorMessage="1" sqref="Q7:Q116"/>
  </dataValidations>
  <printOptions horizontalCentered="1"/>
  <pageMargins left="0.59055118110236227" right="0.78740157480314965" top="0.98425196850393704" bottom="0.98425196850393704" header="0.51181102362204722" footer="0.51181102362204722"/>
  <pageSetup paperSize="9" scale="92" fitToHeight="2" orientation="portrait" verticalDpi="300" r:id="rId1"/>
  <headerFooter alignWithMargins="0">
    <oddHeader>&amp;L中学生&amp;R&amp;D　&amp;T</oddHeader>
    <oddFooter>&amp;L&amp;P&amp;R三重陸上競技協会</oddFooter>
  </headerFooter>
  <legacyDrawing r:id="rId2"/>
</worksheet>
</file>

<file path=xl/worksheets/sheet16.xml><?xml version="1.0" encoding="utf-8"?>
<worksheet xmlns="http://schemas.openxmlformats.org/spreadsheetml/2006/main" xmlns:r="http://schemas.openxmlformats.org/officeDocument/2006/relationships">
  <sheetPr codeName="Sheet18" enableFormatConditionsCalculation="0">
    <tabColor indexed="33"/>
    <pageSetUpPr fitToPage="1"/>
  </sheetPr>
  <dimension ref="A1:L56"/>
  <sheetViews>
    <sheetView showGridLines="0" showZeros="0" topLeftCell="A34" workbookViewId="0">
      <selection activeCell="L46" sqref="L46"/>
    </sheetView>
  </sheetViews>
  <sheetFormatPr defaultRowHeight="13.5"/>
  <cols>
    <col min="1" max="7" width="9" style="58"/>
    <col min="8" max="8" width="7.625" style="58" customWidth="1"/>
    <col min="9" max="9" width="10.75" style="58" bestFit="1" customWidth="1"/>
    <col min="10" max="16384" width="9" style="58"/>
  </cols>
  <sheetData>
    <row r="1" spans="1:12" ht="18.75">
      <c r="A1" s="1505" t="s">
        <v>276</v>
      </c>
      <c r="B1" s="1505"/>
      <c r="C1" s="1505"/>
      <c r="D1" s="1505"/>
      <c r="E1" s="1505"/>
      <c r="F1" s="1505"/>
      <c r="G1" s="1505"/>
      <c r="H1" s="1505"/>
      <c r="I1" s="1505"/>
      <c r="J1" s="1505"/>
    </row>
    <row r="2" spans="1:12">
      <c r="A2" s="529"/>
      <c r="B2" s="529"/>
      <c r="C2" s="529"/>
      <c r="D2" s="529"/>
      <c r="E2" s="529"/>
      <c r="F2" s="530"/>
      <c r="G2" s="529"/>
      <c r="H2" s="530"/>
      <c r="I2" s="531"/>
      <c r="J2" s="531"/>
    </row>
    <row r="3" spans="1:12" ht="30" customHeight="1">
      <c r="A3" s="532" t="s">
        <v>278</v>
      </c>
      <c r="B3" s="532"/>
      <c r="C3" s="1137"/>
      <c r="D3" s="1138"/>
      <c r="E3" s="1138"/>
      <c r="F3" s="1138"/>
      <c r="G3" s="1138"/>
      <c r="H3" s="1139"/>
      <c r="I3" s="531"/>
      <c r="J3" s="531"/>
    </row>
    <row r="4" spans="1:12" ht="11.25" customHeight="1">
      <c r="A4" s="532"/>
      <c r="B4" s="532"/>
      <c r="C4" s="533"/>
      <c r="D4" s="532"/>
      <c r="E4" s="532"/>
      <c r="F4" s="532"/>
      <c r="G4" s="532"/>
      <c r="H4" s="530"/>
      <c r="I4" s="531"/>
      <c r="J4" s="531"/>
    </row>
    <row r="5" spans="1:12" ht="30" customHeight="1">
      <c r="A5" s="543" t="s">
        <v>277</v>
      </c>
      <c r="B5" s="544"/>
      <c r="C5" s="574">
        <f>IF(名簿!O4="","",名簿!O4)</f>
        <v>0</v>
      </c>
      <c r="D5" s="554"/>
      <c r="E5" s="554"/>
      <c r="F5" s="557"/>
      <c r="G5" s="557"/>
      <c r="H5" s="534"/>
      <c r="I5" s="556" t="e">
        <f>名簿!P4</f>
        <v>#N/A</v>
      </c>
      <c r="J5" s="531"/>
    </row>
    <row r="6" spans="1:12" ht="10.5" customHeight="1">
      <c r="A6" s="543"/>
      <c r="B6" s="544"/>
      <c r="C6" s="544"/>
      <c r="D6" s="544"/>
      <c r="E6" s="544"/>
      <c r="F6" s="544"/>
      <c r="G6" s="544"/>
      <c r="H6" s="534"/>
      <c r="I6" s="531"/>
      <c r="J6" s="531"/>
      <c r="K6" s="528"/>
      <c r="L6"/>
    </row>
    <row r="7" spans="1:12" ht="30" customHeight="1">
      <c r="A7" s="543" t="s">
        <v>636</v>
      </c>
      <c r="B7" s="544"/>
      <c r="C7" s="574" t="str">
        <f>IF(名簿!D1="","",名簿!D1)</f>
        <v/>
      </c>
      <c r="D7" s="554"/>
      <c r="E7" s="554"/>
      <c r="F7" s="545" t="s">
        <v>637</v>
      </c>
      <c r="G7" s="574" t="str">
        <f>IF(名簿!I1="","",名簿!I1)</f>
        <v/>
      </c>
      <c r="H7" s="554"/>
      <c r="I7" s="554"/>
      <c r="J7" s="531"/>
      <c r="K7"/>
      <c r="L7"/>
    </row>
    <row r="8" spans="1:12">
      <c r="A8" s="531"/>
      <c r="B8" s="531"/>
      <c r="C8" s="531"/>
      <c r="D8" s="531"/>
      <c r="E8" s="531"/>
      <c r="F8" s="534"/>
      <c r="G8" s="531"/>
      <c r="H8" s="534"/>
      <c r="I8" s="531"/>
      <c r="J8" s="531"/>
      <c r="K8"/>
      <c r="L8"/>
    </row>
    <row r="9" spans="1:12">
      <c r="A9" s="531"/>
      <c r="B9" s="531"/>
      <c r="C9" s="531"/>
      <c r="D9" s="531"/>
      <c r="E9" s="531"/>
      <c r="F9" s="534"/>
      <c r="G9" s="531"/>
      <c r="H9" s="534"/>
      <c r="I9" s="531"/>
      <c r="J9" s="531"/>
      <c r="K9"/>
      <c r="L9"/>
    </row>
    <row r="10" spans="1:12">
      <c r="A10" s="531"/>
      <c r="B10" s="531"/>
      <c r="C10" s="531"/>
      <c r="D10" s="531"/>
      <c r="E10" s="531"/>
      <c r="F10" s="534"/>
      <c r="G10" s="531"/>
      <c r="H10" s="534"/>
      <c r="I10" s="531"/>
      <c r="J10" s="531"/>
      <c r="K10"/>
      <c r="L10"/>
    </row>
    <row r="11" spans="1:12">
      <c r="A11" s="531"/>
      <c r="B11" s="535"/>
      <c r="C11" s="536"/>
      <c r="D11" s="536"/>
      <c r="E11" s="536"/>
      <c r="F11" s="536"/>
      <c r="G11" s="536"/>
      <c r="H11" s="536"/>
      <c r="I11" s="537"/>
      <c r="J11" s="531"/>
      <c r="K11" s="1504" t="s">
        <v>683</v>
      </c>
      <c r="L11"/>
    </row>
    <row r="12" spans="1:12">
      <c r="A12" s="531"/>
      <c r="B12" s="538"/>
      <c r="C12" s="534"/>
      <c r="D12" s="534"/>
      <c r="E12" s="534"/>
      <c r="F12" s="534"/>
      <c r="G12" s="534"/>
      <c r="H12" s="534"/>
      <c r="I12" s="539"/>
      <c r="J12" s="531"/>
      <c r="K12" s="1504"/>
      <c r="L12"/>
    </row>
    <row r="13" spans="1:12">
      <c r="A13" s="531"/>
      <c r="B13" s="538"/>
      <c r="C13" s="534"/>
      <c r="D13" s="534"/>
      <c r="E13" s="534"/>
      <c r="F13" s="534"/>
      <c r="G13" s="534"/>
      <c r="H13" s="534"/>
      <c r="I13" s="539"/>
      <c r="J13" s="531"/>
      <c r="K13" s="1504"/>
      <c r="L13"/>
    </row>
    <row r="14" spans="1:12">
      <c r="A14" s="531"/>
      <c r="B14" s="538"/>
      <c r="C14" s="534"/>
      <c r="D14" s="534"/>
      <c r="E14" s="534"/>
      <c r="F14" s="534"/>
      <c r="G14" s="534"/>
      <c r="H14" s="534"/>
      <c r="I14" s="539"/>
      <c r="J14" s="531"/>
      <c r="K14" s="1504"/>
      <c r="L14"/>
    </row>
    <row r="15" spans="1:12">
      <c r="A15" s="531"/>
      <c r="B15" s="538"/>
      <c r="C15" s="534"/>
      <c r="D15" s="534"/>
      <c r="E15" s="534"/>
      <c r="F15" s="534"/>
      <c r="G15" s="534"/>
      <c r="H15" s="534"/>
      <c r="I15" s="539"/>
      <c r="J15" s="531"/>
      <c r="K15" s="1504"/>
    </row>
    <row r="16" spans="1:12">
      <c r="A16" s="531"/>
      <c r="B16" s="538"/>
      <c r="C16" s="534"/>
      <c r="D16" s="534"/>
      <c r="E16" s="534"/>
      <c r="F16" s="534"/>
      <c r="G16" s="534"/>
      <c r="H16" s="534"/>
      <c r="I16" s="539"/>
      <c r="J16" s="531"/>
      <c r="K16" s="1504"/>
    </row>
    <row r="17" spans="1:11">
      <c r="A17" s="531"/>
      <c r="B17" s="538"/>
      <c r="C17" s="534"/>
      <c r="D17" s="534"/>
      <c r="E17" s="534"/>
      <c r="F17" s="534"/>
      <c r="G17" s="534"/>
      <c r="H17" s="534"/>
      <c r="I17" s="539"/>
      <c r="J17" s="531"/>
      <c r="K17" s="1504"/>
    </row>
    <row r="18" spans="1:11">
      <c r="A18" s="531"/>
      <c r="B18" s="538"/>
      <c r="C18" s="534"/>
      <c r="D18" s="534"/>
      <c r="E18" s="534"/>
      <c r="F18" s="534"/>
      <c r="G18" s="534"/>
      <c r="H18" s="534"/>
      <c r="I18" s="539"/>
      <c r="J18" s="531"/>
      <c r="K18" s="1504"/>
    </row>
    <row r="19" spans="1:11">
      <c r="A19" s="531"/>
      <c r="B19" s="538"/>
      <c r="C19" s="534"/>
      <c r="D19" s="534"/>
      <c r="E19" s="534"/>
      <c r="F19" s="534"/>
      <c r="G19" s="534"/>
      <c r="H19" s="534"/>
      <c r="I19" s="539"/>
      <c r="J19" s="531"/>
      <c r="K19" s="1504"/>
    </row>
    <row r="20" spans="1:11">
      <c r="A20" s="531"/>
      <c r="B20" s="538"/>
      <c r="C20" s="534"/>
      <c r="D20" s="534"/>
      <c r="E20" s="534"/>
      <c r="F20" s="534"/>
      <c r="G20" s="534"/>
      <c r="H20" s="534"/>
      <c r="I20" s="539"/>
      <c r="J20" s="531"/>
      <c r="K20" s="1504"/>
    </row>
    <row r="21" spans="1:11">
      <c r="A21" s="531"/>
      <c r="B21" s="538"/>
      <c r="C21" s="534"/>
      <c r="D21" s="534"/>
      <c r="E21" s="534"/>
      <c r="F21" s="534"/>
      <c r="G21" s="534"/>
      <c r="H21" s="534"/>
      <c r="I21" s="539"/>
      <c r="J21" s="534"/>
      <c r="K21" s="1504"/>
    </row>
    <row r="22" spans="1:11">
      <c r="A22" s="531"/>
      <c r="B22" s="538"/>
      <c r="C22" s="534"/>
      <c r="D22" s="534"/>
      <c r="E22" s="534"/>
      <c r="F22" s="534"/>
      <c r="G22" s="534"/>
      <c r="H22" s="534"/>
      <c r="I22" s="539"/>
      <c r="J22" s="534"/>
      <c r="K22" s="1504"/>
    </row>
    <row r="23" spans="1:11">
      <c r="A23" s="531"/>
      <c r="B23" s="538"/>
      <c r="C23" s="534"/>
      <c r="D23" s="534"/>
      <c r="E23" s="534"/>
      <c r="F23" s="534"/>
      <c r="G23" s="534"/>
      <c r="H23" s="534"/>
      <c r="I23" s="539"/>
      <c r="J23" s="534"/>
      <c r="K23" s="1504"/>
    </row>
    <row r="24" spans="1:11">
      <c r="A24" s="531"/>
      <c r="B24" s="538"/>
      <c r="C24" s="534"/>
      <c r="D24" s="534"/>
      <c r="E24" s="534"/>
      <c r="F24" s="534"/>
      <c r="G24" s="534"/>
      <c r="H24" s="534"/>
      <c r="I24" s="539"/>
      <c r="J24" s="534"/>
      <c r="K24" s="1504"/>
    </row>
    <row r="25" spans="1:11">
      <c r="A25" s="531"/>
      <c r="B25" s="538"/>
      <c r="C25" s="534"/>
      <c r="D25" s="534"/>
      <c r="E25" s="534"/>
      <c r="F25" s="534"/>
      <c r="G25" s="534"/>
      <c r="H25" s="534"/>
      <c r="I25" s="539"/>
      <c r="J25" s="534"/>
      <c r="K25" s="1504"/>
    </row>
    <row r="26" spans="1:11">
      <c r="A26" s="531"/>
      <c r="B26" s="538"/>
      <c r="C26" s="534"/>
      <c r="D26" s="534"/>
      <c r="E26" s="534"/>
      <c r="F26" s="534"/>
      <c r="G26" s="534"/>
      <c r="H26" s="534"/>
      <c r="I26" s="539"/>
      <c r="J26" s="534"/>
      <c r="K26" s="1504"/>
    </row>
    <row r="27" spans="1:11">
      <c r="A27" s="531"/>
      <c r="B27" s="538"/>
      <c r="C27" s="534"/>
      <c r="D27" s="534"/>
      <c r="E27" s="534"/>
      <c r="F27" s="534"/>
      <c r="G27" s="534"/>
      <c r="H27" s="534"/>
      <c r="I27" s="539"/>
      <c r="J27" s="534"/>
      <c r="K27" s="1504"/>
    </row>
    <row r="28" spans="1:11">
      <c r="A28" s="531"/>
      <c r="B28" s="538"/>
      <c r="C28" s="534"/>
      <c r="D28" s="534"/>
      <c r="E28" s="534"/>
      <c r="F28" s="534"/>
      <c r="G28" s="534"/>
      <c r="H28" s="534"/>
      <c r="I28" s="539"/>
      <c r="J28" s="534"/>
      <c r="K28" s="1504"/>
    </row>
    <row r="29" spans="1:11">
      <c r="A29" s="531"/>
      <c r="B29" s="538"/>
      <c r="C29" s="534"/>
      <c r="D29" s="534"/>
      <c r="E29" s="534"/>
      <c r="F29" s="534"/>
      <c r="G29" s="534"/>
      <c r="H29" s="534"/>
      <c r="I29" s="539"/>
      <c r="J29" s="534"/>
      <c r="K29" s="1504"/>
    </row>
    <row r="30" spans="1:11">
      <c r="A30" s="531"/>
      <c r="B30" s="538"/>
      <c r="C30" s="534"/>
      <c r="D30" s="534"/>
      <c r="E30" s="534"/>
      <c r="F30" s="534"/>
      <c r="G30" s="534"/>
      <c r="H30" s="534"/>
      <c r="I30" s="539"/>
      <c r="J30" s="534"/>
      <c r="K30" s="1504"/>
    </row>
    <row r="31" spans="1:11">
      <c r="A31" s="531"/>
      <c r="B31" s="538"/>
      <c r="C31" s="534"/>
      <c r="D31" s="534"/>
      <c r="E31" s="534"/>
      <c r="F31" s="534"/>
      <c r="G31" s="534"/>
      <c r="H31" s="534"/>
      <c r="I31" s="539"/>
      <c r="J31" s="534"/>
      <c r="K31" s="1504"/>
    </row>
    <row r="32" spans="1:11" ht="13.5" customHeight="1">
      <c r="A32" s="531"/>
      <c r="B32" s="538"/>
      <c r="C32" s="534"/>
      <c r="D32" s="534"/>
      <c r="E32" s="534"/>
      <c r="F32" s="534"/>
      <c r="G32" s="534"/>
      <c r="H32" s="534"/>
      <c r="I32" s="539"/>
      <c r="J32" s="534"/>
      <c r="K32" s="1504"/>
    </row>
    <row r="33" spans="1:11">
      <c r="A33" s="531"/>
      <c r="B33" s="538"/>
      <c r="C33" s="534"/>
      <c r="D33" s="534"/>
      <c r="E33" s="534"/>
      <c r="F33" s="534"/>
      <c r="G33" s="534"/>
      <c r="H33" s="534"/>
      <c r="I33" s="539"/>
      <c r="J33" s="534"/>
      <c r="K33" s="1504"/>
    </row>
    <row r="34" spans="1:11">
      <c r="A34" s="531"/>
      <c r="B34" s="538"/>
      <c r="C34" s="534"/>
      <c r="D34" s="534"/>
      <c r="E34" s="534"/>
      <c r="F34" s="534"/>
      <c r="G34" s="534"/>
      <c r="H34" s="534"/>
      <c r="I34" s="539"/>
      <c r="J34" s="534"/>
      <c r="K34" s="1504"/>
    </row>
    <row r="35" spans="1:11">
      <c r="A35" s="531"/>
      <c r="B35" s="538"/>
      <c r="C35" s="534"/>
      <c r="D35" s="534"/>
      <c r="E35" s="534"/>
      <c r="F35" s="534"/>
      <c r="G35" s="534"/>
      <c r="H35" s="534"/>
      <c r="I35" s="539"/>
      <c r="J35" s="534"/>
      <c r="K35" s="1504"/>
    </row>
    <row r="36" spans="1:11">
      <c r="A36" s="531"/>
      <c r="B36" s="538"/>
      <c r="C36" s="534"/>
      <c r="D36" s="534"/>
      <c r="E36" s="534"/>
      <c r="F36" s="534"/>
      <c r="G36" s="534"/>
      <c r="H36" s="534"/>
      <c r="I36" s="539"/>
      <c r="J36" s="534"/>
      <c r="K36" s="1504"/>
    </row>
    <row r="37" spans="1:11">
      <c r="A37" s="531"/>
      <c r="B37" s="538"/>
      <c r="C37" s="534"/>
      <c r="D37" s="534"/>
      <c r="E37" s="534"/>
      <c r="F37" s="534"/>
      <c r="G37" s="534"/>
      <c r="H37" s="534"/>
      <c r="I37" s="539"/>
      <c r="J37" s="534"/>
      <c r="K37" s="1504"/>
    </row>
    <row r="38" spans="1:11">
      <c r="A38" s="531"/>
      <c r="B38" s="540"/>
      <c r="C38" s="541"/>
      <c r="D38" s="541"/>
      <c r="E38" s="541"/>
      <c r="F38" s="541"/>
      <c r="G38" s="541"/>
      <c r="H38" s="541"/>
      <c r="I38" s="542"/>
      <c r="J38" s="534"/>
      <c r="K38" s="1504"/>
    </row>
    <row r="39" spans="1:11">
      <c r="A39" s="531"/>
      <c r="B39" s="531"/>
      <c r="C39" s="531"/>
      <c r="D39" s="531"/>
      <c r="E39" s="531"/>
      <c r="F39" s="531"/>
      <c r="G39" s="531"/>
      <c r="H39" s="531"/>
      <c r="I39" s="531"/>
      <c r="J39" s="531"/>
      <c r="K39" s="1504"/>
    </row>
    <row r="40" spans="1:11">
      <c r="A40" s="531"/>
      <c r="B40" s="531"/>
      <c r="C40" s="531"/>
      <c r="D40" s="531"/>
      <c r="E40" s="531"/>
      <c r="F40" s="531"/>
      <c r="G40" s="531"/>
      <c r="H40" s="531"/>
      <c r="I40" s="531"/>
      <c r="J40" s="531"/>
      <c r="K40" s="1504"/>
    </row>
    <row r="41" spans="1:11">
      <c r="A41" s="531"/>
      <c r="B41" s="531"/>
      <c r="C41" s="531"/>
      <c r="D41" s="531"/>
      <c r="E41" s="531"/>
      <c r="F41" s="531"/>
      <c r="G41" s="531"/>
      <c r="H41" s="531"/>
      <c r="I41" s="531"/>
      <c r="J41" s="531"/>
    </row>
    <row r="42" spans="1:11">
      <c r="A42" s="531"/>
      <c r="B42" s="531"/>
      <c r="C42" s="531"/>
      <c r="D42" s="531"/>
      <c r="E42" s="531"/>
      <c r="F42" s="531"/>
      <c r="G42" s="531"/>
      <c r="H42" s="531"/>
      <c r="I42" s="531"/>
      <c r="J42" s="531"/>
    </row>
    <row r="43" spans="1:11" s="549" customFormat="1" ht="21">
      <c r="A43" s="548"/>
      <c r="B43" s="548" t="s">
        <v>707</v>
      </c>
      <c r="C43" s="548"/>
      <c r="D43" s="668"/>
      <c r="E43" s="561"/>
      <c r="F43" s="548"/>
      <c r="G43" s="548"/>
      <c r="H43" s="548"/>
      <c r="I43" s="548"/>
      <c r="J43" s="548"/>
    </row>
    <row r="44" spans="1:11" s="549" customFormat="1" ht="21">
      <c r="A44" s="548"/>
      <c r="B44" s="548"/>
      <c r="C44" s="548"/>
      <c r="D44" s="548"/>
      <c r="E44" s="548"/>
      <c r="F44" s="548"/>
      <c r="G44" s="548"/>
      <c r="H44" s="548"/>
      <c r="I44" s="548"/>
      <c r="J44" s="548"/>
    </row>
    <row r="45" spans="1:11" s="549" customFormat="1" ht="21">
      <c r="A45" s="548"/>
      <c r="B45" s="548" t="s">
        <v>640</v>
      </c>
      <c r="C45" s="548"/>
      <c r="D45" s="558"/>
      <c r="E45" s="1506"/>
      <c r="F45" s="1506"/>
      <c r="G45" s="1507"/>
      <c r="H45" s="1507"/>
      <c r="I45" s="550"/>
      <c r="J45" s="548"/>
    </row>
    <row r="46" spans="1:11" ht="21">
      <c r="A46" s="531"/>
      <c r="B46" s="531"/>
      <c r="C46" s="531"/>
      <c r="D46" s="531"/>
      <c r="E46" s="1506" t="s">
        <v>639</v>
      </c>
      <c r="F46" s="1506"/>
      <c r="G46" s="559"/>
      <c r="H46" s="560"/>
      <c r="I46" s="550" t="s">
        <v>483</v>
      </c>
      <c r="J46" s="531"/>
    </row>
    <row r="47" spans="1:11" ht="21">
      <c r="A47" s="531"/>
      <c r="B47" s="531"/>
      <c r="C47" s="531"/>
      <c r="D47" s="531"/>
      <c r="E47" s="1506"/>
      <c r="F47" s="1506"/>
      <c r="G47" s="531"/>
      <c r="H47" s="531"/>
      <c r="I47" s="531"/>
      <c r="J47" s="531"/>
    </row>
    <row r="48" spans="1:11">
      <c r="A48" s="531"/>
      <c r="B48" s="531"/>
      <c r="C48" s="531"/>
      <c r="D48" s="531"/>
      <c r="E48" s="531"/>
      <c r="F48" s="531"/>
      <c r="G48" s="531"/>
      <c r="H48" s="531"/>
      <c r="I48" s="531"/>
      <c r="J48" s="531"/>
    </row>
    <row r="49" spans="1:10">
      <c r="A49" s="531"/>
      <c r="B49" s="531"/>
      <c r="C49" s="531"/>
      <c r="D49" s="531"/>
      <c r="E49" s="531"/>
      <c r="F49" s="531"/>
      <c r="G49" s="531"/>
      <c r="H49" s="531"/>
      <c r="I49" s="531"/>
      <c r="J49" s="531"/>
    </row>
    <row r="50" spans="1:10" s="546" customFormat="1"/>
    <row r="51" spans="1:10" s="546" customFormat="1"/>
    <row r="52" spans="1:10" s="546" customFormat="1"/>
    <row r="53" spans="1:10" s="546" customFormat="1"/>
    <row r="54" spans="1:10" s="546" customFormat="1"/>
    <row r="55" spans="1:10" s="546" customFormat="1"/>
    <row r="56" spans="1:10" s="546" customFormat="1"/>
  </sheetData>
  <mergeCells count="6">
    <mergeCell ref="K11:K40"/>
    <mergeCell ref="A1:J1"/>
    <mergeCell ref="E46:F46"/>
    <mergeCell ref="E47:F47"/>
    <mergeCell ref="E45:F45"/>
    <mergeCell ref="G45:H45"/>
  </mergeCells>
  <phoneticPr fontId="22"/>
  <dataValidations count="1">
    <dataValidation imeMode="disabled" allowBlank="1" showInputMessage="1" showErrorMessage="1" sqref="H7:I7 G7"/>
  </dataValidations>
  <printOptions horizontalCentered="1"/>
  <pageMargins left="0.59055118110236227" right="0.59055118110236227" top="0.98425196850393704" bottom="0.98425196850393704" header="0.51181102362204722" footer="0.51181102362204722"/>
  <pageSetup paperSize="9" orientation="portrait" horizontalDpi="300" verticalDpi="300"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sheetPr codeName="Sheet9" enableFormatConditionsCalculation="0">
    <tabColor indexed="35"/>
    <pageSetUpPr fitToPage="1"/>
  </sheetPr>
  <dimension ref="A1:AD86"/>
  <sheetViews>
    <sheetView showGridLines="0" showRowColHeaders="0" showZeros="0" zoomScale="90" zoomScaleNormal="90" workbookViewId="0">
      <selection activeCell="A2" sqref="A2:B2"/>
    </sheetView>
  </sheetViews>
  <sheetFormatPr defaultColWidth="7" defaultRowHeight="11.25"/>
  <cols>
    <col min="1" max="1" width="3.625" style="225" customWidth="1"/>
    <col min="2" max="2" width="8.875" style="225" customWidth="1"/>
    <col min="3" max="3" width="15.5" style="225" customWidth="1"/>
    <col min="4" max="5" width="1.25" style="225" customWidth="1"/>
    <col min="6" max="6" width="13.5" style="225" customWidth="1"/>
    <col min="7" max="7" width="2.875" style="225" customWidth="1"/>
    <col min="8" max="8" width="7.375" style="225" customWidth="1"/>
    <col min="9" max="9" width="9.125" style="225" customWidth="1"/>
    <col min="10" max="10" width="7.5" style="225" customWidth="1"/>
    <col min="11" max="11" width="7.375" style="225" customWidth="1"/>
    <col min="12" max="12" width="9.125" style="225" customWidth="1"/>
    <col min="13" max="13" width="7.5" style="225" customWidth="1"/>
    <col min="14" max="14" width="12.5" style="225" customWidth="1"/>
    <col min="15" max="15" width="3.125" style="225" customWidth="1"/>
    <col min="16" max="16" width="3.25" style="215" hidden="1" customWidth="1"/>
    <col min="17" max="17" width="3.75" style="215" hidden="1" customWidth="1"/>
    <col min="18" max="18" width="6.75" style="215" customWidth="1"/>
    <col min="19" max="19" width="4" style="215" customWidth="1"/>
    <col min="20" max="20" width="5.5" style="215" customWidth="1"/>
    <col min="21" max="21" width="6.75" style="215" hidden="1" customWidth="1"/>
    <col min="22" max="22" width="7" style="215" hidden="1" customWidth="1"/>
    <col min="23" max="23" width="7" style="215" customWidth="1"/>
    <col min="24" max="24" width="5.625" style="215" customWidth="1"/>
    <col min="25" max="25" width="10.25" style="215" hidden="1" customWidth="1"/>
    <col min="26" max="26" width="6" style="215" hidden="1" customWidth="1"/>
    <col min="27" max="27" width="7.875" style="215" hidden="1" customWidth="1"/>
    <col min="28" max="28" width="10.25" style="215" hidden="1" customWidth="1"/>
    <col min="29" max="29" width="8.375" style="215" hidden="1" customWidth="1"/>
    <col min="30" max="16384" width="7" style="215"/>
  </cols>
  <sheetData>
    <row r="1" spans="1:30" ht="18" thickBot="1">
      <c r="A1" s="437"/>
      <c r="B1" s="438"/>
      <c r="C1" s="438"/>
      <c r="D1" s="438"/>
      <c r="E1" s="438"/>
      <c r="F1" s="439" t="s">
        <v>480</v>
      </c>
      <c r="G1" s="438"/>
      <c r="H1" s="438"/>
      <c r="I1" s="438"/>
      <c r="J1" s="438"/>
      <c r="K1" s="438"/>
      <c r="L1" s="438"/>
      <c r="M1" s="438"/>
      <c r="N1" s="440" t="s">
        <v>481</v>
      </c>
      <c r="O1" s="441"/>
      <c r="P1" s="442"/>
      <c r="Q1" s="442"/>
      <c r="R1" s="442"/>
      <c r="S1" s="442"/>
      <c r="T1" s="442"/>
      <c r="U1" s="442"/>
      <c r="V1" s="442"/>
      <c r="W1" s="442"/>
      <c r="X1" s="442"/>
      <c r="Y1" s="442"/>
      <c r="Z1" s="442"/>
      <c r="AA1" s="442" t="s">
        <v>567</v>
      </c>
      <c r="AB1" s="442"/>
      <c r="AC1" s="442"/>
      <c r="AD1" s="442"/>
    </row>
    <row r="2" spans="1:30" ht="18" thickBot="1">
      <c r="A2" s="1508" t="s">
        <v>481</v>
      </c>
      <c r="B2" s="1508"/>
      <c r="C2" s="443"/>
      <c r="D2" s="443"/>
      <c r="E2" s="443"/>
      <c r="F2" s="438"/>
      <c r="G2" s="438"/>
      <c r="H2" s="438"/>
      <c r="I2" s="444"/>
      <c r="J2" s="443"/>
      <c r="K2" s="443"/>
      <c r="L2" s="216" t="s">
        <v>482</v>
      </c>
      <c r="M2" s="217"/>
      <c r="N2" s="218" t="s">
        <v>483</v>
      </c>
      <c r="O2" s="441"/>
      <c r="P2" s="442"/>
      <c r="Q2" s="442"/>
      <c r="R2" s="442"/>
      <c r="S2" s="442"/>
      <c r="T2" s="442"/>
      <c r="U2" s="442"/>
      <c r="V2" s="442"/>
      <c r="W2" s="442"/>
      <c r="X2" s="442"/>
      <c r="Y2" s="442"/>
      <c r="Z2" s="442"/>
      <c r="AA2" s="442" t="s">
        <v>568</v>
      </c>
      <c r="AB2" s="442"/>
      <c r="AC2" s="442"/>
      <c r="AD2" s="442"/>
    </row>
    <row r="3" spans="1:30" ht="30" customHeight="1">
      <c r="A3" s="1517" t="s">
        <v>484</v>
      </c>
      <c r="B3" s="1517"/>
      <c r="C3" s="437"/>
      <c r="D3" s="445"/>
      <c r="E3" s="445"/>
      <c r="F3" s="445"/>
      <c r="G3" s="445"/>
      <c r="H3" s="445"/>
      <c r="I3" s="445" t="s">
        <v>278</v>
      </c>
      <c r="J3" s="1551"/>
      <c r="K3" s="1551"/>
      <c r="L3" s="1551"/>
      <c r="M3" s="1551"/>
      <c r="N3" s="1551"/>
      <c r="O3" s="446"/>
      <c r="P3" s="442"/>
      <c r="Q3" s="442"/>
      <c r="R3" s="442"/>
      <c r="S3" s="442"/>
      <c r="T3" s="442"/>
      <c r="U3" s="442"/>
      <c r="V3" s="442"/>
      <c r="W3" s="442"/>
      <c r="X3" s="442"/>
      <c r="Y3" s="442"/>
      <c r="Z3" s="442"/>
      <c r="AA3" s="442" t="s">
        <v>569</v>
      </c>
      <c r="AB3" s="442"/>
      <c r="AC3" s="442"/>
      <c r="AD3" s="442"/>
    </row>
    <row r="4" spans="1:30" ht="12.75">
      <c r="A4" s="1509" t="s">
        <v>485</v>
      </c>
      <c r="B4" s="1509"/>
      <c r="C4" s="1509"/>
      <c r="D4" s="1510"/>
      <c r="E4" s="1510"/>
      <c r="F4" s="1510"/>
      <c r="G4" s="1510"/>
      <c r="H4" s="1510"/>
      <c r="I4" s="1510"/>
      <c r="J4" s="437"/>
      <c r="K4" s="437"/>
      <c r="L4" s="437"/>
      <c r="M4" s="437"/>
      <c r="N4" s="437"/>
      <c r="O4" s="447"/>
      <c r="P4" s="442"/>
      <c r="Q4" s="442"/>
      <c r="R4" s="442"/>
      <c r="S4" s="442"/>
      <c r="T4" s="442"/>
      <c r="U4" s="442"/>
      <c r="V4" s="442"/>
      <c r="W4" s="442"/>
      <c r="X4" s="442"/>
      <c r="Y4" s="442"/>
      <c r="Z4" s="442"/>
      <c r="AA4" s="442" t="s">
        <v>570</v>
      </c>
      <c r="AB4" s="442"/>
      <c r="AC4" s="442"/>
      <c r="AD4" s="442"/>
    </row>
    <row r="5" spans="1:30">
      <c r="A5" s="1511" t="s">
        <v>486</v>
      </c>
      <c r="B5" s="1512"/>
      <c r="C5" s="1512"/>
      <c r="D5" s="1511" t="s">
        <v>487</v>
      </c>
      <c r="E5" s="1512"/>
      <c r="F5" s="1512"/>
      <c r="G5" s="1512"/>
      <c r="H5" s="1552"/>
      <c r="I5" s="1515" t="s">
        <v>488</v>
      </c>
      <c r="J5" s="1543" t="str">
        <f>IF(名簿!$D$1="","",名簿!$D$1)</f>
        <v/>
      </c>
      <c r="K5" s="1559"/>
      <c r="L5" s="1544"/>
      <c r="M5" s="1563" t="s">
        <v>489</v>
      </c>
      <c r="N5" s="1563">
        <f>名簿!C4</f>
        <v>0</v>
      </c>
      <c r="O5" s="442"/>
      <c r="P5" s="442"/>
      <c r="Q5" s="442"/>
      <c r="R5" s="442"/>
      <c r="S5" s="442"/>
      <c r="T5" s="442"/>
      <c r="U5" s="442"/>
      <c r="V5" s="442"/>
      <c r="W5" s="442"/>
      <c r="X5" s="442"/>
      <c r="Y5" s="442"/>
      <c r="Z5" s="442"/>
      <c r="AA5" s="442" t="s">
        <v>571</v>
      </c>
      <c r="AB5" s="442"/>
      <c r="AC5" s="442"/>
      <c r="AD5" s="442"/>
    </row>
    <row r="6" spans="1:30">
      <c r="A6" s="1513"/>
      <c r="B6" s="1514"/>
      <c r="C6" s="1514"/>
      <c r="D6" s="1513"/>
      <c r="E6" s="1514"/>
      <c r="F6" s="1514"/>
      <c r="G6" s="1514"/>
      <c r="H6" s="1553"/>
      <c r="I6" s="1516"/>
      <c r="J6" s="1560"/>
      <c r="K6" s="1561"/>
      <c r="L6" s="1562"/>
      <c r="M6" s="1564"/>
      <c r="N6" s="1564"/>
      <c r="O6" s="442"/>
      <c r="P6" s="442"/>
      <c r="Q6" s="442"/>
      <c r="R6" s="442"/>
      <c r="S6" s="442"/>
      <c r="T6" s="442"/>
      <c r="U6" s="442"/>
      <c r="V6" s="442"/>
      <c r="W6" s="442"/>
      <c r="X6" s="442"/>
      <c r="Y6" s="442"/>
      <c r="Z6" s="442"/>
      <c r="AA6" s="442"/>
      <c r="AB6" s="442"/>
      <c r="AC6" s="442"/>
      <c r="AD6" s="442"/>
    </row>
    <row r="7" spans="1:30" ht="17.25" customHeight="1">
      <c r="A7" s="1524">
        <f>IF(名簿!$O$4="","",名簿!$O$4)</f>
        <v>0</v>
      </c>
      <c r="B7" s="1525"/>
      <c r="C7" s="1526"/>
      <c r="D7" s="1530"/>
      <c r="E7" s="1531"/>
      <c r="F7" s="1531"/>
      <c r="G7" s="1531"/>
      <c r="H7" s="1554" t="s">
        <v>490</v>
      </c>
      <c r="I7" s="449" t="s">
        <v>491</v>
      </c>
      <c r="J7" s="450" t="str">
        <f>IF(名簿!$I$1="","",名簿!I1)</f>
        <v/>
      </c>
      <c r="K7" s="451"/>
      <c r="L7" s="451"/>
      <c r="M7" s="452" t="s">
        <v>492</v>
      </c>
      <c r="N7" s="453"/>
      <c r="O7" s="442"/>
      <c r="P7" s="442"/>
      <c r="Q7" s="442"/>
      <c r="R7" s="442"/>
      <c r="S7" s="442"/>
      <c r="T7" s="442"/>
      <c r="U7" s="442"/>
      <c r="V7" s="442"/>
      <c r="W7" s="442"/>
      <c r="X7" s="442"/>
      <c r="Y7" s="442"/>
      <c r="Z7" s="442"/>
      <c r="AA7" s="442"/>
      <c r="AB7" s="442"/>
      <c r="AC7" s="442"/>
      <c r="AD7" s="442"/>
    </row>
    <row r="8" spans="1:30" ht="16.5" customHeight="1">
      <c r="A8" s="1527"/>
      <c r="B8" s="1528"/>
      <c r="C8" s="1529"/>
      <c r="D8" s="1532"/>
      <c r="E8" s="1533"/>
      <c r="F8" s="1533"/>
      <c r="G8" s="1533"/>
      <c r="H8" s="1555"/>
      <c r="I8" s="449" t="s">
        <v>493</v>
      </c>
      <c r="J8" s="1566" t="str">
        <f>J7</f>
        <v/>
      </c>
      <c r="K8" s="1567"/>
      <c r="L8" s="1567"/>
      <c r="M8" s="1567"/>
      <c r="N8" s="1568"/>
      <c r="O8" s="442"/>
      <c r="P8" s="442"/>
      <c r="Q8" s="442"/>
      <c r="R8" s="442"/>
      <c r="S8" s="442"/>
      <c r="T8" s="442"/>
      <c r="U8" s="442"/>
      <c r="V8" s="442"/>
      <c r="W8" s="442"/>
      <c r="X8" s="442"/>
      <c r="Y8" s="442"/>
      <c r="Z8" s="442"/>
      <c r="AA8" s="442"/>
      <c r="AB8" s="442"/>
      <c r="AC8" s="442"/>
      <c r="AD8" s="442"/>
    </row>
    <row r="9" spans="1:30" ht="16.5" customHeight="1">
      <c r="A9" s="1536" t="s">
        <v>494</v>
      </c>
      <c r="B9" s="1537"/>
      <c r="C9" s="1538"/>
      <c r="D9" s="1534"/>
      <c r="E9" s="1535"/>
      <c r="F9" s="1535"/>
      <c r="G9" s="1535"/>
      <c r="H9" s="1556"/>
      <c r="I9" s="454" t="s">
        <v>495</v>
      </c>
      <c r="J9" s="1521"/>
      <c r="K9" s="1522"/>
      <c r="L9" s="1522"/>
      <c r="M9" s="1522"/>
      <c r="N9" s="1523"/>
      <c r="O9" s="442"/>
      <c r="P9" s="442"/>
      <c r="Q9" s="442"/>
      <c r="R9" s="442"/>
      <c r="S9" s="442"/>
      <c r="T9" s="442"/>
      <c r="U9" s="442"/>
      <c r="V9" s="442"/>
      <c r="W9" s="442"/>
      <c r="X9" s="442"/>
      <c r="Y9" s="442"/>
      <c r="Z9" s="442"/>
      <c r="AA9" s="442"/>
      <c r="AB9" s="442"/>
      <c r="AC9" s="442"/>
      <c r="AD9" s="442"/>
    </row>
    <row r="10" spans="1:30" ht="11.25" customHeight="1">
      <c r="A10" s="1539"/>
      <c r="B10" s="1542" t="s">
        <v>605</v>
      </c>
      <c r="C10" s="1541" t="s">
        <v>497</v>
      </c>
      <c r="D10" s="1543" t="s">
        <v>498</v>
      </c>
      <c r="E10" s="1544"/>
      <c r="F10" s="1541" t="s">
        <v>499</v>
      </c>
      <c r="G10" s="1541" t="s">
        <v>500</v>
      </c>
      <c r="H10" s="448"/>
      <c r="I10" s="1565" t="s">
        <v>501</v>
      </c>
      <c r="J10" s="1565"/>
      <c r="K10" s="1565"/>
      <c r="L10" s="1565"/>
      <c r="M10" s="1565"/>
      <c r="N10" s="455" t="s">
        <v>502</v>
      </c>
      <c r="O10" s="442"/>
      <c r="P10" s="442"/>
      <c r="Q10" s="442"/>
      <c r="R10" s="442"/>
      <c r="S10" s="442"/>
      <c r="T10" s="442"/>
      <c r="U10" s="442"/>
      <c r="V10" s="442"/>
      <c r="W10" s="442"/>
      <c r="X10" s="442"/>
      <c r="Y10" s="442"/>
      <c r="Z10" s="442"/>
      <c r="AA10" s="442" t="s">
        <v>572</v>
      </c>
      <c r="AB10" s="442"/>
      <c r="AC10" s="442" t="s">
        <v>588</v>
      </c>
      <c r="AD10" s="442"/>
    </row>
    <row r="11" spans="1:30" ht="11.25" customHeight="1" thickBot="1">
      <c r="A11" s="1540"/>
      <c r="B11" s="1524"/>
      <c r="C11" s="1515"/>
      <c r="D11" s="1545"/>
      <c r="E11" s="1546"/>
      <c r="F11" s="1515"/>
      <c r="G11" s="1515"/>
      <c r="H11" s="1518" t="s">
        <v>503</v>
      </c>
      <c r="I11" s="1519"/>
      <c r="J11" s="1520"/>
      <c r="K11" s="1518" t="s">
        <v>504</v>
      </c>
      <c r="L11" s="1519"/>
      <c r="M11" s="1520"/>
      <c r="N11" s="456"/>
      <c r="O11" s="442"/>
      <c r="P11" s="442"/>
      <c r="Q11" s="442"/>
      <c r="R11" s="442"/>
      <c r="S11" s="442"/>
      <c r="T11" s="442"/>
      <c r="U11" s="442"/>
      <c r="V11" s="442"/>
      <c r="W11" s="442"/>
      <c r="X11" s="442"/>
      <c r="Y11" s="442"/>
      <c r="Z11" s="442"/>
      <c r="AA11" s="442" t="s">
        <v>573</v>
      </c>
      <c r="AB11" s="442"/>
      <c r="AC11" s="442" t="s">
        <v>589</v>
      </c>
      <c r="AD11" s="442"/>
    </row>
    <row r="12" spans="1:30" s="219" customFormat="1" ht="12.75" customHeight="1" thickBot="1">
      <c r="A12" s="457" t="s">
        <v>505</v>
      </c>
      <c r="B12" s="457" t="s">
        <v>506</v>
      </c>
      <c r="C12" s="457" t="s">
        <v>507</v>
      </c>
      <c r="D12" s="1549">
        <v>3</v>
      </c>
      <c r="E12" s="1550"/>
      <c r="F12" s="458" t="s">
        <v>508</v>
      </c>
      <c r="G12" s="457" t="s">
        <v>509</v>
      </c>
      <c r="H12" s="458" t="s">
        <v>587</v>
      </c>
      <c r="I12" s="459" t="s">
        <v>510</v>
      </c>
      <c r="J12" s="460" t="s">
        <v>511</v>
      </c>
      <c r="K12" s="458" t="s">
        <v>587</v>
      </c>
      <c r="L12" s="461" t="s">
        <v>573</v>
      </c>
      <c r="M12" s="462" t="s">
        <v>511</v>
      </c>
      <c r="N12" s="463" t="s">
        <v>512</v>
      </c>
      <c r="O12" s="464"/>
      <c r="P12" s="464"/>
      <c r="Q12" s="464"/>
      <c r="R12" s="464"/>
      <c r="S12" s="464"/>
      <c r="T12" s="464"/>
      <c r="U12" s="464"/>
      <c r="V12" s="464"/>
      <c r="W12" s="464"/>
      <c r="X12" s="464"/>
      <c r="Y12" s="464"/>
      <c r="Z12" s="464"/>
      <c r="AA12" s="442" t="s">
        <v>606</v>
      </c>
      <c r="AB12" s="464"/>
      <c r="AC12" s="442" t="s">
        <v>590</v>
      </c>
      <c r="AD12" s="464"/>
    </row>
    <row r="13" spans="1:30" ht="30" customHeight="1">
      <c r="A13" s="465">
        <v>1</v>
      </c>
      <c r="B13" s="220"/>
      <c r="C13" s="756" t="str">
        <f>IF(B13="","",VLOOKUP(B13,名簿!$E$4:$J$184,3,FALSE))</f>
        <v/>
      </c>
      <c r="D13" s="1557" t="str">
        <f>IF(B13="","",VLOOKUP(B13,名簿!$E$4:$J$184,5,FALSE))</f>
        <v/>
      </c>
      <c r="E13" s="1558"/>
      <c r="F13" s="1099" t="str">
        <f>IF(B13="","",VLOOKUP(B13,名簿!$E$4:$W$184,4,FALSE))</f>
        <v/>
      </c>
      <c r="G13" s="757" t="str">
        <f>IF(B13="","",VLOOKUP(B13,名簿!$E$4:$J$184,6,FALSE))</f>
        <v/>
      </c>
      <c r="H13" s="754"/>
      <c r="I13" s="221"/>
      <c r="J13" s="245"/>
      <c r="K13" s="221"/>
      <c r="L13" s="221"/>
      <c r="M13" s="245"/>
      <c r="N13" s="476"/>
      <c r="O13" s="442"/>
      <c r="P13" s="442"/>
      <c r="Q13" s="442"/>
      <c r="R13" s="442"/>
      <c r="S13" s="442"/>
      <c r="T13" s="442"/>
      <c r="U13" s="442"/>
      <c r="V13" s="442"/>
      <c r="W13" s="442"/>
      <c r="X13" s="442"/>
      <c r="Y13" s="442" t="str">
        <f t="shared" ref="Y13:Y37" si="0">CONCATENATE(H13,I13)</f>
        <v/>
      </c>
      <c r="Z13" s="442" t="str">
        <f t="shared" ref="Z13:Z37" si="1">CONCATENATE(K13,L13)</f>
        <v/>
      </c>
      <c r="AA13" s="442" t="s">
        <v>574</v>
      </c>
      <c r="AB13" s="442"/>
      <c r="AC13" s="442" t="s">
        <v>591</v>
      </c>
      <c r="AD13" s="442"/>
    </row>
    <row r="14" spans="1:30" ht="30" customHeight="1">
      <c r="A14" s="466">
        <v>2</v>
      </c>
      <c r="B14" s="220"/>
      <c r="C14" s="758" t="str">
        <f>IF(B14="","",VLOOKUP(B14,名簿!$E$4:$J$184,3,FALSE))</f>
        <v/>
      </c>
      <c r="D14" s="1547" t="str">
        <f>IF(B14="","",VLOOKUP(B14,名簿!$E$4:$J$184,5,FALSE))</f>
        <v/>
      </c>
      <c r="E14" s="1548"/>
      <c r="F14" s="1100" t="str">
        <f>IF(B14="","",VLOOKUP(B14,名簿!$E$4:$W$184,4,FALSE))</f>
        <v/>
      </c>
      <c r="G14" s="759" t="str">
        <f>IF(B14="","",VLOOKUP(B14,名簿!$E$4:$J$184,6,FALSE))</f>
        <v/>
      </c>
      <c r="H14" s="754"/>
      <c r="I14" s="222"/>
      <c r="J14" s="246"/>
      <c r="K14" s="222"/>
      <c r="L14" s="222"/>
      <c r="M14" s="246"/>
      <c r="N14" s="476"/>
      <c r="O14" s="442"/>
      <c r="P14" s="442"/>
      <c r="Q14" s="442"/>
      <c r="R14" s="442"/>
      <c r="S14" s="442"/>
      <c r="T14" s="442"/>
      <c r="U14" s="442"/>
      <c r="V14" s="442"/>
      <c r="W14" s="442"/>
      <c r="X14" s="442"/>
      <c r="Y14" s="442" t="str">
        <f t="shared" si="0"/>
        <v/>
      </c>
      <c r="Z14" s="442" t="str">
        <f t="shared" si="1"/>
        <v/>
      </c>
      <c r="AA14" s="442" t="s">
        <v>575</v>
      </c>
      <c r="AB14" s="442"/>
      <c r="AC14" s="442" t="s">
        <v>592</v>
      </c>
      <c r="AD14" s="442"/>
    </row>
    <row r="15" spans="1:30" ht="30" customHeight="1">
      <c r="A15" s="466">
        <v>3</v>
      </c>
      <c r="B15" s="220"/>
      <c r="C15" s="758" t="str">
        <f>IF(B15="","",VLOOKUP(B15,名簿!$E$4:$J$184,3,FALSE))</f>
        <v/>
      </c>
      <c r="D15" s="1547" t="str">
        <f>IF(B15="","",VLOOKUP(B15,名簿!$E$4:$J$184,5,FALSE))</f>
        <v/>
      </c>
      <c r="E15" s="1548"/>
      <c r="F15" s="1100" t="str">
        <f>IF(B15="","",VLOOKUP(B15,名簿!$E$4:$W$184,4,FALSE))</f>
        <v/>
      </c>
      <c r="G15" s="759" t="str">
        <f>IF(B15="","",VLOOKUP(B15,名簿!$E$4:$J$184,6,FALSE))</f>
        <v/>
      </c>
      <c r="H15" s="754"/>
      <c r="I15" s="222"/>
      <c r="J15" s="246"/>
      <c r="K15" s="222"/>
      <c r="L15" s="222"/>
      <c r="M15" s="246"/>
      <c r="N15" s="476"/>
      <c r="O15" s="442"/>
      <c r="P15" s="442"/>
      <c r="Q15" s="442"/>
      <c r="R15" s="442"/>
      <c r="S15" s="442"/>
      <c r="T15" s="442"/>
      <c r="U15" s="442"/>
      <c r="V15" s="442"/>
      <c r="W15" s="442"/>
      <c r="X15" s="442"/>
      <c r="Y15" s="442" t="str">
        <f t="shared" si="0"/>
        <v/>
      </c>
      <c r="Z15" s="442" t="str">
        <f t="shared" si="1"/>
        <v/>
      </c>
      <c r="AA15" s="442" t="s">
        <v>576</v>
      </c>
      <c r="AB15" s="442"/>
      <c r="AC15" s="442" t="s">
        <v>593</v>
      </c>
      <c r="AD15" s="442"/>
    </row>
    <row r="16" spans="1:30" ht="30" customHeight="1">
      <c r="A16" s="466">
        <v>4</v>
      </c>
      <c r="B16" s="220"/>
      <c r="C16" s="758" t="str">
        <f>IF(B16="","",VLOOKUP(B16,名簿!$E$4:$J$184,3,FALSE))</f>
        <v/>
      </c>
      <c r="D16" s="1547" t="str">
        <f>IF(B16="","",VLOOKUP(B16,名簿!$E$4:$J$184,5,FALSE))</f>
        <v/>
      </c>
      <c r="E16" s="1548"/>
      <c r="F16" s="1100" t="str">
        <f>IF(B16="","",VLOOKUP(B16,名簿!$E$4:$W$184,4,FALSE))</f>
        <v/>
      </c>
      <c r="G16" s="759" t="str">
        <f>IF(B16="","",VLOOKUP(B16,名簿!$E$4:$J$184,6,FALSE))</f>
        <v/>
      </c>
      <c r="H16" s="754"/>
      <c r="I16" s="222"/>
      <c r="J16" s="246"/>
      <c r="K16" s="222"/>
      <c r="L16" s="222"/>
      <c r="M16" s="246"/>
      <c r="N16" s="476"/>
      <c r="O16" s="442"/>
      <c r="P16" s="442"/>
      <c r="Q16" s="442"/>
      <c r="R16" s="442"/>
      <c r="S16" s="442"/>
      <c r="T16" s="442"/>
      <c r="U16" s="442"/>
      <c r="V16" s="442"/>
      <c r="W16" s="442"/>
      <c r="X16" s="442"/>
      <c r="Y16" s="442" t="str">
        <f t="shared" si="0"/>
        <v/>
      </c>
      <c r="Z16" s="442" t="str">
        <f t="shared" si="1"/>
        <v/>
      </c>
      <c r="AA16" s="442" t="s">
        <v>577</v>
      </c>
      <c r="AB16" s="442"/>
      <c r="AC16" s="442" t="s">
        <v>594</v>
      </c>
      <c r="AD16" s="442"/>
    </row>
    <row r="17" spans="1:30" ht="30" customHeight="1">
      <c r="A17" s="466">
        <v>5</v>
      </c>
      <c r="B17" s="220"/>
      <c r="C17" s="758" t="str">
        <f>IF(B17="","",VLOOKUP(B17,名簿!$E$4:$J$184,3,FALSE))</f>
        <v/>
      </c>
      <c r="D17" s="1547" t="str">
        <f>IF(B17="","",VLOOKUP(B17,名簿!$E$4:$J$184,5,FALSE))</f>
        <v/>
      </c>
      <c r="E17" s="1548"/>
      <c r="F17" s="1100" t="str">
        <f>IF(B17="","",VLOOKUP(B17,名簿!$E$4:$W$184,4,FALSE))</f>
        <v/>
      </c>
      <c r="G17" s="759" t="str">
        <f>IF(B17="","",VLOOKUP(B17,名簿!$E$4:$J$184,6,FALSE))</f>
        <v/>
      </c>
      <c r="H17" s="754"/>
      <c r="I17" s="222"/>
      <c r="J17" s="246"/>
      <c r="K17" s="222"/>
      <c r="L17" s="222"/>
      <c r="M17" s="246"/>
      <c r="N17" s="476"/>
      <c r="O17" s="442"/>
      <c r="P17" s="442"/>
      <c r="Q17" s="442"/>
      <c r="R17" s="442"/>
      <c r="S17" s="442"/>
      <c r="T17" s="442"/>
      <c r="U17" s="442"/>
      <c r="V17" s="442"/>
      <c r="W17" s="442"/>
      <c r="X17" s="442"/>
      <c r="Y17" s="442" t="str">
        <f t="shared" si="0"/>
        <v/>
      </c>
      <c r="Z17" s="442" t="str">
        <f t="shared" si="1"/>
        <v/>
      </c>
      <c r="AA17" s="442" t="s">
        <v>578</v>
      </c>
      <c r="AB17" s="442"/>
      <c r="AC17" s="442" t="s">
        <v>595</v>
      </c>
      <c r="AD17" s="442"/>
    </row>
    <row r="18" spans="1:30" ht="30" customHeight="1">
      <c r="A18" s="466">
        <v>6</v>
      </c>
      <c r="B18" s="220"/>
      <c r="C18" s="758" t="str">
        <f>IF(B18="","",VLOOKUP(B18,名簿!$E$4:$J$184,3,FALSE))</f>
        <v/>
      </c>
      <c r="D18" s="1547" t="str">
        <f>IF(B18="","",VLOOKUP(B18,名簿!$E$4:$J$184,5,FALSE))</f>
        <v/>
      </c>
      <c r="E18" s="1548"/>
      <c r="F18" s="1100" t="str">
        <f>IF(B18="","",VLOOKUP(B18,名簿!$E$4:$W$184,4,FALSE))</f>
        <v/>
      </c>
      <c r="G18" s="759" t="str">
        <f>IF(B18="","",VLOOKUP(B18,名簿!$E$4:$J$184,6,FALSE))</f>
        <v/>
      </c>
      <c r="H18" s="754"/>
      <c r="I18" s="222"/>
      <c r="J18" s="246"/>
      <c r="K18" s="222"/>
      <c r="L18" s="222"/>
      <c r="M18" s="246"/>
      <c r="N18" s="476"/>
      <c r="O18" s="442"/>
      <c r="P18" s="442"/>
      <c r="Q18" s="442"/>
      <c r="R18" s="442"/>
      <c r="S18" s="442"/>
      <c r="T18" s="442"/>
      <c r="U18" s="442"/>
      <c r="V18" s="442"/>
      <c r="W18" s="442"/>
      <c r="X18" s="442"/>
      <c r="Y18" s="442" t="str">
        <f t="shared" si="0"/>
        <v/>
      </c>
      <c r="Z18" s="442" t="str">
        <f t="shared" si="1"/>
        <v/>
      </c>
      <c r="AA18" s="442" t="s">
        <v>579</v>
      </c>
      <c r="AB18" s="442"/>
      <c r="AC18" s="442" t="s">
        <v>596</v>
      </c>
      <c r="AD18" s="442"/>
    </row>
    <row r="19" spans="1:30" ht="30" customHeight="1">
      <c r="A19" s="466">
        <v>7</v>
      </c>
      <c r="B19" s="220"/>
      <c r="C19" s="758" t="str">
        <f>IF(B19="","",VLOOKUP(B19,名簿!$E$4:$J$184,3,FALSE))</f>
        <v/>
      </c>
      <c r="D19" s="1547" t="str">
        <f>IF(B19="","",VLOOKUP(B19,名簿!$E$4:$J$184,5,FALSE))</f>
        <v/>
      </c>
      <c r="E19" s="1548"/>
      <c r="F19" s="1100" t="str">
        <f>IF(B19="","",VLOOKUP(B19,名簿!$E$4:$W$184,4,FALSE))</f>
        <v/>
      </c>
      <c r="G19" s="759" t="str">
        <f>IF(B19="","",VLOOKUP(B19,名簿!$E$4:$J$184,6,FALSE))</f>
        <v/>
      </c>
      <c r="H19" s="754"/>
      <c r="I19" s="222"/>
      <c r="J19" s="246"/>
      <c r="K19" s="222"/>
      <c r="L19" s="222"/>
      <c r="M19" s="246"/>
      <c r="N19" s="476"/>
      <c r="O19" s="442"/>
      <c r="P19" s="442"/>
      <c r="Q19" s="442"/>
      <c r="R19" s="442"/>
      <c r="S19" s="442"/>
      <c r="T19" s="442"/>
      <c r="U19" s="442"/>
      <c r="V19" s="442"/>
      <c r="W19" s="442"/>
      <c r="X19" s="442"/>
      <c r="Y19" s="442" t="str">
        <f t="shared" si="0"/>
        <v/>
      </c>
      <c r="Z19" s="442" t="str">
        <f t="shared" si="1"/>
        <v/>
      </c>
      <c r="AA19" s="442" t="s">
        <v>580</v>
      </c>
      <c r="AB19" s="442"/>
      <c r="AC19" s="442" t="s">
        <v>597</v>
      </c>
      <c r="AD19" s="442"/>
    </row>
    <row r="20" spans="1:30" ht="30" customHeight="1">
      <c r="A20" s="466">
        <v>8</v>
      </c>
      <c r="B20" s="220"/>
      <c r="C20" s="758" t="str">
        <f>IF(B20="","",VLOOKUP(B20,名簿!$E$4:$J$184,3,FALSE))</f>
        <v/>
      </c>
      <c r="D20" s="1547" t="str">
        <f>IF(B20="","",VLOOKUP(B20,名簿!$E$4:$J$184,5,FALSE))</f>
        <v/>
      </c>
      <c r="E20" s="1548"/>
      <c r="F20" s="1100" t="str">
        <f>IF(B20="","",VLOOKUP(B20,名簿!$E$4:$W$184,4,FALSE))</f>
        <v/>
      </c>
      <c r="G20" s="759" t="str">
        <f>IF(B20="","",VLOOKUP(B20,名簿!$E$4:$J$184,6,FALSE))</f>
        <v/>
      </c>
      <c r="H20" s="754"/>
      <c r="I20" s="222"/>
      <c r="J20" s="246"/>
      <c r="K20" s="222"/>
      <c r="L20" s="222"/>
      <c r="M20" s="246"/>
      <c r="N20" s="476"/>
      <c r="O20" s="442"/>
      <c r="P20" s="442"/>
      <c r="Q20" s="442"/>
      <c r="R20" s="442"/>
      <c r="S20" s="442"/>
      <c r="T20" s="442"/>
      <c r="U20" s="442"/>
      <c r="V20" s="442"/>
      <c r="W20" s="442"/>
      <c r="X20" s="442"/>
      <c r="Y20" s="442" t="str">
        <f t="shared" si="0"/>
        <v/>
      </c>
      <c r="Z20" s="442" t="str">
        <f t="shared" si="1"/>
        <v/>
      </c>
      <c r="AA20" s="442" t="s">
        <v>581</v>
      </c>
      <c r="AB20" s="442"/>
      <c r="AC20" s="442" t="s">
        <v>598</v>
      </c>
      <c r="AD20" s="442"/>
    </row>
    <row r="21" spans="1:30" ht="30" customHeight="1">
      <c r="A21" s="466">
        <v>9</v>
      </c>
      <c r="B21" s="220"/>
      <c r="C21" s="758" t="str">
        <f>IF(B21="","",VLOOKUP(B21,名簿!$E$4:$J$184,3,FALSE))</f>
        <v/>
      </c>
      <c r="D21" s="1547" t="str">
        <f>IF(B21="","",VLOOKUP(B21,名簿!$E$4:$J$184,5,FALSE))</f>
        <v/>
      </c>
      <c r="E21" s="1548"/>
      <c r="F21" s="1100" t="str">
        <f>IF(B21="","",VLOOKUP(B21,名簿!$E$4:$W$184,4,FALSE))</f>
        <v/>
      </c>
      <c r="G21" s="759" t="str">
        <f>IF(B21="","",VLOOKUP(B21,名簿!$E$4:$J$184,6,FALSE))</f>
        <v/>
      </c>
      <c r="H21" s="754"/>
      <c r="I21" s="222"/>
      <c r="J21" s="246"/>
      <c r="K21" s="222"/>
      <c r="L21" s="222"/>
      <c r="M21" s="246"/>
      <c r="N21" s="476"/>
      <c r="O21" s="442"/>
      <c r="P21" s="442"/>
      <c r="Q21" s="442"/>
      <c r="R21" s="442"/>
      <c r="S21" s="442"/>
      <c r="T21" s="442"/>
      <c r="U21" s="442"/>
      <c r="V21" s="442"/>
      <c r="W21" s="442"/>
      <c r="X21" s="442"/>
      <c r="Y21" s="442" t="str">
        <f t="shared" si="0"/>
        <v/>
      </c>
      <c r="Z21" s="442" t="str">
        <f t="shared" si="1"/>
        <v/>
      </c>
      <c r="AA21" s="442" t="s">
        <v>525</v>
      </c>
      <c r="AB21" s="442"/>
      <c r="AC21" s="442" t="s">
        <v>599</v>
      </c>
      <c r="AD21" s="442"/>
    </row>
    <row r="22" spans="1:30" ht="30" customHeight="1">
      <c r="A22" s="466">
        <v>10</v>
      </c>
      <c r="B22" s="220"/>
      <c r="C22" s="758" t="str">
        <f>IF(B22="","",VLOOKUP(B22,名簿!$E$4:$J$184,3,FALSE))</f>
        <v/>
      </c>
      <c r="D22" s="1547" t="str">
        <f>IF(B22="","",VLOOKUP(B22,名簿!$E$4:$J$184,5,FALSE))</f>
        <v/>
      </c>
      <c r="E22" s="1548"/>
      <c r="F22" s="1100" t="str">
        <f>IF(B22="","",VLOOKUP(B22,名簿!$E$4:$W$184,4,FALSE))</f>
        <v/>
      </c>
      <c r="G22" s="759" t="str">
        <f>IF(B22="","",VLOOKUP(B22,名簿!$E$4:$J$184,6,FALSE))</f>
        <v/>
      </c>
      <c r="H22" s="754"/>
      <c r="I22" s="222"/>
      <c r="J22" s="246"/>
      <c r="K22" s="222"/>
      <c r="L22" s="222"/>
      <c r="M22" s="246"/>
      <c r="N22" s="476"/>
      <c r="O22" s="442"/>
      <c r="P22" s="442"/>
      <c r="Q22" s="442"/>
      <c r="R22" s="442"/>
      <c r="S22" s="442"/>
      <c r="T22" s="442"/>
      <c r="U22" s="442"/>
      <c r="V22" s="442"/>
      <c r="W22" s="442"/>
      <c r="X22" s="442"/>
      <c r="Y22" s="442" t="str">
        <f t="shared" si="0"/>
        <v/>
      </c>
      <c r="Z22" s="442" t="str">
        <f t="shared" si="1"/>
        <v/>
      </c>
      <c r="AA22" s="442" t="s">
        <v>582</v>
      </c>
      <c r="AB22" s="442"/>
      <c r="AC22" s="442"/>
      <c r="AD22" s="442"/>
    </row>
    <row r="23" spans="1:30" ht="30" customHeight="1">
      <c r="A23" s="466">
        <v>11</v>
      </c>
      <c r="B23" s="220"/>
      <c r="C23" s="758" t="str">
        <f>IF(B23="","",VLOOKUP(B23,名簿!$E$4:$J$184,3,FALSE))</f>
        <v/>
      </c>
      <c r="D23" s="1547" t="str">
        <f>IF(B23="","",VLOOKUP(B23,名簿!$E$4:$J$184,5,FALSE))</f>
        <v/>
      </c>
      <c r="E23" s="1548"/>
      <c r="F23" s="1100" t="str">
        <f>IF(B23="","",VLOOKUP(B23,名簿!$E$4:$W$184,4,FALSE))</f>
        <v/>
      </c>
      <c r="G23" s="759" t="str">
        <f>IF(B23="","",VLOOKUP(B23,名簿!$E$4:$J$184,6,FALSE))</f>
        <v/>
      </c>
      <c r="H23" s="754"/>
      <c r="I23" s="222"/>
      <c r="J23" s="246"/>
      <c r="K23" s="222"/>
      <c r="L23" s="222"/>
      <c r="M23" s="246"/>
      <c r="N23" s="476"/>
      <c r="O23" s="442"/>
      <c r="P23" s="442"/>
      <c r="Q23" s="442"/>
      <c r="R23" s="442"/>
      <c r="S23" s="442"/>
      <c r="T23" s="442"/>
      <c r="U23" s="442"/>
      <c r="V23" s="442"/>
      <c r="W23" s="442"/>
      <c r="X23" s="442"/>
      <c r="Y23" s="442" t="str">
        <f t="shared" si="0"/>
        <v/>
      </c>
      <c r="Z23" s="442" t="str">
        <f t="shared" si="1"/>
        <v/>
      </c>
      <c r="AA23" s="442" t="s">
        <v>527</v>
      </c>
      <c r="AB23" s="442"/>
      <c r="AC23" s="442"/>
      <c r="AD23" s="442"/>
    </row>
    <row r="24" spans="1:30" ht="30" customHeight="1">
      <c r="A24" s="466">
        <v>12</v>
      </c>
      <c r="B24" s="220"/>
      <c r="C24" s="758" t="str">
        <f>IF(B24="","",VLOOKUP(B24,名簿!$E$4:$J$184,3,FALSE))</f>
        <v/>
      </c>
      <c r="D24" s="1547" t="str">
        <f>IF(B24="","",VLOOKUP(B24,名簿!$E$4:$J$184,5,FALSE))</f>
        <v/>
      </c>
      <c r="E24" s="1548"/>
      <c r="F24" s="1100" t="str">
        <f>IF(B24="","",VLOOKUP(B24,名簿!$E$4:$W$184,4,FALSE))</f>
        <v/>
      </c>
      <c r="G24" s="759" t="str">
        <f>IF(B24="","",VLOOKUP(B24,名簿!$E$4:$J$184,6,FALSE))</f>
        <v/>
      </c>
      <c r="H24" s="754"/>
      <c r="I24" s="222"/>
      <c r="J24" s="246"/>
      <c r="K24" s="222"/>
      <c r="L24" s="222"/>
      <c r="M24" s="246"/>
      <c r="N24" s="476"/>
      <c r="O24" s="442"/>
      <c r="P24" s="442"/>
      <c r="Q24" s="442"/>
      <c r="R24" s="442"/>
      <c r="S24" s="442"/>
      <c r="T24" s="442"/>
      <c r="U24" s="442"/>
      <c r="V24" s="442"/>
      <c r="W24" s="442"/>
      <c r="X24" s="442"/>
      <c r="Y24" s="442" t="str">
        <f t="shared" si="0"/>
        <v/>
      </c>
      <c r="Z24" s="442" t="str">
        <f t="shared" si="1"/>
        <v/>
      </c>
      <c r="AA24" s="442" t="s">
        <v>583</v>
      </c>
      <c r="AB24" s="442"/>
      <c r="AC24" s="442"/>
      <c r="AD24" s="442"/>
    </row>
    <row r="25" spans="1:30" ht="30" customHeight="1">
      <c r="A25" s="466">
        <v>13</v>
      </c>
      <c r="B25" s="220"/>
      <c r="C25" s="758" t="str">
        <f>IF(B25="","",VLOOKUP(B25,名簿!$E$4:$J$184,3,FALSE))</f>
        <v/>
      </c>
      <c r="D25" s="1547" t="str">
        <f>IF(B25="","",VLOOKUP(B25,名簿!$E$4:$J$184,5,FALSE))</f>
        <v/>
      </c>
      <c r="E25" s="1548"/>
      <c r="F25" s="1100" t="str">
        <f>IF(B25="","",VLOOKUP(B25,名簿!$E$4:$W$184,4,FALSE))</f>
        <v/>
      </c>
      <c r="G25" s="759" t="str">
        <f>IF(B25="","",VLOOKUP(B25,名簿!$E$4:$J$184,6,FALSE))</f>
        <v/>
      </c>
      <c r="H25" s="754"/>
      <c r="I25" s="222"/>
      <c r="J25" s="246"/>
      <c r="K25" s="222"/>
      <c r="L25" s="222"/>
      <c r="M25" s="246"/>
      <c r="N25" s="476"/>
      <c r="O25" s="442"/>
      <c r="P25" s="442"/>
      <c r="Q25" s="442"/>
      <c r="R25" s="442"/>
      <c r="S25" s="442"/>
      <c r="T25" s="442"/>
      <c r="U25" s="442"/>
      <c r="V25" s="442"/>
      <c r="W25" s="442"/>
      <c r="X25" s="442"/>
      <c r="Y25" s="442" t="str">
        <f t="shared" si="0"/>
        <v/>
      </c>
      <c r="Z25" s="442" t="str">
        <f t="shared" si="1"/>
        <v/>
      </c>
      <c r="AA25" s="442" t="s">
        <v>584</v>
      </c>
      <c r="AB25" s="442"/>
      <c r="AC25" s="442"/>
      <c r="AD25" s="442"/>
    </row>
    <row r="26" spans="1:30" ht="30" customHeight="1">
      <c r="A26" s="466">
        <v>14</v>
      </c>
      <c r="B26" s="220"/>
      <c r="C26" s="758" t="str">
        <f>IF(B26="","",VLOOKUP(B26,名簿!$E$4:$J$184,3,FALSE))</f>
        <v/>
      </c>
      <c r="D26" s="1547" t="str">
        <f>IF(B26="","",VLOOKUP(B26,名簿!$E$4:$J$184,5,FALSE))</f>
        <v/>
      </c>
      <c r="E26" s="1548"/>
      <c r="F26" s="1100" t="str">
        <f>IF(B26="","",VLOOKUP(B26,名簿!$E$4:$W$184,4,FALSE))</f>
        <v/>
      </c>
      <c r="G26" s="759" t="str">
        <f>IF(B26="","",VLOOKUP(B26,名簿!$E$4:$J$184,6,FALSE))</f>
        <v/>
      </c>
      <c r="H26" s="754"/>
      <c r="I26" s="222"/>
      <c r="J26" s="246"/>
      <c r="K26" s="222"/>
      <c r="L26" s="222"/>
      <c r="M26" s="246"/>
      <c r="N26" s="476"/>
      <c r="O26" s="442"/>
      <c r="P26" s="442"/>
      <c r="Q26" s="442"/>
      <c r="R26" s="442"/>
      <c r="S26" s="442"/>
      <c r="T26" s="442"/>
      <c r="U26" s="442"/>
      <c r="V26" s="442"/>
      <c r="W26" s="442"/>
      <c r="X26" s="442"/>
      <c r="Y26" s="442" t="str">
        <f t="shared" si="0"/>
        <v/>
      </c>
      <c r="Z26" s="442" t="str">
        <f t="shared" si="1"/>
        <v/>
      </c>
      <c r="AA26" s="442" t="s">
        <v>585</v>
      </c>
      <c r="AB26" s="442"/>
      <c r="AC26" s="442"/>
      <c r="AD26" s="442"/>
    </row>
    <row r="27" spans="1:30" ht="30" customHeight="1">
      <c r="A27" s="466">
        <v>15</v>
      </c>
      <c r="B27" s="220"/>
      <c r="C27" s="758" t="str">
        <f>IF(B27="","",VLOOKUP(B27,名簿!$E$4:$J$184,3,FALSE))</f>
        <v/>
      </c>
      <c r="D27" s="1547" t="str">
        <f>IF(B27="","",VLOOKUP(B27,名簿!$E$4:$J$184,5,FALSE))</f>
        <v/>
      </c>
      <c r="E27" s="1548"/>
      <c r="F27" s="1100" t="str">
        <f>IF(B27="","",VLOOKUP(B27,名簿!$E$4:$W$184,4,FALSE))</f>
        <v/>
      </c>
      <c r="G27" s="759" t="str">
        <f>IF(B27="","",VLOOKUP(B27,名簿!$E$4:$J$184,6,FALSE))</f>
        <v/>
      </c>
      <c r="H27" s="754"/>
      <c r="I27" s="222"/>
      <c r="J27" s="246"/>
      <c r="K27" s="222"/>
      <c r="L27" s="222"/>
      <c r="M27" s="246"/>
      <c r="N27" s="476"/>
      <c r="O27" s="442"/>
      <c r="P27" s="442"/>
      <c r="Q27" s="442"/>
      <c r="R27" s="442"/>
      <c r="S27" s="442"/>
      <c r="T27" s="442"/>
      <c r="U27" s="442"/>
      <c r="V27" s="442"/>
      <c r="W27" s="442"/>
      <c r="X27" s="442"/>
      <c r="Y27" s="442" t="str">
        <f t="shared" si="0"/>
        <v/>
      </c>
      <c r="Z27" s="442" t="str">
        <f t="shared" si="1"/>
        <v/>
      </c>
      <c r="AA27" s="442" t="s">
        <v>586</v>
      </c>
      <c r="AB27" s="442"/>
      <c r="AC27" s="442"/>
      <c r="AD27" s="442"/>
    </row>
    <row r="28" spans="1:30" ht="30" customHeight="1">
      <c r="A28" s="466">
        <v>16</v>
      </c>
      <c r="B28" s="220"/>
      <c r="C28" s="758" t="str">
        <f>IF(B28="","",VLOOKUP(B28,名簿!$E$4:$J$184,3,FALSE))</f>
        <v/>
      </c>
      <c r="D28" s="1547" t="str">
        <f>IF(B28="","",VLOOKUP(B28,名簿!$E$4:$J$184,5,FALSE))</f>
        <v/>
      </c>
      <c r="E28" s="1548"/>
      <c r="F28" s="1100" t="str">
        <f>IF(B28="","",VLOOKUP(B28,名簿!$E$4:$W$184,4,FALSE))</f>
        <v/>
      </c>
      <c r="G28" s="759" t="str">
        <f>IF(B28="","",VLOOKUP(B28,名簿!$E$4:$J$184,6,FALSE))</f>
        <v/>
      </c>
      <c r="H28" s="754"/>
      <c r="I28" s="222"/>
      <c r="J28" s="246"/>
      <c r="K28" s="222"/>
      <c r="L28" s="222"/>
      <c r="M28" s="246"/>
      <c r="N28" s="476"/>
      <c r="O28" s="442"/>
      <c r="P28" s="442"/>
      <c r="Q28" s="442"/>
      <c r="R28" s="442"/>
      <c r="S28" s="442"/>
      <c r="T28" s="442"/>
      <c r="U28" s="442"/>
      <c r="V28" s="442"/>
      <c r="W28" s="442"/>
      <c r="X28" s="442"/>
      <c r="Y28" s="442" t="str">
        <f t="shared" si="0"/>
        <v/>
      </c>
      <c r="Z28" s="442" t="str">
        <f t="shared" si="1"/>
        <v/>
      </c>
      <c r="AA28" s="442" t="s">
        <v>607</v>
      </c>
      <c r="AB28" s="442"/>
      <c r="AC28" s="442"/>
      <c r="AD28" s="442"/>
    </row>
    <row r="29" spans="1:30" ht="30" customHeight="1">
      <c r="A29" s="466">
        <v>17</v>
      </c>
      <c r="B29" s="220"/>
      <c r="C29" s="758" t="str">
        <f>IF(B29="","",VLOOKUP(B29,名簿!$E$4:$J$184,3,FALSE))</f>
        <v/>
      </c>
      <c r="D29" s="1547" t="str">
        <f>IF(B29="","",VLOOKUP(B29,名簿!$E$4:$J$184,5,FALSE))</f>
        <v/>
      </c>
      <c r="E29" s="1548"/>
      <c r="F29" s="1100" t="str">
        <f>IF(B29="","",VLOOKUP(B29,名簿!$E$4:$W$184,4,FALSE))</f>
        <v/>
      </c>
      <c r="G29" s="759" t="str">
        <f>IF(B29="","",VLOOKUP(B29,名簿!$E$4:$J$184,6,FALSE))</f>
        <v/>
      </c>
      <c r="H29" s="754"/>
      <c r="I29" s="222"/>
      <c r="J29" s="246"/>
      <c r="K29" s="222"/>
      <c r="L29" s="222"/>
      <c r="M29" s="246"/>
      <c r="N29" s="476"/>
      <c r="O29" s="442"/>
      <c r="P29" s="442"/>
      <c r="Q29" s="442"/>
      <c r="R29" s="442"/>
      <c r="S29" s="442"/>
      <c r="T29" s="442"/>
      <c r="U29" s="442"/>
      <c r="V29" s="442"/>
      <c r="W29" s="442"/>
      <c r="X29" s="442"/>
      <c r="Y29" s="442" t="str">
        <f t="shared" si="0"/>
        <v/>
      </c>
      <c r="Z29" s="442" t="str">
        <f t="shared" si="1"/>
        <v/>
      </c>
      <c r="AA29" s="442"/>
      <c r="AB29" s="442"/>
      <c r="AC29" s="442"/>
      <c r="AD29" s="442"/>
    </row>
    <row r="30" spans="1:30" ht="30" customHeight="1">
      <c r="A30" s="466">
        <v>18</v>
      </c>
      <c r="B30" s="220"/>
      <c r="C30" s="758" t="str">
        <f>IF(B30="","",VLOOKUP(B30,名簿!$E$4:$J$184,3,FALSE))</f>
        <v/>
      </c>
      <c r="D30" s="1547" t="str">
        <f>IF(B30="","",VLOOKUP(B30,名簿!$E$4:$J$184,5,FALSE))</f>
        <v/>
      </c>
      <c r="E30" s="1548"/>
      <c r="F30" s="1100" t="str">
        <f>IF(B30="","",VLOOKUP(B30,名簿!$E$4:$W$184,4,FALSE))</f>
        <v/>
      </c>
      <c r="G30" s="759" t="str">
        <f>IF(B30="","",VLOOKUP(B30,名簿!$E$4:$J$184,6,FALSE))</f>
        <v/>
      </c>
      <c r="H30" s="754"/>
      <c r="I30" s="222"/>
      <c r="J30" s="246"/>
      <c r="K30" s="222"/>
      <c r="L30" s="222"/>
      <c r="M30" s="246"/>
      <c r="N30" s="476"/>
      <c r="O30" s="442"/>
      <c r="P30" s="442"/>
      <c r="Q30" s="442"/>
      <c r="R30" s="442"/>
      <c r="S30" s="442"/>
      <c r="T30" s="442"/>
      <c r="U30" s="442"/>
      <c r="V30" s="442"/>
      <c r="W30" s="442"/>
      <c r="X30" s="442"/>
      <c r="Y30" s="442" t="str">
        <f t="shared" si="0"/>
        <v/>
      </c>
      <c r="Z30" s="442" t="str">
        <f t="shared" si="1"/>
        <v/>
      </c>
      <c r="AA30" s="442"/>
      <c r="AB30" s="442"/>
      <c r="AC30" s="442"/>
      <c r="AD30" s="442"/>
    </row>
    <row r="31" spans="1:30" ht="30" customHeight="1">
      <c r="A31" s="466">
        <v>19</v>
      </c>
      <c r="B31" s="220"/>
      <c r="C31" s="758" t="str">
        <f>IF(B31="","",VLOOKUP(B31,名簿!$E$4:$J$184,3,FALSE))</f>
        <v/>
      </c>
      <c r="D31" s="1547" t="str">
        <f>IF(B31="","",VLOOKUP(B31,名簿!$E$4:$J$184,5,FALSE))</f>
        <v/>
      </c>
      <c r="E31" s="1548"/>
      <c r="F31" s="1100" t="str">
        <f>IF(B31="","",VLOOKUP(B31,名簿!$E$4:$W$184,4,FALSE))</f>
        <v/>
      </c>
      <c r="G31" s="759" t="str">
        <f>IF(B31="","",VLOOKUP(B31,名簿!$E$4:$J$184,6,FALSE))</f>
        <v/>
      </c>
      <c r="H31" s="754"/>
      <c r="I31" s="222"/>
      <c r="J31" s="246"/>
      <c r="K31" s="222"/>
      <c r="L31" s="222"/>
      <c r="M31" s="246"/>
      <c r="N31" s="476"/>
      <c r="O31" s="442"/>
      <c r="P31" s="442"/>
      <c r="Q31" s="442"/>
      <c r="R31" s="442"/>
      <c r="S31" s="442"/>
      <c r="T31" s="442"/>
      <c r="U31" s="442"/>
      <c r="V31" s="442"/>
      <c r="W31" s="442"/>
      <c r="X31" s="442"/>
      <c r="Y31" s="442" t="str">
        <f t="shared" si="0"/>
        <v/>
      </c>
      <c r="Z31" s="442" t="str">
        <f t="shared" si="1"/>
        <v/>
      </c>
      <c r="AA31" s="442"/>
      <c r="AB31" s="442"/>
      <c r="AC31" s="442"/>
      <c r="AD31" s="442"/>
    </row>
    <row r="32" spans="1:30" ht="30" customHeight="1">
      <c r="A32" s="466">
        <v>20</v>
      </c>
      <c r="B32" s="220"/>
      <c r="C32" s="758" t="str">
        <f>IF(B32="","",VLOOKUP(B32,名簿!$E$4:$J$184,3,FALSE))</f>
        <v/>
      </c>
      <c r="D32" s="1547" t="str">
        <f>IF(B32="","",VLOOKUP(B32,名簿!$E$4:$J$184,5,FALSE))</f>
        <v/>
      </c>
      <c r="E32" s="1548"/>
      <c r="F32" s="1100" t="str">
        <f>IF(B32="","",VLOOKUP(B32,名簿!$E$4:$W$184,4,FALSE))</f>
        <v/>
      </c>
      <c r="G32" s="759" t="str">
        <f>IF(B32="","",VLOOKUP(B32,名簿!$E$4:$J$184,6,FALSE))</f>
        <v/>
      </c>
      <c r="H32" s="754"/>
      <c r="I32" s="222"/>
      <c r="J32" s="246"/>
      <c r="K32" s="222"/>
      <c r="L32" s="222"/>
      <c r="M32" s="246"/>
      <c r="N32" s="476"/>
      <c r="O32" s="442"/>
      <c r="P32" s="442"/>
      <c r="Q32" s="442"/>
      <c r="R32" s="442"/>
      <c r="S32" s="442"/>
      <c r="T32" s="442"/>
      <c r="U32" s="442"/>
      <c r="V32" s="442"/>
      <c r="W32" s="442"/>
      <c r="X32" s="442"/>
      <c r="Y32" s="442" t="str">
        <f t="shared" si="0"/>
        <v/>
      </c>
      <c r="Z32" s="442" t="str">
        <f t="shared" si="1"/>
        <v/>
      </c>
      <c r="AA32" s="442"/>
      <c r="AB32" s="442"/>
      <c r="AC32" s="442"/>
      <c r="AD32" s="442"/>
    </row>
    <row r="33" spans="1:30" ht="30" customHeight="1">
      <c r="A33" s="466">
        <v>21</v>
      </c>
      <c r="B33" s="220"/>
      <c r="C33" s="758" t="str">
        <f>IF(B33="","",VLOOKUP(B33,名簿!$E$4:$J$184,3,FALSE))</f>
        <v/>
      </c>
      <c r="D33" s="1547" t="str">
        <f>IF(B33="","",VLOOKUP(B33,名簿!$E$4:$J$184,5,FALSE))</f>
        <v/>
      </c>
      <c r="E33" s="1548"/>
      <c r="F33" s="1100" t="str">
        <f>IF(B33="","",VLOOKUP(B33,名簿!$E$4:$W$184,4,FALSE))</f>
        <v/>
      </c>
      <c r="G33" s="759" t="str">
        <f>IF(B33="","",VLOOKUP(B33,名簿!$E$4:$J$184,6,FALSE))</f>
        <v/>
      </c>
      <c r="H33" s="754"/>
      <c r="I33" s="222"/>
      <c r="J33" s="246"/>
      <c r="K33" s="222"/>
      <c r="L33" s="222"/>
      <c r="M33" s="246"/>
      <c r="N33" s="476"/>
      <c r="O33" s="442"/>
      <c r="P33" s="442"/>
      <c r="Q33" s="442"/>
      <c r="R33" s="442"/>
      <c r="S33" s="442"/>
      <c r="T33" s="442"/>
      <c r="U33" s="442"/>
      <c r="V33" s="442"/>
      <c r="W33" s="442"/>
      <c r="X33" s="442"/>
      <c r="Y33" s="442" t="str">
        <f t="shared" si="0"/>
        <v/>
      </c>
      <c r="Z33" s="442" t="str">
        <f t="shared" si="1"/>
        <v/>
      </c>
      <c r="AA33" s="442"/>
      <c r="AB33" s="442"/>
      <c r="AC33" s="442"/>
      <c r="AD33" s="442"/>
    </row>
    <row r="34" spans="1:30" ht="30" customHeight="1">
      <c r="A34" s="466">
        <v>22</v>
      </c>
      <c r="B34" s="220"/>
      <c r="C34" s="758" t="str">
        <f>IF(B34="","",VLOOKUP(B34,名簿!$E$4:$J$184,3,FALSE))</f>
        <v/>
      </c>
      <c r="D34" s="1547" t="str">
        <f>IF(B34="","",VLOOKUP(B34,名簿!$E$4:$J$184,5,FALSE))</f>
        <v/>
      </c>
      <c r="E34" s="1548"/>
      <c r="F34" s="1100" t="str">
        <f>IF(B34="","",VLOOKUP(B34,名簿!$E$4:$W$184,4,FALSE))</f>
        <v/>
      </c>
      <c r="G34" s="759" t="str">
        <f>IF(B34="","",VLOOKUP(B34,名簿!$E$4:$J$184,6,FALSE))</f>
        <v/>
      </c>
      <c r="H34" s="754"/>
      <c r="I34" s="222"/>
      <c r="J34" s="246"/>
      <c r="K34" s="222"/>
      <c r="L34" s="222"/>
      <c r="M34" s="246"/>
      <c r="N34" s="476"/>
      <c r="O34" s="442"/>
      <c r="P34" s="442"/>
      <c r="Q34" s="442"/>
      <c r="R34" s="442"/>
      <c r="S34" s="442"/>
      <c r="T34" s="442"/>
      <c r="U34" s="442"/>
      <c r="V34" s="442"/>
      <c r="W34" s="442"/>
      <c r="X34" s="442"/>
      <c r="Y34" s="442" t="str">
        <f t="shared" si="0"/>
        <v/>
      </c>
      <c r="Z34" s="442" t="str">
        <f t="shared" si="1"/>
        <v/>
      </c>
      <c r="AA34" s="442"/>
      <c r="AB34" s="442"/>
      <c r="AC34" s="442"/>
      <c r="AD34" s="442"/>
    </row>
    <row r="35" spans="1:30" ht="30" customHeight="1">
      <c r="A35" s="466">
        <v>23</v>
      </c>
      <c r="B35" s="220"/>
      <c r="C35" s="758" t="str">
        <f>IF(B35="","",VLOOKUP(B35,名簿!$E$4:$J$184,3,FALSE))</f>
        <v/>
      </c>
      <c r="D35" s="1547" t="str">
        <f>IF(B35="","",VLOOKUP(B35,名簿!$E$4:$J$184,5,FALSE))</f>
        <v/>
      </c>
      <c r="E35" s="1548"/>
      <c r="F35" s="1100" t="str">
        <f>IF(B35="","",VLOOKUP(B35,名簿!$E$4:$W$184,4,FALSE))</f>
        <v/>
      </c>
      <c r="G35" s="759" t="str">
        <f>IF(B35="","",VLOOKUP(B35,名簿!$E$4:$J$184,6,FALSE))</f>
        <v/>
      </c>
      <c r="H35" s="754"/>
      <c r="I35" s="222"/>
      <c r="J35" s="246"/>
      <c r="K35" s="222"/>
      <c r="L35" s="222"/>
      <c r="M35" s="246"/>
      <c r="N35" s="476"/>
      <c r="O35" s="442"/>
      <c r="P35" s="442"/>
      <c r="Q35" s="442"/>
      <c r="R35" s="442"/>
      <c r="S35" s="442"/>
      <c r="T35" s="442"/>
      <c r="U35" s="442"/>
      <c r="V35" s="442"/>
      <c r="W35" s="442"/>
      <c r="X35" s="442"/>
      <c r="Y35" s="442" t="str">
        <f t="shared" si="0"/>
        <v/>
      </c>
      <c r="Z35" s="442" t="str">
        <f t="shared" si="1"/>
        <v/>
      </c>
      <c r="AA35" s="442"/>
      <c r="AB35" s="442"/>
      <c r="AC35" s="442"/>
      <c r="AD35" s="442"/>
    </row>
    <row r="36" spans="1:30" ht="30" customHeight="1">
      <c r="A36" s="466">
        <v>24</v>
      </c>
      <c r="B36" s="220"/>
      <c r="C36" s="758" t="str">
        <f>IF(B36="","",VLOOKUP(B36,名簿!$E$4:$J$184,3,FALSE))</f>
        <v/>
      </c>
      <c r="D36" s="1547" t="str">
        <f>IF(B36="","",VLOOKUP(B36,名簿!$E$4:$J$184,5,FALSE))</f>
        <v/>
      </c>
      <c r="E36" s="1548"/>
      <c r="F36" s="1100" t="str">
        <f>IF(B36="","",VLOOKUP(B36,名簿!$E$4:$W$184,4,FALSE))</f>
        <v/>
      </c>
      <c r="G36" s="759" t="str">
        <f>IF(B36="","",VLOOKUP(B36,名簿!$E$4:$J$184,6,FALSE))</f>
        <v/>
      </c>
      <c r="H36" s="754"/>
      <c r="I36" s="222"/>
      <c r="J36" s="246"/>
      <c r="K36" s="222"/>
      <c r="L36" s="222"/>
      <c r="M36" s="246"/>
      <c r="N36" s="476"/>
      <c r="O36" s="442"/>
      <c r="P36" s="442"/>
      <c r="Q36" s="442"/>
      <c r="R36" s="442"/>
      <c r="S36" s="442"/>
      <c r="T36" s="442"/>
      <c r="U36" s="442"/>
      <c r="V36" s="442"/>
      <c r="W36" s="442"/>
      <c r="X36" s="442"/>
      <c r="Y36" s="442" t="str">
        <f t="shared" si="0"/>
        <v/>
      </c>
      <c r="Z36" s="442" t="str">
        <f t="shared" si="1"/>
        <v/>
      </c>
      <c r="AA36" s="442"/>
      <c r="AB36" s="442"/>
      <c r="AC36" s="442"/>
      <c r="AD36" s="442"/>
    </row>
    <row r="37" spans="1:30" ht="30" customHeight="1">
      <c r="A37" s="467">
        <v>25</v>
      </c>
      <c r="B37" s="223"/>
      <c r="C37" s="1101" t="str">
        <f>IF(B37="","",VLOOKUP(B37,名簿!$E$4:$J$184,3,FALSE))</f>
        <v/>
      </c>
      <c r="D37" s="1569" t="str">
        <f>IF(B37="","",VLOOKUP(B37,名簿!$E$4:$J$184,5,FALSE))</f>
        <v/>
      </c>
      <c r="E37" s="1570"/>
      <c r="F37" s="1102" t="str">
        <f>IF(B37="","",VLOOKUP(B37,名簿!$E$4:$W$184,4,FALSE))</f>
        <v/>
      </c>
      <c r="G37" s="1103" t="str">
        <f>IF(B37="","",VLOOKUP(B37,名簿!$E$4:$J$184,6,FALSE))</f>
        <v/>
      </c>
      <c r="H37" s="755"/>
      <c r="I37" s="224"/>
      <c r="J37" s="247"/>
      <c r="K37" s="224"/>
      <c r="L37" s="224"/>
      <c r="M37" s="247"/>
      <c r="N37" s="477"/>
      <c r="O37" s="442"/>
      <c r="P37" s="442"/>
      <c r="Q37" s="442"/>
      <c r="R37" s="442"/>
      <c r="S37" s="442"/>
      <c r="T37" s="442"/>
      <c r="U37" s="442"/>
      <c r="V37" s="442"/>
      <c r="W37" s="442"/>
      <c r="X37" s="442"/>
      <c r="Y37" s="442" t="str">
        <f t="shared" si="0"/>
        <v/>
      </c>
      <c r="Z37" s="442" t="str">
        <f t="shared" si="1"/>
        <v/>
      </c>
      <c r="AA37" s="442"/>
      <c r="AB37" s="442"/>
      <c r="AC37" s="442"/>
      <c r="AD37" s="442"/>
    </row>
    <row r="38" spans="1:30">
      <c r="A38" s="442"/>
      <c r="B38" s="442"/>
      <c r="C38" s="442"/>
      <c r="D38" s="468"/>
      <c r="E38" s="468"/>
      <c r="F38" s="468"/>
      <c r="G38" s="442"/>
      <c r="H38" s="442"/>
      <c r="I38" s="442"/>
      <c r="J38" s="469"/>
      <c r="K38" s="469"/>
      <c r="L38" s="1572" t="s">
        <v>479</v>
      </c>
      <c r="M38" s="1572"/>
      <c r="N38" s="1572"/>
      <c r="O38" s="469"/>
      <c r="P38" s="469"/>
      <c r="Q38" s="469"/>
      <c r="R38" s="442"/>
      <c r="S38" s="442"/>
      <c r="T38" s="442"/>
      <c r="U38" s="442"/>
      <c r="V38" s="442"/>
      <c r="W38" s="442"/>
      <c r="X38" s="442"/>
      <c r="Y38" s="442"/>
      <c r="Z38" s="442"/>
      <c r="AA38" s="442"/>
      <c r="AB38" s="442"/>
      <c r="AC38" s="442"/>
      <c r="AD38" s="442"/>
    </row>
    <row r="39" spans="1:30" ht="11.25" customHeight="1">
      <c r="A39" s="442"/>
      <c r="B39" s="471"/>
      <c r="C39" s="471"/>
      <c r="D39" s="471"/>
      <c r="E39" s="471"/>
      <c r="F39" s="471"/>
      <c r="G39" s="472"/>
      <c r="H39" s="472"/>
      <c r="I39" s="472"/>
      <c r="J39" s="472"/>
      <c r="K39" s="472"/>
      <c r="L39" s="472"/>
      <c r="M39" s="472"/>
      <c r="N39" s="470"/>
      <c r="O39" s="469"/>
      <c r="P39" s="442"/>
      <c r="Q39" s="442"/>
      <c r="R39" s="442"/>
      <c r="S39" s="442"/>
      <c r="T39" s="442"/>
      <c r="U39" s="442"/>
      <c r="V39" s="442"/>
      <c r="W39" s="442"/>
      <c r="X39" s="442"/>
      <c r="Y39" s="442"/>
      <c r="Z39" s="442"/>
      <c r="AA39" s="442"/>
      <c r="AB39" s="442"/>
      <c r="AC39" s="442"/>
      <c r="AD39" s="442"/>
    </row>
    <row r="40" spans="1:30">
      <c r="A40" s="442"/>
      <c r="B40" s="442"/>
      <c r="C40" s="442"/>
      <c r="D40" s="442"/>
      <c r="E40" s="442"/>
      <c r="F40" s="442"/>
      <c r="G40" s="442"/>
      <c r="H40" s="442"/>
      <c r="I40" s="442"/>
      <c r="J40" s="442"/>
      <c r="K40" s="442"/>
      <c r="L40" s="442"/>
      <c r="M40" s="1571" t="s">
        <v>532</v>
      </c>
      <c r="N40" s="1571"/>
      <c r="O40" s="442"/>
      <c r="P40" s="442"/>
      <c r="Q40" s="442"/>
      <c r="R40" s="442"/>
      <c r="S40" s="442"/>
      <c r="T40" s="442"/>
      <c r="U40" s="442"/>
      <c r="V40" s="442"/>
      <c r="W40" s="442"/>
      <c r="X40" s="442"/>
      <c r="Y40" s="442"/>
      <c r="Z40" s="442"/>
      <c r="AA40" s="442"/>
      <c r="AB40" s="442"/>
      <c r="AC40" s="442"/>
      <c r="AD40" s="442"/>
    </row>
    <row r="41" spans="1:30">
      <c r="A41" s="442"/>
      <c r="B41" s="442"/>
      <c r="C41" s="442"/>
      <c r="D41" s="442"/>
      <c r="E41" s="442"/>
      <c r="F41" s="442"/>
      <c r="G41" s="442"/>
      <c r="H41" s="442"/>
      <c r="I41" s="473"/>
      <c r="J41" s="473"/>
      <c r="K41" s="473"/>
      <c r="L41" s="474">
        <f>(O38+P38+Q38)*1000+(O40+P40)*2000</f>
        <v>0</v>
      </c>
      <c r="M41" s="442"/>
      <c r="N41" s="442"/>
      <c r="O41" s="442"/>
      <c r="P41" s="442"/>
      <c r="Q41" s="442"/>
      <c r="R41" s="442"/>
      <c r="S41" s="442"/>
      <c r="T41" s="442"/>
      <c r="U41" s="442"/>
      <c r="V41" s="442"/>
      <c r="W41" s="442"/>
      <c r="X41" s="442"/>
      <c r="Y41" s="442"/>
      <c r="Z41" s="442"/>
      <c r="AA41" s="442"/>
      <c r="AB41" s="442"/>
      <c r="AC41" s="442"/>
      <c r="AD41" s="442"/>
    </row>
    <row r="42" spans="1:30" ht="18" thickBot="1">
      <c r="A42" s="437"/>
      <c r="B42" s="438"/>
      <c r="C42" s="438"/>
      <c r="D42" s="438"/>
      <c r="E42" s="438"/>
      <c r="F42" s="439" t="s">
        <v>480</v>
      </c>
      <c r="G42" s="438"/>
      <c r="H42" s="438"/>
      <c r="I42" s="438"/>
      <c r="J42" s="438"/>
      <c r="K42" s="438"/>
      <c r="L42" s="438"/>
      <c r="M42" s="438"/>
      <c r="N42" s="440" t="s">
        <v>481</v>
      </c>
      <c r="O42" s="441"/>
      <c r="P42" s="442"/>
      <c r="Q42" s="442"/>
      <c r="R42" s="442"/>
      <c r="S42" s="442"/>
      <c r="T42" s="442"/>
      <c r="U42" s="442"/>
      <c r="V42" s="442"/>
      <c r="W42" s="442"/>
      <c r="X42" s="442"/>
      <c r="Y42" s="442"/>
      <c r="Z42" s="442"/>
      <c r="AA42" s="442"/>
      <c r="AB42" s="442"/>
      <c r="AC42" s="442"/>
      <c r="AD42" s="442"/>
    </row>
    <row r="43" spans="1:30" ht="18" thickBot="1">
      <c r="A43" s="1508" t="s">
        <v>481</v>
      </c>
      <c r="B43" s="1508"/>
      <c r="C43" s="443"/>
      <c r="D43" s="443"/>
      <c r="E43" s="443"/>
      <c r="F43" s="438"/>
      <c r="G43" s="438"/>
      <c r="H43" s="438"/>
      <c r="I43" s="444"/>
      <c r="J43" s="443"/>
      <c r="K43" s="443"/>
      <c r="L43" s="216" t="s">
        <v>482</v>
      </c>
      <c r="M43" s="217"/>
      <c r="N43" s="218" t="s">
        <v>483</v>
      </c>
      <c r="O43" s="441"/>
      <c r="P43" s="442"/>
      <c r="Q43" s="442"/>
      <c r="R43" s="442"/>
      <c r="S43" s="442"/>
      <c r="T43" s="442"/>
      <c r="U43" s="442"/>
      <c r="V43" s="442"/>
      <c r="W43" s="442"/>
      <c r="X43" s="442"/>
      <c r="Y43" s="442"/>
      <c r="Z43" s="442"/>
      <c r="AA43" s="442"/>
      <c r="AB43" s="442"/>
      <c r="AC43" s="442"/>
      <c r="AD43" s="442"/>
    </row>
    <row r="44" spans="1:30" ht="30" customHeight="1">
      <c r="A44" s="1517" t="s">
        <v>484</v>
      </c>
      <c r="B44" s="1517"/>
      <c r="C44" s="437"/>
      <c r="D44" s="445"/>
      <c r="E44" s="445"/>
      <c r="F44" s="445"/>
      <c r="G44" s="445"/>
      <c r="H44" s="445"/>
      <c r="I44" s="445" t="s">
        <v>278</v>
      </c>
      <c r="J44" s="1551"/>
      <c r="K44" s="1551"/>
      <c r="L44" s="1551"/>
      <c r="M44" s="1551"/>
      <c r="N44" s="1551"/>
      <c r="O44" s="446"/>
      <c r="P44" s="442"/>
      <c r="Q44" s="442"/>
      <c r="R44" s="442"/>
      <c r="S44" s="442"/>
      <c r="T44" s="442"/>
      <c r="U44" s="442"/>
      <c r="V44" s="442"/>
      <c r="W44" s="442"/>
      <c r="X44" s="442"/>
      <c r="Y44" s="442"/>
      <c r="Z44" s="442"/>
      <c r="AA44" s="442"/>
      <c r="AB44" s="442"/>
      <c r="AC44" s="442"/>
      <c r="AD44" s="442"/>
    </row>
    <row r="45" spans="1:30" ht="12.75">
      <c r="A45" s="1509" t="s">
        <v>485</v>
      </c>
      <c r="B45" s="1509"/>
      <c r="C45" s="1509"/>
      <c r="D45" s="1510"/>
      <c r="E45" s="1510"/>
      <c r="F45" s="1510"/>
      <c r="G45" s="1510"/>
      <c r="H45" s="1510"/>
      <c r="I45" s="1510"/>
      <c r="J45" s="437"/>
      <c r="K45" s="437"/>
      <c r="L45" s="437"/>
      <c r="M45" s="437"/>
      <c r="N45" s="437"/>
      <c r="O45" s="447"/>
      <c r="P45" s="442"/>
      <c r="Q45" s="442"/>
      <c r="R45" s="442"/>
      <c r="S45" s="442"/>
      <c r="T45" s="442"/>
      <c r="U45" s="442"/>
      <c r="V45" s="442"/>
      <c r="W45" s="442"/>
      <c r="X45" s="442"/>
      <c r="Y45" s="442"/>
      <c r="Z45" s="442"/>
      <c r="AA45" s="442"/>
      <c r="AB45" s="442"/>
      <c r="AC45" s="442"/>
      <c r="AD45" s="442"/>
    </row>
    <row r="46" spans="1:30" ht="11.25" customHeight="1">
      <c r="A46" s="1511" t="s">
        <v>486</v>
      </c>
      <c r="B46" s="1512"/>
      <c r="C46" s="1512"/>
      <c r="D46" s="1511" t="s">
        <v>487</v>
      </c>
      <c r="E46" s="1512"/>
      <c r="F46" s="1512"/>
      <c r="G46" s="1512"/>
      <c r="H46" s="1552"/>
      <c r="I46" s="1515" t="s">
        <v>488</v>
      </c>
      <c r="J46" s="1543">
        <f>名簿!$Q$1</f>
        <v>0</v>
      </c>
      <c r="K46" s="1559"/>
      <c r="L46" s="1544"/>
      <c r="M46" s="1563" t="s">
        <v>489</v>
      </c>
      <c r="N46" s="1563">
        <f>名簿!C4</f>
        <v>0</v>
      </c>
      <c r="O46" s="442"/>
      <c r="P46" s="442"/>
      <c r="Q46" s="442"/>
      <c r="R46" s="442"/>
      <c r="S46" s="442"/>
      <c r="T46" s="442"/>
      <c r="U46" s="442"/>
      <c r="V46" s="442"/>
      <c r="W46" s="442"/>
      <c r="X46" s="442"/>
      <c r="Y46" s="442"/>
      <c r="Z46" s="442"/>
      <c r="AA46" s="442"/>
      <c r="AB46" s="442"/>
      <c r="AC46" s="442"/>
      <c r="AD46" s="442"/>
    </row>
    <row r="47" spans="1:30">
      <c r="A47" s="1513"/>
      <c r="B47" s="1514"/>
      <c r="C47" s="1514"/>
      <c r="D47" s="1513"/>
      <c r="E47" s="1514"/>
      <c r="F47" s="1514"/>
      <c r="G47" s="1514"/>
      <c r="H47" s="1553"/>
      <c r="I47" s="1516"/>
      <c r="J47" s="1560"/>
      <c r="K47" s="1561"/>
      <c r="L47" s="1562"/>
      <c r="M47" s="1564"/>
      <c r="N47" s="1564"/>
      <c r="O47" s="442"/>
      <c r="P47" s="442"/>
      <c r="Q47" s="442"/>
      <c r="R47" s="442"/>
      <c r="S47" s="442"/>
      <c r="T47" s="442"/>
      <c r="U47" s="442"/>
      <c r="V47" s="442"/>
      <c r="W47" s="442"/>
      <c r="X47" s="442"/>
      <c r="Y47" s="442"/>
      <c r="Z47" s="442"/>
      <c r="AA47" s="442"/>
      <c r="AB47" s="442"/>
      <c r="AC47" s="442"/>
      <c r="AD47" s="442"/>
    </row>
    <row r="48" spans="1:30" ht="17.25" customHeight="1">
      <c r="A48" s="1524">
        <f>名簿!$O$4</f>
        <v>0</v>
      </c>
      <c r="B48" s="1525"/>
      <c r="C48" s="1526"/>
      <c r="D48" s="1530"/>
      <c r="E48" s="1531"/>
      <c r="F48" s="1531"/>
      <c r="G48" s="1531"/>
      <c r="H48" s="1554" t="s">
        <v>490</v>
      </c>
      <c r="I48" s="449" t="s">
        <v>491</v>
      </c>
      <c r="J48" s="1573">
        <f>名簿!$I$1</f>
        <v>0</v>
      </c>
      <c r="K48" s="1567"/>
      <c r="L48" s="1567"/>
      <c r="M48" s="452" t="s">
        <v>492</v>
      </c>
      <c r="N48" s="453"/>
      <c r="O48" s="442"/>
      <c r="P48" s="442"/>
      <c r="Q48" s="442"/>
      <c r="R48" s="442"/>
      <c r="S48" s="442"/>
      <c r="T48" s="442"/>
      <c r="U48" s="442"/>
      <c r="V48" s="442"/>
      <c r="W48" s="442"/>
      <c r="X48" s="442"/>
      <c r="Y48" s="442"/>
      <c r="Z48" s="442"/>
      <c r="AA48" s="442"/>
      <c r="AB48" s="442"/>
      <c r="AC48" s="442"/>
      <c r="AD48" s="442"/>
    </row>
    <row r="49" spans="1:30" ht="16.5" customHeight="1">
      <c r="A49" s="1527"/>
      <c r="B49" s="1528"/>
      <c r="C49" s="1529"/>
      <c r="D49" s="1532"/>
      <c r="E49" s="1533"/>
      <c r="F49" s="1533"/>
      <c r="G49" s="1533"/>
      <c r="H49" s="1555"/>
      <c r="I49" s="449" t="s">
        <v>493</v>
      </c>
      <c r="J49" s="1573">
        <f>J48</f>
        <v>0</v>
      </c>
      <c r="K49" s="1574"/>
      <c r="L49" s="1574"/>
      <c r="M49" s="1574"/>
      <c r="N49" s="1575"/>
      <c r="O49" s="442"/>
      <c r="P49" s="442"/>
      <c r="Q49" s="442"/>
      <c r="R49" s="442"/>
      <c r="S49" s="442"/>
      <c r="T49" s="442"/>
      <c r="U49" s="442"/>
      <c r="V49" s="442"/>
      <c r="W49" s="442"/>
      <c r="X49" s="442"/>
      <c r="Y49" s="442"/>
      <c r="Z49" s="442"/>
      <c r="AA49" s="442"/>
      <c r="AB49" s="442"/>
      <c r="AC49" s="442"/>
      <c r="AD49" s="442"/>
    </row>
    <row r="50" spans="1:30" ht="16.5" customHeight="1">
      <c r="A50" s="1536" t="s">
        <v>494</v>
      </c>
      <c r="B50" s="1537"/>
      <c r="C50" s="1538"/>
      <c r="D50" s="1534"/>
      <c r="E50" s="1535"/>
      <c r="F50" s="1535"/>
      <c r="G50" s="1535"/>
      <c r="H50" s="1556"/>
      <c r="I50" s="454" t="s">
        <v>495</v>
      </c>
      <c r="J50" s="1521"/>
      <c r="K50" s="1522"/>
      <c r="L50" s="1522"/>
      <c r="M50" s="1522"/>
      <c r="N50" s="1523"/>
      <c r="O50" s="442"/>
      <c r="P50" s="442"/>
      <c r="Q50" s="442"/>
      <c r="R50" s="442"/>
      <c r="S50" s="442"/>
      <c r="T50" s="442"/>
      <c r="U50" s="442"/>
      <c r="V50" s="442"/>
      <c r="W50" s="442"/>
      <c r="X50" s="442"/>
      <c r="Y50" s="442"/>
      <c r="Z50" s="442"/>
      <c r="AA50" s="442"/>
      <c r="AB50" s="442"/>
      <c r="AC50" s="442"/>
      <c r="AD50" s="442"/>
    </row>
    <row r="51" spans="1:30" ht="11.25" customHeight="1">
      <c r="A51" s="1539"/>
      <c r="B51" s="1542" t="s">
        <v>605</v>
      </c>
      <c r="C51" s="1541" t="s">
        <v>497</v>
      </c>
      <c r="D51" s="1543" t="s">
        <v>498</v>
      </c>
      <c r="E51" s="1544"/>
      <c r="F51" s="1541" t="s">
        <v>499</v>
      </c>
      <c r="G51" s="1541" t="s">
        <v>500</v>
      </c>
      <c r="H51" s="448"/>
      <c r="I51" s="1565" t="s">
        <v>501</v>
      </c>
      <c r="J51" s="1565"/>
      <c r="K51" s="1565"/>
      <c r="L51" s="1565"/>
      <c r="M51" s="1565"/>
      <c r="N51" s="455" t="s">
        <v>502</v>
      </c>
      <c r="O51" s="442"/>
      <c r="P51" s="442"/>
      <c r="Q51" s="442"/>
      <c r="R51" s="442"/>
      <c r="S51" s="442"/>
      <c r="T51" s="442"/>
      <c r="U51" s="442"/>
      <c r="V51" s="442"/>
      <c r="W51" s="442"/>
      <c r="X51" s="442"/>
      <c r="Y51" s="442"/>
      <c r="Z51" s="442"/>
      <c r="AA51" s="442"/>
      <c r="AB51" s="442"/>
      <c r="AC51" s="442"/>
      <c r="AD51" s="442"/>
    </row>
    <row r="52" spans="1:30" ht="11.25" customHeight="1" thickBot="1">
      <c r="A52" s="1540"/>
      <c r="B52" s="1524"/>
      <c r="C52" s="1515"/>
      <c r="D52" s="1545"/>
      <c r="E52" s="1546"/>
      <c r="F52" s="1515"/>
      <c r="G52" s="1515"/>
      <c r="H52" s="1518" t="s">
        <v>503</v>
      </c>
      <c r="I52" s="1519"/>
      <c r="J52" s="1520"/>
      <c r="K52" s="1518" t="s">
        <v>504</v>
      </c>
      <c r="L52" s="1519"/>
      <c r="M52" s="1520"/>
      <c r="N52" s="456"/>
      <c r="O52" s="442"/>
      <c r="P52" s="442"/>
      <c r="Q52" s="442"/>
      <c r="R52" s="442"/>
      <c r="S52" s="442"/>
      <c r="T52" s="442"/>
      <c r="U52" s="442"/>
      <c r="V52" s="442"/>
      <c r="W52" s="442"/>
      <c r="X52" s="442"/>
      <c r="Y52" s="442"/>
      <c r="Z52" s="442"/>
      <c r="AA52" s="464"/>
      <c r="AB52" s="442"/>
      <c r="AC52" s="442"/>
      <c r="AD52" s="442"/>
    </row>
    <row r="53" spans="1:30" s="219" customFormat="1" ht="12.75" customHeight="1" thickBot="1">
      <c r="A53" s="457" t="s">
        <v>505</v>
      </c>
      <c r="B53" s="457" t="s">
        <v>506</v>
      </c>
      <c r="C53" s="457" t="s">
        <v>507</v>
      </c>
      <c r="D53" s="1549">
        <v>3</v>
      </c>
      <c r="E53" s="1550"/>
      <c r="F53" s="458" t="s">
        <v>508</v>
      </c>
      <c r="G53" s="457" t="s">
        <v>509</v>
      </c>
      <c r="H53" s="458" t="s">
        <v>587</v>
      </c>
      <c r="I53" s="459" t="s">
        <v>510</v>
      </c>
      <c r="J53" s="460" t="s">
        <v>511</v>
      </c>
      <c r="K53" s="458" t="s">
        <v>587</v>
      </c>
      <c r="L53" s="461" t="s">
        <v>573</v>
      </c>
      <c r="M53" s="462" t="s">
        <v>511</v>
      </c>
      <c r="N53" s="463" t="s">
        <v>512</v>
      </c>
      <c r="O53" s="464"/>
      <c r="P53" s="464"/>
      <c r="Q53" s="464"/>
      <c r="R53" s="464"/>
      <c r="S53" s="464"/>
      <c r="T53" s="464"/>
      <c r="U53" s="464"/>
      <c r="V53" s="464"/>
      <c r="W53" s="464"/>
      <c r="X53" s="464"/>
      <c r="Y53" s="464"/>
      <c r="Z53" s="464"/>
      <c r="AA53" s="442"/>
      <c r="AB53" s="464"/>
      <c r="AC53" s="464"/>
      <c r="AD53" s="464"/>
    </row>
    <row r="54" spans="1:30" ht="30" customHeight="1">
      <c r="A54" s="475">
        <v>26</v>
      </c>
      <c r="B54" s="220"/>
      <c r="C54" s="756" t="str">
        <f>IF(B54="","",VLOOKUP(B54,名簿!$E$4:$J$184,3,FALSE))</f>
        <v/>
      </c>
      <c r="D54" s="1557" t="str">
        <f>IF(B54="","",VLOOKUP(B54,名簿!$E$4:$J$184,5,FALSE))</f>
        <v/>
      </c>
      <c r="E54" s="1558"/>
      <c r="F54" s="1099" t="str">
        <f>IF(B54="","",VLOOKUP(B54,名簿!$E$4:$W$184,4,FALSE))</f>
        <v/>
      </c>
      <c r="G54" s="757" t="str">
        <f>IF(B54="","",VLOOKUP(B54,名簿!$E$4:$J$184,6,FALSE))</f>
        <v/>
      </c>
      <c r="H54" s="220"/>
      <c r="I54" s="221"/>
      <c r="J54" s="245"/>
      <c r="K54" s="221"/>
      <c r="L54" s="221"/>
      <c r="M54" s="245"/>
      <c r="N54" s="476"/>
      <c r="O54" s="442"/>
      <c r="P54" s="442"/>
      <c r="Q54" s="442"/>
      <c r="R54" s="442"/>
      <c r="S54" s="442"/>
      <c r="T54" s="442"/>
      <c r="U54" s="442"/>
      <c r="V54" s="442"/>
      <c r="W54" s="442"/>
      <c r="X54" s="442"/>
      <c r="Y54" s="442" t="str">
        <f t="shared" ref="Y54:Y78" si="2">CONCATENATE(H54,I54)</f>
        <v/>
      </c>
      <c r="Z54" s="442" t="str">
        <f t="shared" ref="Z54:Z78" si="3">CONCATENATE(K54,L54)</f>
        <v/>
      </c>
      <c r="AA54" s="442"/>
      <c r="AB54" s="442"/>
      <c r="AC54" s="442"/>
      <c r="AD54" s="442"/>
    </row>
    <row r="55" spans="1:30" ht="30" customHeight="1">
      <c r="A55" s="466">
        <v>27</v>
      </c>
      <c r="B55" s="220"/>
      <c r="C55" s="758" t="str">
        <f>IF(B55="","",VLOOKUP(B55,名簿!$E$4:$J$184,3,FALSE))</f>
        <v/>
      </c>
      <c r="D55" s="1547" t="str">
        <f>IF(B55="","",VLOOKUP(B55,名簿!$E$4:$J$184,5,FALSE))</f>
        <v/>
      </c>
      <c r="E55" s="1548"/>
      <c r="F55" s="1100" t="str">
        <f>IF(B55="","",VLOOKUP(B55,名簿!$E$4:$W$184,4,FALSE))</f>
        <v/>
      </c>
      <c r="G55" s="759" t="str">
        <f>IF(B55="","",VLOOKUP(B55,名簿!$E$4:$J$184,6,FALSE))</f>
        <v/>
      </c>
      <c r="H55" s="220"/>
      <c r="I55" s="222"/>
      <c r="J55" s="246"/>
      <c r="K55" s="222"/>
      <c r="L55" s="222"/>
      <c r="M55" s="246"/>
      <c r="N55" s="476"/>
      <c r="O55" s="442"/>
      <c r="P55" s="442"/>
      <c r="Q55" s="442"/>
      <c r="R55" s="442"/>
      <c r="S55" s="442"/>
      <c r="T55" s="442"/>
      <c r="U55" s="442"/>
      <c r="V55" s="442"/>
      <c r="W55" s="442"/>
      <c r="X55" s="442"/>
      <c r="Y55" s="442" t="str">
        <f t="shared" si="2"/>
        <v/>
      </c>
      <c r="Z55" s="442" t="str">
        <f t="shared" si="3"/>
        <v/>
      </c>
      <c r="AA55" s="442"/>
      <c r="AB55" s="442"/>
      <c r="AC55" s="442"/>
      <c r="AD55" s="442"/>
    </row>
    <row r="56" spans="1:30" ht="30" customHeight="1">
      <c r="A56" s="466">
        <v>28</v>
      </c>
      <c r="B56" s="220"/>
      <c r="C56" s="758" t="str">
        <f>IF(B56="","",VLOOKUP(B56,名簿!$E$4:$J$184,3,FALSE))</f>
        <v/>
      </c>
      <c r="D56" s="1547" t="str">
        <f>IF(B56="","",VLOOKUP(B56,名簿!$E$4:$J$184,5,FALSE))</f>
        <v/>
      </c>
      <c r="E56" s="1548"/>
      <c r="F56" s="1100" t="str">
        <f>IF(B56="","",VLOOKUP(B56,名簿!$E$4:$W$184,4,FALSE))</f>
        <v/>
      </c>
      <c r="G56" s="759" t="str">
        <f>IF(B56="","",VLOOKUP(B56,名簿!$E$4:$J$184,6,FALSE))</f>
        <v/>
      </c>
      <c r="H56" s="220"/>
      <c r="I56" s="222"/>
      <c r="J56" s="246"/>
      <c r="K56" s="222"/>
      <c r="L56" s="222"/>
      <c r="M56" s="246"/>
      <c r="N56" s="476"/>
      <c r="O56" s="442"/>
      <c r="P56" s="442"/>
      <c r="Q56" s="442"/>
      <c r="R56" s="442"/>
      <c r="S56" s="442"/>
      <c r="T56" s="442"/>
      <c r="U56" s="442"/>
      <c r="V56" s="442"/>
      <c r="W56" s="442"/>
      <c r="X56" s="442"/>
      <c r="Y56" s="442" t="str">
        <f t="shared" si="2"/>
        <v/>
      </c>
      <c r="Z56" s="442" t="str">
        <f t="shared" si="3"/>
        <v/>
      </c>
      <c r="AA56" s="442"/>
      <c r="AB56" s="442"/>
      <c r="AC56" s="442"/>
      <c r="AD56" s="442"/>
    </row>
    <row r="57" spans="1:30" ht="30" customHeight="1">
      <c r="A57" s="466">
        <v>29</v>
      </c>
      <c r="B57" s="220"/>
      <c r="C57" s="758" t="str">
        <f>IF(B57="","",VLOOKUP(B57,名簿!$E$4:$J$184,3,FALSE))</f>
        <v/>
      </c>
      <c r="D57" s="1547" t="str">
        <f>IF(B57="","",VLOOKUP(B57,名簿!$E$4:$J$184,5,FALSE))</f>
        <v/>
      </c>
      <c r="E57" s="1548"/>
      <c r="F57" s="1100" t="str">
        <f>IF(B57="","",VLOOKUP(B57,名簿!$E$4:$W$184,4,FALSE))</f>
        <v/>
      </c>
      <c r="G57" s="759" t="str">
        <f>IF(B57="","",VLOOKUP(B57,名簿!$E$4:$J$184,6,FALSE))</f>
        <v/>
      </c>
      <c r="H57" s="220"/>
      <c r="I57" s="222"/>
      <c r="J57" s="246"/>
      <c r="K57" s="222"/>
      <c r="L57" s="222"/>
      <c r="M57" s="246"/>
      <c r="N57" s="476"/>
      <c r="O57" s="442"/>
      <c r="P57" s="442"/>
      <c r="Q57" s="442"/>
      <c r="R57" s="442"/>
      <c r="S57" s="442"/>
      <c r="T57" s="442"/>
      <c r="U57" s="442"/>
      <c r="V57" s="442"/>
      <c r="W57" s="442"/>
      <c r="X57" s="442"/>
      <c r="Y57" s="442" t="str">
        <f t="shared" si="2"/>
        <v/>
      </c>
      <c r="Z57" s="442" t="str">
        <f t="shared" si="3"/>
        <v/>
      </c>
      <c r="AA57" s="442"/>
      <c r="AB57" s="442"/>
      <c r="AC57" s="442"/>
      <c r="AD57" s="442"/>
    </row>
    <row r="58" spans="1:30" ht="30" customHeight="1">
      <c r="A58" s="466">
        <v>30</v>
      </c>
      <c r="B58" s="220"/>
      <c r="C58" s="758" t="str">
        <f>IF(B58="","",VLOOKUP(B58,名簿!$E$4:$J$184,3,FALSE))</f>
        <v/>
      </c>
      <c r="D58" s="1547" t="str">
        <f>IF(B58="","",VLOOKUP(B58,名簿!$E$4:$J$184,5,FALSE))</f>
        <v/>
      </c>
      <c r="E58" s="1548"/>
      <c r="F58" s="1100" t="str">
        <f>IF(B58="","",VLOOKUP(B58,名簿!$E$4:$W$184,4,FALSE))</f>
        <v/>
      </c>
      <c r="G58" s="759" t="str">
        <f>IF(B58="","",VLOOKUP(B58,名簿!$E$4:$J$184,6,FALSE))</f>
        <v/>
      </c>
      <c r="H58" s="220"/>
      <c r="I58" s="222"/>
      <c r="J58" s="246"/>
      <c r="K58" s="222"/>
      <c r="L58" s="222"/>
      <c r="M58" s="246"/>
      <c r="N58" s="476"/>
      <c r="O58" s="442"/>
      <c r="P58" s="442"/>
      <c r="Q58" s="442"/>
      <c r="R58" s="442"/>
      <c r="S58" s="442"/>
      <c r="T58" s="442"/>
      <c r="U58" s="442"/>
      <c r="V58" s="442"/>
      <c r="W58" s="442"/>
      <c r="X58" s="442"/>
      <c r="Y58" s="442" t="str">
        <f t="shared" si="2"/>
        <v/>
      </c>
      <c r="Z58" s="442" t="str">
        <f t="shared" si="3"/>
        <v/>
      </c>
      <c r="AA58" s="442"/>
      <c r="AB58" s="442"/>
      <c r="AC58" s="442"/>
      <c r="AD58" s="442"/>
    </row>
    <row r="59" spans="1:30" ht="30" customHeight="1">
      <c r="A59" s="466">
        <v>31</v>
      </c>
      <c r="B59" s="220"/>
      <c r="C59" s="758" t="str">
        <f>IF(B59="","",VLOOKUP(B59,名簿!$E$4:$J$184,3,FALSE))</f>
        <v/>
      </c>
      <c r="D59" s="1547" t="str">
        <f>IF(B59="","",VLOOKUP(B59,名簿!$E$4:$J$184,5,FALSE))</f>
        <v/>
      </c>
      <c r="E59" s="1548"/>
      <c r="F59" s="1100" t="str">
        <f>IF(B59="","",VLOOKUP(B59,名簿!$E$4:$W$184,4,FALSE))</f>
        <v/>
      </c>
      <c r="G59" s="759" t="str">
        <f>IF(B59="","",VLOOKUP(B59,名簿!$E$4:$J$184,6,FALSE))</f>
        <v/>
      </c>
      <c r="H59" s="220"/>
      <c r="I59" s="222"/>
      <c r="J59" s="246"/>
      <c r="K59" s="222"/>
      <c r="L59" s="222"/>
      <c r="M59" s="246"/>
      <c r="N59" s="476"/>
      <c r="O59" s="442"/>
      <c r="P59" s="442"/>
      <c r="Q59" s="442"/>
      <c r="R59" s="442"/>
      <c r="S59" s="442"/>
      <c r="T59" s="442"/>
      <c r="U59" s="442"/>
      <c r="V59" s="442"/>
      <c r="W59" s="442"/>
      <c r="X59" s="442"/>
      <c r="Y59" s="442" t="str">
        <f t="shared" si="2"/>
        <v/>
      </c>
      <c r="Z59" s="442" t="str">
        <f t="shared" si="3"/>
        <v/>
      </c>
      <c r="AA59" s="442"/>
      <c r="AB59" s="442"/>
      <c r="AC59" s="442"/>
      <c r="AD59" s="442"/>
    </row>
    <row r="60" spans="1:30" ht="30" customHeight="1">
      <c r="A60" s="466">
        <v>32</v>
      </c>
      <c r="B60" s="220"/>
      <c r="C60" s="758" t="str">
        <f>IF(B60="","",VLOOKUP(B60,名簿!$E$4:$J$184,3,FALSE))</f>
        <v/>
      </c>
      <c r="D60" s="1547" t="str">
        <f>IF(B60="","",VLOOKUP(B60,名簿!$E$4:$J$184,5,FALSE))</f>
        <v/>
      </c>
      <c r="E60" s="1548"/>
      <c r="F60" s="1100" t="str">
        <f>IF(B60="","",VLOOKUP(B60,名簿!$E$4:$W$184,4,FALSE))</f>
        <v/>
      </c>
      <c r="G60" s="759" t="str">
        <f>IF(B60="","",VLOOKUP(B60,名簿!$E$4:$J$184,6,FALSE))</f>
        <v/>
      </c>
      <c r="H60" s="220"/>
      <c r="I60" s="222"/>
      <c r="J60" s="246"/>
      <c r="K60" s="222"/>
      <c r="L60" s="222"/>
      <c r="M60" s="246"/>
      <c r="N60" s="476"/>
      <c r="O60" s="442"/>
      <c r="P60" s="442"/>
      <c r="Q60" s="442"/>
      <c r="R60" s="442"/>
      <c r="S60" s="442"/>
      <c r="T60" s="442"/>
      <c r="U60" s="442"/>
      <c r="V60" s="442"/>
      <c r="W60" s="442"/>
      <c r="X60" s="442"/>
      <c r="Y60" s="442" t="str">
        <f t="shared" si="2"/>
        <v/>
      </c>
      <c r="Z60" s="442" t="str">
        <f t="shared" si="3"/>
        <v/>
      </c>
      <c r="AA60" s="442"/>
      <c r="AB60" s="442"/>
      <c r="AC60" s="442"/>
      <c r="AD60" s="442"/>
    </row>
    <row r="61" spans="1:30" ht="30" customHeight="1">
      <c r="A61" s="466">
        <v>33</v>
      </c>
      <c r="B61" s="220"/>
      <c r="C61" s="758" t="str">
        <f>IF(B61="","",VLOOKUP(B61,名簿!$E$4:$J$184,3,FALSE))</f>
        <v/>
      </c>
      <c r="D61" s="1547" t="str">
        <f>IF(B61="","",VLOOKUP(B61,名簿!$E$4:$J$184,5,FALSE))</f>
        <v/>
      </c>
      <c r="E61" s="1548"/>
      <c r="F61" s="1100" t="str">
        <f>IF(B61="","",VLOOKUP(B61,名簿!$E$4:$W$184,4,FALSE))</f>
        <v/>
      </c>
      <c r="G61" s="759" t="str">
        <f>IF(B61="","",VLOOKUP(B61,名簿!$E$4:$J$184,6,FALSE))</f>
        <v/>
      </c>
      <c r="H61" s="220"/>
      <c r="I61" s="222"/>
      <c r="J61" s="246"/>
      <c r="K61" s="222"/>
      <c r="L61" s="222"/>
      <c r="M61" s="246"/>
      <c r="N61" s="476"/>
      <c r="O61" s="442"/>
      <c r="P61" s="442"/>
      <c r="Q61" s="442"/>
      <c r="R61" s="442"/>
      <c r="S61" s="442"/>
      <c r="T61" s="442"/>
      <c r="U61" s="442"/>
      <c r="V61" s="442"/>
      <c r="W61" s="442"/>
      <c r="X61" s="442"/>
      <c r="Y61" s="442" t="str">
        <f t="shared" si="2"/>
        <v/>
      </c>
      <c r="Z61" s="442" t="str">
        <f t="shared" si="3"/>
        <v/>
      </c>
      <c r="AA61" s="442"/>
      <c r="AB61" s="442"/>
      <c r="AC61" s="442"/>
      <c r="AD61" s="442"/>
    </row>
    <row r="62" spans="1:30" ht="30" customHeight="1">
      <c r="A62" s="466">
        <v>34</v>
      </c>
      <c r="B62" s="220"/>
      <c r="C62" s="758" t="str">
        <f>IF(B62="","",VLOOKUP(B62,名簿!$E$4:$J$184,3,FALSE))</f>
        <v/>
      </c>
      <c r="D62" s="1547" t="str">
        <f>IF(B62="","",VLOOKUP(B62,名簿!$E$4:$J$184,5,FALSE))</f>
        <v/>
      </c>
      <c r="E62" s="1548"/>
      <c r="F62" s="1100" t="str">
        <f>IF(B62="","",VLOOKUP(B62,名簿!$E$4:$W$184,4,FALSE))</f>
        <v/>
      </c>
      <c r="G62" s="759" t="str">
        <f>IF(B62="","",VLOOKUP(B62,名簿!$E$4:$J$184,6,FALSE))</f>
        <v/>
      </c>
      <c r="H62" s="220"/>
      <c r="I62" s="222"/>
      <c r="J62" s="246"/>
      <c r="K62" s="222"/>
      <c r="L62" s="222"/>
      <c r="M62" s="246"/>
      <c r="N62" s="476"/>
      <c r="O62" s="442"/>
      <c r="P62" s="442"/>
      <c r="Q62" s="442"/>
      <c r="R62" s="442"/>
      <c r="S62" s="442"/>
      <c r="T62" s="442"/>
      <c r="U62" s="442"/>
      <c r="V62" s="442"/>
      <c r="W62" s="442"/>
      <c r="X62" s="442"/>
      <c r="Y62" s="442" t="str">
        <f t="shared" si="2"/>
        <v/>
      </c>
      <c r="Z62" s="442" t="str">
        <f t="shared" si="3"/>
        <v/>
      </c>
      <c r="AA62" s="442"/>
      <c r="AB62" s="442"/>
      <c r="AC62" s="442"/>
      <c r="AD62" s="442"/>
    </row>
    <row r="63" spans="1:30" ht="30" customHeight="1">
      <c r="A63" s="466">
        <v>35</v>
      </c>
      <c r="B63" s="220"/>
      <c r="C63" s="758" t="str">
        <f>IF(B63="","",VLOOKUP(B63,名簿!$E$4:$J$184,3,FALSE))</f>
        <v/>
      </c>
      <c r="D63" s="1547" t="str">
        <f>IF(B63="","",VLOOKUP(B63,名簿!$E$4:$J$184,5,FALSE))</f>
        <v/>
      </c>
      <c r="E63" s="1548"/>
      <c r="F63" s="1100" t="str">
        <f>IF(B63="","",VLOOKUP(B63,名簿!$E$4:$W$184,4,FALSE))</f>
        <v/>
      </c>
      <c r="G63" s="759" t="str">
        <f>IF(B63="","",VLOOKUP(B63,名簿!$E$4:$J$184,6,FALSE))</f>
        <v/>
      </c>
      <c r="H63" s="220"/>
      <c r="I63" s="222"/>
      <c r="J63" s="246"/>
      <c r="K63" s="222"/>
      <c r="L63" s="222"/>
      <c r="M63" s="246"/>
      <c r="N63" s="476"/>
      <c r="O63" s="442"/>
      <c r="P63" s="442"/>
      <c r="Q63" s="442"/>
      <c r="R63" s="442"/>
      <c r="S63" s="442"/>
      <c r="T63" s="442"/>
      <c r="U63" s="442"/>
      <c r="V63" s="442"/>
      <c r="W63" s="442"/>
      <c r="X63" s="442"/>
      <c r="Y63" s="442" t="str">
        <f t="shared" si="2"/>
        <v/>
      </c>
      <c r="Z63" s="442" t="str">
        <f t="shared" si="3"/>
        <v/>
      </c>
      <c r="AA63" s="442"/>
      <c r="AB63" s="442"/>
      <c r="AC63" s="442"/>
      <c r="AD63" s="442"/>
    </row>
    <row r="64" spans="1:30" ht="30" customHeight="1">
      <c r="A64" s="466">
        <v>36</v>
      </c>
      <c r="B64" s="220"/>
      <c r="C64" s="758" t="str">
        <f>IF(B64="","",VLOOKUP(B64,名簿!$E$4:$J$184,3,FALSE))</f>
        <v/>
      </c>
      <c r="D64" s="1547" t="str">
        <f>IF(B64="","",VLOOKUP(B64,名簿!$E$4:$J$184,5,FALSE))</f>
        <v/>
      </c>
      <c r="E64" s="1548"/>
      <c r="F64" s="1100" t="str">
        <f>IF(B64="","",VLOOKUP(B64,名簿!$E$4:$W$184,4,FALSE))</f>
        <v/>
      </c>
      <c r="G64" s="759" t="str">
        <f>IF(B64="","",VLOOKUP(B64,名簿!$E$4:$J$184,6,FALSE))</f>
        <v/>
      </c>
      <c r="H64" s="220"/>
      <c r="I64" s="222"/>
      <c r="J64" s="246"/>
      <c r="K64" s="222"/>
      <c r="L64" s="222"/>
      <c r="M64" s="246"/>
      <c r="N64" s="476"/>
      <c r="O64" s="442"/>
      <c r="P64" s="442"/>
      <c r="Q64" s="442"/>
      <c r="R64" s="442"/>
      <c r="S64" s="442"/>
      <c r="T64" s="442"/>
      <c r="U64" s="442"/>
      <c r="V64" s="442"/>
      <c r="W64" s="442"/>
      <c r="X64" s="442"/>
      <c r="Y64" s="442" t="str">
        <f t="shared" si="2"/>
        <v/>
      </c>
      <c r="Z64" s="442" t="str">
        <f t="shared" si="3"/>
        <v/>
      </c>
      <c r="AA64" s="442"/>
      <c r="AB64" s="442"/>
      <c r="AC64" s="442"/>
      <c r="AD64" s="442"/>
    </row>
    <row r="65" spans="1:30" ht="30" customHeight="1">
      <c r="A65" s="466">
        <v>37</v>
      </c>
      <c r="B65" s="220"/>
      <c r="C65" s="758" t="str">
        <f>IF(B65="","",VLOOKUP(B65,名簿!$E$4:$J$184,3,FALSE))</f>
        <v/>
      </c>
      <c r="D65" s="1547" t="str">
        <f>IF(B65="","",VLOOKUP(B65,名簿!$E$4:$J$184,5,FALSE))</f>
        <v/>
      </c>
      <c r="E65" s="1548"/>
      <c r="F65" s="1100" t="str">
        <f>IF(B65="","",VLOOKUP(B65,名簿!$E$4:$W$184,4,FALSE))</f>
        <v/>
      </c>
      <c r="G65" s="759" t="str">
        <f>IF(B65="","",VLOOKUP(B65,名簿!$E$4:$J$184,6,FALSE))</f>
        <v/>
      </c>
      <c r="H65" s="220"/>
      <c r="I65" s="222"/>
      <c r="J65" s="246"/>
      <c r="K65" s="222"/>
      <c r="L65" s="222"/>
      <c r="M65" s="246"/>
      <c r="N65" s="476"/>
      <c r="O65" s="442"/>
      <c r="P65" s="442"/>
      <c r="Q65" s="442"/>
      <c r="R65" s="442"/>
      <c r="S65" s="442"/>
      <c r="T65" s="442"/>
      <c r="U65" s="442"/>
      <c r="V65" s="442"/>
      <c r="W65" s="442"/>
      <c r="X65" s="442"/>
      <c r="Y65" s="442" t="str">
        <f t="shared" si="2"/>
        <v/>
      </c>
      <c r="Z65" s="442" t="str">
        <f t="shared" si="3"/>
        <v/>
      </c>
      <c r="AA65" s="442"/>
      <c r="AB65" s="442"/>
      <c r="AC65" s="442"/>
      <c r="AD65" s="442"/>
    </row>
    <row r="66" spans="1:30" ht="30" customHeight="1">
      <c r="A66" s="466">
        <v>38</v>
      </c>
      <c r="B66" s="220"/>
      <c r="C66" s="758" t="str">
        <f>IF(B66="","",VLOOKUP(B66,名簿!$E$4:$J$184,3,FALSE))</f>
        <v/>
      </c>
      <c r="D66" s="1547" t="str">
        <f>IF(B66="","",VLOOKUP(B66,名簿!$E$4:$J$184,5,FALSE))</f>
        <v/>
      </c>
      <c r="E66" s="1548"/>
      <c r="F66" s="1100" t="str">
        <f>IF(B66="","",VLOOKUP(B66,名簿!$E$4:$W$184,4,FALSE))</f>
        <v/>
      </c>
      <c r="G66" s="759" t="str">
        <f>IF(B66="","",VLOOKUP(B66,名簿!$E$4:$J$184,6,FALSE))</f>
        <v/>
      </c>
      <c r="H66" s="220"/>
      <c r="I66" s="222"/>
      <c r="J66" s="246"/>
      <c r="K66" s="222"/>
      <c r="L66" s="222"/>
      <c r="M66" s="246"/>
      <c r="N66" s="476"/>
      <c r="O66" s="442"/>
      <c r="P66" s="442"/>
      <c r="Q66" s="442"/>
      <c r="R66" s="442"/>
      <c r="S66" s="442"/>
      <c r="T66" s="442"/>
      <c r="U66" s="442"/>
      <c r="V66" s="442"/>
      <c r="W66" s="442"/>
      <c r="X66" s="442"/>
      <c r="Y66" s="442" t="str">
        <f t="shared" si="2"/>
        <v/>
      </c>
      <c r="Z66" s="442" t="str">
        <f t="shared" si="3"/>
        <v/>
      </c>
      <c r="AA66" s="442"/>
      <c r="AB66" s="442"/>
      <c r="AC66" s="442"/>
      <c r="AD66" s="442"/>
    </row>
    <row r="67" spans="1:30" ht="30" customHeight="1">
      <c r="A67" s="466">
        <v>39</v>
      </c>
      <c r="B67" s="220"/>
      <c r="C67" s="758" t="str">
        <f>IF(B67="","",VLOOKUP(B67,名簿!$E$4:$J$184,3,FALSE))</f>
        <v/>
      </c>
      <c r="D67" s="1547" t="str">
        <f>IF(B67="","",VLOOKUP(B67,名簿!$E$4:$J$184,5,FALSE))</f>
        <v/>
      </c>
      <c r="E67" s="1548"/>
      <c r="F67" s="1100" t="str">
        <f>IF(B67="","",VLOOKUP(B67,名簿!$E$4:$W$184,4,FALSE))</f>
        <v/>
      </c>
      <c r="G67" s="759" t="str">
        <f>IF(B67="","",VLOOKUP(B67,名簿!$E$4:$J$184,6,FALSE))</f>
        <v/>
      </c>
      <c r="H67" s="220"/>
      <c r="I67" s="222"/>
      <c r="J67" s="246"/>
      <c r="K67" s="222"/>
      <c r="L67" s="222"/>
      <c r="M67" s="246"/>
      <c r="N67" s="476"/>
      <c r="O67" s="442"/>
      <c r="P67" s="442"/>
      <c r="Q67" s="442"/>
      <c r="R67" s="442"/>
      <c r="S67" s="442"/>
      <c r="T67" s="442"/>
      <c r="U67" s="442"/>
      <c r="V67" s="442"/>
      <c r="W67" s="442"/>
      <c r="X67" s="442"/>
      <c r="Y67" s="442" t="str">
        <f t="shared" si="2"/>
        <v/>
      </c>
      <c r="Z67" s="442" t="str">
        <f t="shared" si="3"/>
        <v/>
      </c>
      <c r="AA67" s="442"/>
      <c r="AB67" s="442"/>
      <c r="AC67" s="442"/>
      <c r="AD67" s="442"/>
    </row>
    <row r="68" spans="1:30" ht="30" customHeight="1">
      <c r="A68" s="466">
        <v>40</v>
      </c>
      <c r="B68" s="220"/>
      <c r="C68" s="758" t="str">
        <f>IF(B68="","",VLOOKUP(B68,名簿!$E$4:$J$184,3,FALSE))</f>
        <v/>
      </c>
      <c r="D68" s="1547" t="str">
        <f>IF(B68="","",VLOOKUP(B68,名簿!$E$4:$J$184,5,FALSE))</f>
        <v/>
      </c>
      <c r="E68" s="1548"/>
      <c r="F68" s="1100" t="str">
        <f>IF(B68="","",VLOOKUP(B68,名簿!$E$4:$W$184,4,FALSE))</f>
        <v/>
      </c>
      <c r="G68" s="759" t="str">
        <f>IF(B68="","",VLOOKUP(B68,名簿!$E$4:$J$184,6,FALSE))</f>
        <v/>
      </c>
      <c r="H68" s="220"/>
      <c r="I68" s="222"/>
      <c r="J68" s="246"/>
      <c r="K68" s="222"/>
      <c r="L68" s="222"/>
      <c r="M68" s="246"/>
      <c r="N68" s="476"/>
      <c r="O68" s="442"/>
      <c r="P68" s="442"/>
      <c r="Q68" s="442"/>
      <c r="R68" s="442"/>
      <c r="S68" s="442"/>
      <c r="T68" s="442"/>
      <c r="U68" s="442"/>
      <c r="V68" s="442"/>
      <c r="W68" s="442"/>
      <c r="X68" s="442"/>
      <c r="Y68" s="442" t="str">
        <f t="shared" si="2"/>
        <v/>
      </c>
      <c r="Z68" s="442" t="str">
        <f t="shared" si="3"/>
        <v/>
      </c>
      <c r="AA68" s="442"/>
      <c r="AB68" s="442"/>
      <c r="AC68" s="442"/>
      <c r="AD68" s="442"/>
    </row>
    <row r="69" spans="1:30" ht="30" customHeight="1">
      <c r="A69" s="466">
        <v>41</v>
      </c>
      <c r="B69" s="220"/>
      <c r="C69" s="758" t="str">
        <f>IF(B69="","",VLOOKUP(B69,名簿!$E$4:$J$184,3,FALSE))</f>
        <v/>
      </c>
      <c r="D69" s="1547" t="str">
        <f>IF(B69="","",VLOOKUP(B69,名簿!$E$4:$J$184,5,FALSE))</f>
        <v/>
      </c>
      <c r="E69" s="1548"/>
      <c r="F69" s="1100" t="str">
        <f>IF(B69="","",VLOOKUP(B69,名簿!$E$4:$W$184,4,FALSE))</f>
        <v/>
      </c>
      <c r="G69" s="759" t="str">
        <f>IF(B69="","",VLOOKUP(B69,名簿!$E$4:$J$184,6,FALSE))</f>
        <v/>
      </c>
      <c r="H69" s="220"/>
      <c r="I69" s="222"/>
      <c r="J69" s="246"/>
      <c r="K69" s="222"/>
      <c r="L69" s="222"/>
      <c r="M69" s="246"/>
      <c r="N69" s="476"/>
      <c r="O69" s="442"/>
      <c r="P69" s="442"/>
      <c r="Q69" s="442"/>
      <c r="R69" s="442"/>
      <c r="S69" s="442"/>
      <c r="T69" s="442"/>
      <c r="U69" s="442"/>
      <c r="V69" s="442"/>
      <c r="W69" s="442"/>
      <c r="X69" s="442"/>
      <c r="Y69" s="442" t="str">
        <f t="shared" si="2"/>
        <v/>
      </c>
      <c r="Z69" s="442" t="str">
        <f t="shared" si="3"/>
        <v/>
      </c>
      <c r="AA69" s="442"/>
      <c r="AB69" s="442"/>
      <c r="AC69" s="442"/>
      <c r="AD69" s="442"/>
    </row>
    <row r="70" spans="1:30" ht="30" customHeight="1">
      <c r="A70" s="466">
        <v>42</v>
      </c>
      <c r="B70" s="220"/>
      <c r="C70" s="758" t="str">
        <f>IF(B70="","",VLOOKUP(B70,名簿!$E$4:$J$184,3,FALSE))</f>
        <v/>
      </c>
      <c r="D70" s="1547" t="str">
        <f>IF(B70="","",VLOOKUP(B70,名簿!$E$4:$J$184,5,FALSE))</f>
        <v/>
      </c>
      <c r="E70" s="1548"/>
      <c r="F70" s="1100" t="str">
        <f>IF(B70="","",VLOOKUP(B70,名簿!$E$4:$W$184,4,FALSE))</f>
        <v/>
      </c>
      <c r="G70" s="759" t="str">
        <f>IF(B70="","",VLOOKUP(B70,名簿!$E$4:$J$184,6,FALSE))</f>
        <v/>
      </c>
      <c r="H70" s="220"/>
      <c r="I70" s="222"/>
      <c r="J70" s="246"/>
      <c r="K70" s="222"/>
      <c r="L70" s="222"/>
      <c r="M70" s="246"/>
      <c r="N70" s="476"/>
      <c r="O70" s="442"/>
      <c r="P70" s="442"/>
      <c r="Q70" s="442"/>
      <c r="R70" s="442"/>
      <c r="S70" s="442"/>
      <c r="T70" s="442"/>
      <c r="U70" s="442"/>
      <c r="V70" s="442"/>
      <c r="W70" s="442"/>
      <c r="X70" s="442"/>
      <c r="Y70" s="442" t="str">
        <f t="shared" si="2"/>
        <v/>
      </c>
      <c r="Z70" s="442" t="str">
        <f t="shared" si="3"/>
        <v/>
      </c>
      <c r="AA70" s="442"/>
      <c r="AB70" s="442"/>
      <c r="AC70" s="442"/>
      <c r="AD70" s="442"/>
    </row>
    <row r="71" spans="1:30" ht="30" customHeight="1">
      <c r="A71" s="466">
        <v>43</v>
      </c>
      <c r="B71" s="220"/>
      <c r="C71" s="758" t="str">
        <f>IF(B71="","",VLOOKUP(B71,名簿!$E$4:$J$184,3,FALSE))</f>
        <v/>
      </c>
      <c r="D71" s="1547" t="str">
        <f>IF(B71="","",VLOOKUP(B71,名簿!$E$4:$J$184,5,FALSE))</f>
        <v/>
      </c>
      <c r="E71" s="1548"/>
      <c r="F71" s="1100" t="str">
        <f>IF(B71="","",VLOOKUP(B71,名簿!$E$4:$W$184,4,FALSE))</f>
        <v/>
      </c>
      <c r="G71" s="759" t="str">
        <f>IF(B71="","",VLOOKUP(B71,名簿!$E$4:$J$184,6,FALSE))</f>
        <v/>
      </c>
      <c r="H71" s="220"/>
      <c r="I71" s="222"/>
      <c r="J71" s="246"/>
      <c r="K71" s="222"/>
      <c r="L71" s="222"/>
      <c r="M71" s="246"/>
      <c r="N71" s="476"/>
      <c r="O71" s="442"/>
      <c r="P71" s="442"/>
      <c r="Q71" s="442"/>
      <c r="R71" s="442"/>
      <c r="S71" s="442"/>
      <c r="T71" s="442"/>
      <c r="U71" s="442"/>
      <c r="V71" s="442"/>
      <c r="W71" s="442"/>
      <c r="X71" s="442"/>
      <c r="Y71" s="442" t="str">
        <f t="shared" si="2"/>
        <v/>
      </c>
      <c r="Z71" s="442" t="str">
        <f t="shared" si="3"/>
        <v/>
      </c>
      <c r="AA71" s="442"/>
      <c r="AB71" s="442"/>
      <c r="AC71" s="442"/>
      <c r="AD71" s="442"/>
    </row>
    <row r="72" spans="1:30" ht="30" customHeight="1">
      <c r="A72" s="466">
        <v>44</v>
      </c>
      <c r="B72" s="220"/>
      <c r="C72" s="758" t="str">
        <f>IF(B72="","",VLOOKUP(B72,名簿!$E$4:$J$184,3,FALSE))</f>
        <v/>
      </c>
      <c r="D72" s="1547" t="str">
        <f>IF(B72="","",VLOOKUP(B72,名簿!$E$4:$J$184,5,FALSE))</f>
        <v/>
      </c>
      <c r="E72" s="1548"/>
      <c r="F72" s="1100" t="str">
        <f>IF(B72="","",VLOOKUP(B72,名簿!$E$4:$W$184,4,FALSE))</f>
        <v/>
      </c>
      <c r="G72" s="759" t="str">
        <f>IF(B72="","",VLOOKUP(B72,名簿!$E$4:$J$184,6,FALSE))</f>
        <v/>
      </c>
      <c r="H72" s="220"/>
      <c r="I72" s="222"/>
      <c r="J72" s="246"/>
      <c r="K72" s="222"/>
      <c r="L72" s="222"/>
      <c r="M72" s="246"/>
      <c r="N72" s="476"/>
      <c r="O72" s="442"/>
      <c r="P72" s="442"/>
      <c r="Q72" s="442"/>
      <c r="R72" s="442"/>
      <c r="S72" s="442"/>
      <c r="T72" s="442"/>
      <c r="U72" s="442"/>
      <c r="V72" s="442"/>
      <c r="W72" s="442"/>
      <c r="X72" s="442"/>
      <c r="Y72" s="442" t="str">
        <f t="shared" si="2"/>
        <v/>
      </c>
      <c r="Z72" s="442" t="str">
        <f t="shared" si="3"/>
        <v/>
      </c>
      <c r="AA72" s="442"/>
      <c r="AB72" s="442"/>
      <c r="AC72" s="442"/>
      <c r="AD72" s="442"/>
    </row>
    <row r="73" spans="1:30" ht="30" customHeight="1">
      <c r="A73" s="466">
        <v>45</v>
      </c>
      <c r="B73" s="220"/>
      <c r="C73" s="758" t="str">
        <f>IF(B73="","",VLOOKUP(B73,名簿!$E$4:$J$184,3,FALSE))</f>
        <v/>
      </c>
      <c r="D73" s="1547" t="str">
        <f>IF(B73="","",VLOOKUP(B73,名簿!$E$4:$J$184,5,FALSE))</f>
        <v/>
      </c>
      <c r="E73" s="1548"/>
      <c r="F73" s="1100" t="str">
        <f>IF(B73="","",VLOOKUP(B73,名簿!$E$4:$W$184,4,FALSE))</f>
        <v/>
      </c>
      <c r="G73" s="759" t="str">
        <f>IF(B73="","",VLOOKUP(B73,名簿!$E$4:$J$184,6,FALSE))</f>
        <v/>
      </c>
      <c r="H73" s="220"/>
      <c r="I73" s="222"/>
      <c r="J73" s="246"/>
      <c r="K73" s="222"/>
      <c r="L73" s="222"/>
      <c r="M73" s="246"/>
      <c r="N73" s="476"/>
      <c r="O73" s="442"/>
      <c r="P73" s="442"/>
      <c r="Q73" s="442"/>
      <c r="R73" s="442"/>
      <c r="S73" s="442"/>
      <c r="T73" s="442"/>
      <c r="U73" s="442"/>
      <c r="V73" s="442"/>
      <c r="W73" s="442"/>
      <c r="X73" s="442"/>
      <c r="Y73" s="442" t="str">
        <f t="shared" si="2"/>
        <v/>
      </c>
      <c r="Z73" s="442" t="str">
        <f t="shared" si="3"/>
        <v/>
      </c>
      <c r="AA73" s="442"/>
      <c r="AB73" s="442"/>
      <c r="AC73" s="442"/>
      <c r="AD73" s="442"/>
    </row>
    <row r="74" spans="1:30" ht="30" customHeight="1">
      <c r="A74" s="466">
        <v>46</v>
      </c>
      <c r="B74" s="220"/>
      <c r="C74" s="758" t="str">
        <f>IF(B74="","",VLOOKUP(B74,名簿!$E$4:$J$184,3,FALSE))</f>
        <v/>
      </c>
      <c r="D74" s="1547" t="str">
        <f>IF(B74="","",VLOOKUP(B74,名簿!$E$4:$J$184,5,FALSE))</f>
        <v/>
      </c>
      <c r="E74" s="1548"/>
      <c r="F74" s="1100" t="str">
        <f>IF(B74="","",VLOOKUP(B74,名簿!$E$4:$W$184,4,FALSE))</f>
        <v/>
      </c>
      <c r="G74" s="759" t="str">
        <f>IF(B74="","",VLOOKUP(B74,名簿!$E$4:$J$184,6,FALSE))</f>
        <v/>
      </c>
      <c r="H74" s="220"/>
      <c r="I74" s="222"/>
      <c r="J74" s="246"/>
      <c r="K74" s="222"/>
      <c r="L74" s="222"/>
      <c r="M74" s="246"/>
      <c r="N74" s="476"/>
      <c r="O74" s="442"/>
      <c r="P74" s="442"/>
      <c r="Q74" s="442"/>
      <c r="R74" s="442"/>
      <c r="S74" s="442"/>
      <c r="T74" s="442"/>
      <c r="U74" s="442"/>
      <c r="V74" s="442"/>
      <c r="W74" s="442"/>
      <c r="X74" s="442"/>
      <c r="Y74" s="442" t="str">
        <f t="shared" si="2"/>
        <v/>
      </c>
      <c r="Z74" s="442" t="str">
        <f t="shared" si="3"/>
        <v/>
      </c>
      <c r="AA74" s="442"/>
      <c r="AB74" s="442"/>
      <c r="AC74" s="442"/>
      <c r="AD74" s="442"/>
    </row>
    <row r="75" spans="1:30" ht="30" customHeight="1">
      <c r="A75" s="466">
        <v>47</v>
      </c>
      <c r="B75" s="220"/>
      <c r="C75" s="758" t="str">
        <f>IF(B75="","",VLOOKUP(B75,名簿!$E$4:$J$184,3,FALSE))</f>
        <v/>
      </c>
      <c r="D75" s="1547" t="str">
        <f>IF(B75="","",VLOOKUP(B75,名簿!$E$4:$J$184,5,FALSE))</f>
        <v/>
      </c>
      <c r="E75" s="1548"/>
      <c r="F75" s="1100" t="str">
        <f>IF(B75="","",VLOOKUP(B75,名簿!$E$4:$W$184,4,FALSE))</f>
        <v/>
      </c>
      <c r="G75" s="759" t="str">
        <f>IF(B75="","",VLOOKUP(B75,名簿!$E$4:$J$184,6,FALSE))</f>
        <v/>
      </c>
      <c r="H75" s="220"/>
      <c r="I75" s="222"/>
      <c r="J75" s="246"/>
      <c r="K75" s="222"/>
      <c r="L75" s="222"/>
      <c r="M75" s="246"/>
      <c r="N75" s="476"/>
      <c r="O75" s="442"/>
      <c r="P75" s="442"/>
      <c r="Q75" s="442"/>
      <c r="R75" s="442"/>
      <c r="S75" s="442"/>
      <c r="T75" s="442"/>
      <c r="U75" s="442"/>
      <c r="V75" s="442"/>
      <c r="W75" s="442"/>
      <c r="X75" s="442"/>
      <c r="Y75" s="442" t="str">
        <f t="shared" si="2"/>
        <v/>
      </c>
      <c r="Z75" s="442" t="str">
        <f t="shared" si="3"/>
        <v/>
      </c>
      <c r="AA75" s="442"/>
      <c r="AB75" s="442"/>
      <c r="AC75" s="442"/>
      <c r="AD75" s="442"/>
    </row>
    <row r="76" spans="1:30" ht="30" customHeight="1">
      <c r="A76" s="466">
        <v>48</v>
      </c>
      <c r="B76" s="220"/>
      <c r="C76" s="758" t="str">
        <f>IF(B76="","",VLOOKUP(B76,名簿!$E$4:$J$184,3,FALSE))</f>
        <v/>
      </c>
      <c r="D76" s="1547" t="str">
        <f>IF(B76="","",VLOOKUP(B76,名簿!$E$4:$J$184,5,FALSE))</f>
        <v/>
      </c>
      <c r="E76" s="1548"/>
      <c r="F76" s="1100" t="str">
        <f>IF(B76="","",VLOOKUP(B76,名簿!$E$4:$W$184,4,FALSE))</f>
        <v/>
      </c>
      <c r="G76" s="759" t="str">
        <f>IF(B76="","",VLOOKUP(B76,名簿!$E$4:$J$184,6,FALSE))</f>
        <v/>
      </c>
      <c r="H76" s="220"/>
      <c r="I76" s="222"/>
      <c r="J76" s="246"/>
      <c r="K76" s="222"/>
      <c r="L76" s="222"/>
      <c r="M76" s="246"/>
      <c r="N76" s="476"/>
      <c r="O76" s="442"/>
      <c r="P76" s="442"/>
      <c r="Q76" s="442"/>
      <c r="R76" s="442"/>
      <c r="S76" s="442"/>
      <c r="T76" s="442"/>
      <c r="U76" s="442"/>
      <c r="V76" s="442"/>
      <c r="W76" s="442"/>
      <c r="X76" s="442"/>
      <c r="Y76" s="442" t="str">
        <f t="shared" si="2"/>
        <v/>
      </c>
      <c r="Z76" s="442" t="str">
        <f t="shared" si="3"/>
        <v/>
      </c>
      <c r="AA76" s="442"/>
      <c r="AB76" s="442"/>
      <c r="AC76" s="442"/>
      <c r="AD76" s="442"/>
    </row>
    <row r="77" spans="1:30" ht="30" customHeight="1">
      <c r="A77" s="466">
        <v>49</v>
      </c>
      <c r="B77" s="220"/>
      <c r="C77" s="758" t="str">
        <f>IF(B77="","",VLOOKUP(B77,名簿!$E$4:$J$184,3,FALSE))</f>
        <v/>
      </c>
      <c r="D77" s="1547" t="str">
        <f>IF(B77="","",VLOOKUP(B77,名簿!$E$4:$J$184,5,FALSE))</f>
        <v/>
      </c>
      <c r="E77" s="1548"/>
      <c r="F77" s="1100" t="str">
        <f>IF(B77="","",VLOOKUP(B77,名簿!$E$4:$W$184,4,FALSE))</f>
        <v/>
      </c>
      <c r="G77" s="759" t="str">
        <f>IF(B77="","",VLOOKUP(B77,名簿!$E$4:$J$184,6,FALSE))</f>
        <v/>
      </c>
      <c r="H77" s="220"/>
      <c r="I77" s="222"/>
      <c r="J77" s="246"/>
      <c r="K77" s="222"/>
      <c r="L77" s="222"/>
      <c r="M77" s="246"/>
      <c r="N77" s="476"/>
      <c r="O77" s="442"/>
      <c r="P77" s="442"/>
      <c r="Q77" s="442"/>
      <c r="R77" s="442"/>
      <c r="S77" s="442"/>
      <c r="T77" s="442"/>
      <c r="U77" s="442"/>
      <c r="V77" s="442"/>
      <c r="W77" s="442"/>
      <c r="X77" s="442"/>
      <c r="Y77" s="442" t="str">
        <f t="shared" si="2"/>
        <v/>
      </c>
      <c r="Z77" s="442" t="str">
        <f t="shared" si="3"/>
        <v/>
      </c>
      <c r="AA77" s="442"/>
      <c r="AB77" s="442"/>
      <c r="AC77" s="442"/>
      <c r="AD77" s="442"/>
    </row>
    <row r="78" spans="1:30" ht="30" customHeight="1">
      <c r="A78" s="467">
        <v>50</v>
      </c>
      <c r="B78" s="223"/>
      <c r="C78" s="1101" t="str">
        <f>IF(B78="","",VLOOKUP(B78,名簿!$E$4:$J$184,3,FALSE))</f>
        <v/>
      </c>
      <c r="D78" s="1569" t="str">
        <f>IF(B78="","",VLOOKUP(B78,名簿!$E$4:$J$184,5,FALSE))</f>
        <v/>
      </c>
      <c r="E78" s="1570"/>
      <c r="F78" s="1102" t="str">
        <f>IF(B78="","",VLOOKUP(B78,名簿!$E$4:$W$184,4,FALSE))</f>
        <v/>
      </c>
      <c r="G78" s="1103" t="str">
        <f>IF(B78="","",VLOOKUP(B78,名簿!$E$4:$J$184,6,FALSE))</f>
        <v/>
      </c>
      <c r="H78" s="223"/>
      <c r="I78" s="224"/>
      <c r="J78" s="247"/>
      <c r="K78" s="224"/>
      <c r="L78" s="224"/>
      <c r="M78" s="247"/>
      <c r="N78" s="477"/>
      <c r="O78" s="442"/>
      <c r="P78" s="442"/>
      <c r="Q78" s="442"/>
      <c r="R78" s="442"/>
      <c r="S78" s="442"/>
      <c r="T78" s="442"/>
      <c r="U78" s="442"/>
      <c r="V78" s="442"/>
      <c r="W78" s="442"/>
      <c r="X78" s="442"/>
      <c r="Y78" s="442" t="str">
        <f t="shared" si="2"/>
        <v/>
      </c>
      <c r="Z78" s="442" t="str">
        <f t="shared" si="3"/>
        <v/>
      </c>
      <c r="AA78" s="442"/>
      <c r="AB78" s="442"/>
      <c r="AC78" s="442"/>
      <c r="AD78" s="442"/>
    </row>
    <row r="79" spans="1:30">
      <c r="A79" s="442"/>
      <c r="B79" s="442"/>
      <c r="C79" s="442"/>
      <c r="D79" s="468"/>
      <c r="E79" s="468"/>
      <c r="F79" s="468"/>
      <c r="G79" s="442"/>
      <c r="H79" s="442"/>
      <c r="I79" s="442"/>
      <c r="J79" s="469"/>
      <c r="K79" s="469"/>
      <c r="L79" s="1572" t="s">
        <v>479</v>
      </c>
      <c r="M79" s="1572"/>
      <c r="N79" s="1572"/>
      <c r="O79" s="469"/>
      <c r="P79" s="469"/>
      <c r="Q79" s="469"/>
      <c r="R79" s="442"/>
      <c r="S79" s="442"/>
      <c r="T79" s="442"/>
      <c r="U79" s="442"/>
      <c r="V79" s="442"/>
      <c r="W79" s="442"/>
      <c r="X79" s="442"/>
      <c r="Y79" s="442"/>
      <c r="Z79" s="442"/>
      <c r="AA79" s="442"/>
      <c r="AB79" s="442"/>
      <c r="AC79" s="442"/>
      <c r="AD79" s="442"/>
    </row>
    <row r="80" spans="1:30" ht="11.25" customHeight="1">
      <c r="A80" s="442"/>
      <c r="B80" s="471"/>
      <c r="C80" s="471"/>
      <c r="D80" s="471"/>
      <c r="E80" s="471"/>
      <c r="F80" s="471"/>
      <c r="G80" s="472"/>
      <c r="H80" s="472"/>
      <c r="I80" s="472"/>
      <c r="J80" s="472"/>
      <c r="K80" s="472"/>
      <c r="L80" s="472"/>
      <c r="M80" s="472"/>
      <c r="N80" s="470"/>
      <c r="O80" s="469"/>
      <c r="P80" s="442"/>
      <c r="Q80" s="442"/>
      <c r="R80" s="442"/>
      <c r="S80" s="442"/>
      <c r="T80" s="442"/>
      <c r="U80" s="442"/>
      <c r="V80" s="442"/>
      <c r="W80" s="442"/>
      <c r="X80" s="442"/>
      <c r="Y80" s="442"/>
      <c r="Z80" s="442"/>
      <c r="AA80" s="442"/>
      <c r="AB80" s="442"/>
      <c r="AC80" s="442"/>
      <c r="AD80" s="442"/>
    </row>
    <row r="81" spans="1:30">
      <c r="A81" s="442"/>
      <c r="B81" s="442"/>
      <c r="C81" s="442"/>
      <c r="D81" s="442"/>
      <c r="E81" s="442"/>
      <c r="F81" s="442"/>
      <c r="G81" s="442"/>
      <c r="H81" s="442"/>
      <c r="I81" s="442"/>
      <c r="J81" s="442"/>
      <c r="K81" s="442"/>
      <c r="L81" s="442"/>
      <c r="M81" s="1571" t="s">
        <v>532</v>
      </c>
      <c r="N81" s="1571"/>
      <c r="O81" s="442"/>
      <c r="P81" s="442"/>
      <c r="Q81" s="442"/>
      <c r="R81" s="442"/>
      <c r="S81" s="442"/>
      <c r="T81" s="442"/>
      <c r="U81" s="442"/>
      <c r="V81" s="442"/>
      <c r="W81" s="442"/>
      <c r="X81" s="442"/>
      <c r="Y81" s="442"/>
      <c r="Z81" s="442"/>
      <c r="AA81" s="442"/>
      <c r="AB81" s="442"/>
      <c r="AC81" s="442"/>
      <c r="AD81" s="442"/>
    </row>
    <row r="82" spans="1:30">
      <c r="A82" s="442"/>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row>
    <row r="83" spans="1:30">
      <c r="A83" s="442"/>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row>
    <row r="84" spans="1:30">
      <c r="A84" s="442"/>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row>
    <row r="85" spans="1:30">
      <c r="A85" s="442"/>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row>
    <row r="86" spans="1:30">
      <c r="A86" s="442"/>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row>
  </sheetData>
  <sheetProtection sheet="1" objects="1" scenarios="1"/>
  <mergeCells count="109">
    <mergeCell ref="D66:E66"/>
    <mergeCell ref="D64:E64"/>
    <mergeCell ref="D59:E59"/>
    <mergeCell ref="D51:E52"/>
    <mergeCell ref="D62:E62"/>
    <mergeCell ref="D61:E61"/>
    <mergeCell ref="L79:N79"/>
    <mergeCell ref="M81:N81"/>
    <mergeCell ref="D77:E77"/>
    <mergeCell ref="D78:E78"/>
    <mergeCell ref="D69:E69"/>
    <mergeCell ref="D70:E70"/>
    <mergeCell ref="F51:F52"/>
    <mergeCell ref="G51:G52"/>
    <mergeCell ref="D76:E76"/>
    <mergeCell ref="D71:E71"/>
    <mergeCell ref="D72:E72"/>
    <mergeCell ref="D73:E73"/>
    <mergeCell ref="D74:E74"/>
    <mergeCell ref="D75:E75"/>
    <mergeCell ref="D65:E65"/>
    <mergeCell ref="D67:E67"/>
    <mergeCell ref="D63:E63"/>
    <mergeCell ref="D60:E60"/>
    <mergeCell ref="D55:E55"/>
    <mergeCell ref="D68:E68"/>
    <mergeCell ref="A46:C47"/>
    <mergeCell ref="D58:E58"/>
    <mergeCell ref="D57:E57"/>
    <mergeCell ref="D56:E56"/>
    <mergeCell ref="M46:M47"/>
    <mergeCell ref="K52:M52"/>
    <mergeCell ref="D46:H47"/>
    <mergeCell ref="J46:L47"/>
    <mergeCell ref="I51:M51"/>
    <mergeCell ref="J48:L48"/>
    <mergeCell ref="J49:N49"/>
    <mergeCell ref="H48:H50"/>
    <mergeCell ref="J50:N50"/>
    <mergeCell ref="H52:J52"/>
    <mergeCell ref="N46:N47"/>
    <mergeCell ref="I46:I47"/>
    <mergeCell ref="D53:E53"/>
    <mergeCell ref="D54:E54"/>
    <mergeCell ref="A51:A52"/>
    <mergeCell ref="B51:B52"/>
    <mergeCell ref="C51:C52"/>
    <mergeCell ref="A48:C49"/>
    <mergeCell ref="A50:C50"/>
    <mergeCell ref="D48:G50"/>
    <mergeCell ref="A45:C45"/>
    <mergeCell ref="D30:E30"/>
    <mergeCell ref="D21:E21"/>
    <mergeCell ref="D29:E29"/>
    <mergeCell ref="D26:E26"/>
    <mergeCell ref="D19:E19"/>
    <mergeCell ref="D23:E23"/>
    <mergeCell ref="D24:E24"/>
    <mergeCell ref="D20:E20"/>
    <mergeCell ref="D25:E25"/>
    <mergeCell ref="D28:E28"/>
    <mergeCell ref="D27:E27"/>
    <mergeCell ref="D31:E31"/>
    <mergeCell ref="A43:B43"/>
    <mergeCell ref="A44:B44"/>
    <mergeCell ref="D32:E32"/>
    <mergeCell ref="D36:E36"/>
    <mergeCell ref="D34:E34"/>
    <mergeCell ref="J44:N44"/>
    <mergeCell ref="D45:I45"/>
    <mergeCell ref="D37:E37"/>
    <mergeCell ref="D35:E35"/>
    <mergeCell ref="M40:N40"/>
    <mergeCell ref="D22:E22"/>
    <mergeCell ref="L38:N38"/>
    <mergeCell ref="D33:E33"/>
    <mergeCell ref="D16:E16"/>
    <mergeCell ref="D17:E17"/>
    <mergeCell ref="D18:E18"/>
    <mergeCell ref="D14:E14"/>
    <mergeCell ref="H11:J11"/>
    <mergeCell ref="D12:E12"/>
    <mergeCell ref="D15:E15"/>
    <mergeCell ref="J3:N3"/>
    <mergeCell ref="D5:H6"/>
    <mergeCell ref="H7:H9"/>
    <mergeCell ref="D13:E13"/>
    <mergeCell ref="G10:G11"/>
    <mergeCell ref="J5:L6"/>
    <mergeCell ref="M5:M6"/>
    <mergeCell ref="N5:N6"/>
    <mergeCell ref="I10:M10"/>
    <mergeCell ref="J8:N8"/>
    <mergeCell ref="A2:B2"/>
    <mergeCell ref="A4:C4"/>
    <mergeCell ref="D4:I4"/>
    <mergeCell ref="A5:C6"/>
    <mergeCell ref="I5:I6"/>
    <mergeCell ref="A3:B3"/>
    <mergeCell ref="K11:M11"/>
    <mergeCell ref="J9:N9"/>
    <mergeCell ref="A7:C8"/>
    <mergeCell ref="D7:G9"/>
    <mergeCell ref="A9:C9"/>
    <mergeCell ref="A10:A11"/>
    <mergeCell ref="C10:C11"/>
    <mergeCell ref="B10:B11"/>
    <mergeCell ref="D10:E11"/>
    <mergeCell ref="F10:F11"/>
  </mergeCells>
  <phoneticPr fontId="22"/>
  <conditionalFormatting sqref="C13:C37 C54:C78">
    <cfRule type="expression" dxfId="1" priority="1" stopIfTrue="1">
      <formula>G13="女"</formula>
    </cfRule>
  </conditionalFormatting>
  <dataValidations count="8">
    <dataValidation imeMode="hiragana" allowBlank="1" showInputMessage="1" showErrorMessage="1" sqref="D7 D48 C12:C37 F13:F37 C53:C78 F54:F78"/>
    <dataValidation imeMode="halfKatakana" allowBlank="1" showInputMessage="1" showErrorMessage="1" sqref="K12 D12:F12 G12:G37 H12 H53 K53 D53:F53 G53:G78"/>
    <dataValidation imeMode="off" allowBlank="1" showInputMessage="1" showErrorMessage="1" sqref="I12 L12:M12 I53 L53:M53"/>
    <dataValidation imeMode="disabled" allowBlank="1" showInputMessage="1" showErrorMessage="1" sqref="M7 B13:B37 J54:J78 M54:M78 M13:M37 N5:N7 J49:N50 J8:N9 D54:D78 D13:D37 J13:J37 M48 B54:B78 N46:N48"/>
    <dataValidation type="list" imeMode="halfKatakana" allowBlank="1" showInputMessage="1" showErrorMessage="1" sqref="H13:H37 H54:H78">
      <formula1>$AA$1:$AA$5</formula1>
    </dataValidation>
    <dataValidation type="list" allowBlank="1" showInputMessage="1" showErrorMessage="1" sqref="K13:K37 K54:K78">
      <formula1>$AA$1:$AA$5</formula1>
    </dataValidation>
    <dataValidation type="list" allowBlank="1" showInputMessage="1" showErrorMessage="1" sqref="N13:N37 N54:N78">
      <formula1>$AC$10:$AC$21</formula1>
    </dataValidation>
    <dataValidation type="list" errorStyle="information" imeMode="disabled" allowBlank="1" showInputMessage="1" showErrorMessage="1" sqref="I13:I37 L13:L37 L54:L78 I54:I78">
      <formula1>$AA$10:$AA$28</formula1>
    </dataValidation>
  </dataValidations>
  <printOptions horizontalCentered="1"/>
  <pageMargins left="0.39370078740157483" right="0.39370078740157483" top="0.27559055118110237" bottom="0.35433070866141736" header="0.23622047244094491" footer="0.27559055118110237"/>
  <pageSetup paperSize="9" scale="89" fitToHeight="2" orientation="portrait" verticalDpi="300" r:id="rId1"/>
  <headerFooter alignWithMargins="0"/>
  <drawing r:id="rId2"/>
</worksheet>
</file>

<file path=xl/worksheets/sheet18.xml><?xml version="1.0" encoding="utf-8"?>
<worksheet xmlns="http://schemas.openxmlformats.org/spreadsheetml/2006/main" xmlns:r="http://schemas.openxmlformats.org/officeDocument/2006/relationships">
  <sheetPr codeName="Sheet16" enableFormatConditionsCalculation="0">
    <tabColor indexed="35"/>
  </sheetPr>
  <dimension ref="A1:X195"/>
  <sheetViews>
    <sheetView showGridLines="0" showRowColHeaders="0" showZeros="0" workbookViewId="0">
      <selection activeCell="I168" sqref="I168:J168"/>
    </sheetView>
  </sheetViews>
  <sheetFormatPr defaultColWidth="7" defaultRowHeight="11.25"/>
  <cols>
    <col min="1" max="1" width="2.125" style="226" customWidth="1"/>
    <col min="2" max="2" width="3.5" style="226" customWidth="1"/>
    <col min="3" max="3" width="2.375" style="226" customWidth="1"/>
    <col min="4" max="4" width="9.5" style="226" customWidth="1"/>
    <col min="5" max="5" width="4.625" style="226" customWidth="1"/>
    <col min="6" max="6" width="3.25" style="226" customWidth="1"/>
    <col min="7" max="7" width="9" style="226" customWidth="1"/>
    <col min="8" max="8" width="2.125" style="226" customWidth="1"/>
    <col min="9" max="9" width="3.5" style="226" customWidth="1"/>
    <col min="10" max="10" width="2.375" style="226" customWidth="1"/>
    <col min="11" max="11" width="9.5" style="226" customWidth="1"/>
    <col min="12" max="12" width="4.625" style="226" customWidth="1"/>
    <col min="13" max="13" width="3.25" style="226" customWidth="1"/>
    <col min="14" max="14" width="9" style="226" customWidth="1"/>
    <col min="15" max="15" width="1.875" style="226" customWidth="1"/>
    <col min="16" max="16" width="6.5" style="226" customWidth="1"/>
    <col min="17" max="17" width="6.5" style="226" hidden="1" customWidth="1"/>
    <col min="18" max="18" width="7" style="226" customWidth="1"/>
    <col min="19" max="19" width="0.5" style="226" customWidth="1"/>
    <col min="20" max="22" width="7" style="226" customWidth="1"/>
    <col min="23" max="23" width="6" style="226" customWidth="1"/>
    <col min="24" max="24" width="5.875" style="226" hidden="1" customWidth="1"/>
    <col min="25" max="16384" width="7" style="226"/>
  </cols>
  <sheetData>
    <row r="1" spans="1:14">
      <c r="N1" s="226" t="s">
        <v>538</v>
      </c>
    </row>
    <row r="3" spans="1:14" ht="12">
      <c r="A3" s="1588" t="s">
        <v>539</v>
      </c>
      <c r="B3" s="1588"/>
      <c r="C3" s="1588"/>
      <c r="D3" s="1588"/>
      <c r="E3" s="1588"/>
      <c r="F3" s="1588"/>
      <c r="G3" s="1588"/>
      <c r="H3" s="1588"/>
      <c r="I3" s="1588"/>
      <c r="J3" s="1588"/>
      <c r="K3" s="1588"/>
      <c r="L3" s="1588"/>
      <c r="M3" s="1588"/>
      <c r="N3" s="1588"/>
    </row>
    <row r="4" spans="1:14">
      <c r="A4" s="1592" t="s">
        <v>540</v>
      </c>
      <c r="B4" s="1592"/>
      <c r="C4" s="1592"/>
      <c r="D4" s="1592"/>
      <c r="E4" s="1592"/>
      <c r="F4" s="1592"/>
      <c r="G4" s="1592"/>
      <c r="H4" s="1592" t="s">
        <v>541</v>
      </c>
      <c r="I4" s="1592"/>
      <c r="J4" s="1592"/>
      <c r="K4" s="1592"/>
      <c r="L4" s="1592"/>
      <c r="M4" s="1592"/>
      <c r="N4" s="1592"/>
    </row>
    <row r="5" spans="1:14" s="228" customFormat="1" ht="13.5" customHeight="1">
      <c r="A5" s="1578" t="s">
        <v>501</v>
      </c>
      <c r="B5" s="1579"/>
      <c r="C5" s="1580" t="str">
        <f>男子一覧表!Y13</f>
        <v/>
      </c>
      <c r="D5" s="1579"/>
      <c r="E5" s="227" t="s">
        <v>511</v>
      </c>
      <c r="F5" s="1597">
        <f>男子一覧表!J13</f>
        <v>0</v>
      </c>
      <c r="G5" s="1598"/>
      <c r="H5" s="1578" t="s">
        <v>501</v>
      </c>
      <c r="I5" s="1579"/>
      <c r="J5" s="1580" t="str">
        <f>男子一覧表!Z13</f>
        <v/>
      </c>
      <c r="K5" s="1579"/>
      <c r="L5" s="227" t="s">
        <v>511</v>
      </c>
      <c r="M5" s="1581">
        <f>男子一覧表!M13</f>
        <v>0</v>
      </c>
      <c r="N5" s="1582"/>
    </row>
    <row r="6" spans="1:14" s="228" customFormat="1" ht="10.5">
      <c r="A6" s="229" t="s">
        <v>542</v>
      </c>
      <c r="B6" s="1585" t="s">
        <v>543</v>
      </c>
      <c r="C6" s="1585"/>
      <c r="D6" s="1589" t="s">
        <v>544</v>
      </c>
      <c r="E6" s="1589"/>
      <c r="F6" s="230" t="s">
        <v>545</v>
      </c>
      <c r="G6" s="232" t="s">
        <v>546</v>
      </c>
      <c r="H6" s="231" t="s">
        <v>542</v>
      </c>
      <c r="I6" s="1585" t="s">
        <v>543</v>
      </c>
      <c r="J6" s="1585"/>
      <c r="K6" s="1589" t="s">
        <v>544</v>
      </c>
      <c r="L6" s="1589"/>
      <c r="M6" s="230" t="s">
        <v>545</v>
      </c>
      <c r="N6" s="232" t="s">
        <v>546</v>
      </c>
    </row>
    <row r="7" spans="1:14" s="510" customFormat="1" ht="24.95" customHeight="1">
      <c r="A7" s="508" t="s">
        <v>509</v>
      </c>
      <c r="B7" s="1586">
        <f>男子一覧表!B13</f>
        <v>0</v>
      </c>
      <c r="C7" s="1587"/>
      <c r="D7" s="1576" t="str">
        <f>IF(男子一覧表!B13="","",VLOOKUP(B7,男子一覧表!$B$13:$F$37,2,FALSE))</f>
        <v/>
      </c>
      <c r="E7" s="1577"/>
      <c r="F7" s="505" t="str">
        <f>IF(男子一覧表!B13="","",VLOOKUP(B7,男子一覧表!$B$13:$F$37,3,FALSE))</f>
        <v/>
      </c>
      <c r="G7" s="506" t="str">
        <f>IF(D7="","",男子一覧表!$A$7)</f>
        <v/>
      </c>
      <c r="H7" s="509" t="s">
        <v>509</v>
      </c>
      <c r="I7" s="1586" t="str">
        <f>IF(男子一覧表!L13="","",男子一覧表!B13)</f>
        <v/>
      </c>
      <c r="J7" s="1587"/>
      <c r="K7" s="1576" t="str">
        <f>IF(男子一覧表!L13="","",VLOOKUP(I7,男子一覧表!$B$13:$F$37,2,FALSE))</f>
        <v/>
      </c>
      <c r="L7" s="1577"/>
      <c r="M7" s="505" t="str">
        <f>IF(男子一覧表!L13="","",VLOOKUP(I7,男子一覧表!$B$13:$F$37,3,FALSE))</f>
        <v/>
      </c>
      <c r="N7" s="506" t="str">
        <f>IF(K7="","",男子一覧表!$A$7)</f>
        <v/>
      </c>
    </row>
    <row r="8" spans="1:14" s="228" customFormat="1" ht="13.5" customHeight="1">
      <c r="A8" s="1578" t="s">
        <v>501</v>
      </c>
      <c r="B8" s="1579"/>
      <c r="C8" s="1580" t="str">
        <f>男子一覧表!Y14</f>
        <v/>
      </c>
      <c r="D8" s="1579"/>
      <c r="E8" s="227" t="s">
        <v>511</v>
      </c>
      <c r="F8" s="1581">
        <f>男子一覧表!J14</f>
        <v>0</v>
      </c>
      <c r="G8" s="1582"/>
      <c r="H8" s="1578" t="s">
        <v>501</v>
      </c>
      <c r="I8" s="1579"/>
      <c r="J8" s="1580" t="str">
        <f>男子一覧表!Z14</f>
        <v/>
      </c>
      <c r="K8" s="1579"/>
      <c r="L8" s="227" t="s">
        <v>511</v>
      </c>
      <c r="M8" s="1581">
        <f>男子一覧表!M14</f>
        <v>0</v>
      </c>
      <c r="N8" s="1582"/>
    </row>
    <row r="9" spans="1:14" s="228" customFormat="1" ht="10.5">
      <c r="A9" s="229" t="s">
        <v>542</v>
      </c>
      <c r="B9" s="1585" t="s">
        <v>543</v>
      </c>
      <c r="C9" s="1585"/>
      <c r="D9" s="1589" t="s">
        <v>544</v>
      </c>
      <c r="E9" s="1589"/>
      <c r="F9" s="230" t="s">
        <v>545</v>
      </c>
      <c r="G9" s="232" t="s">
        <v>546</v>
      </c>
      <c r="H9" s="231" t="s">
        <v>542</v>
      </c>
      <c r="I9" s="1585" t="s">
        <v>543</v>
      </c>
      <c r="J9" s="1585"/>
      <c r="K9" s="1589" t="s">
        <v>544</v>
      </c>
      <c r="L9" s="1589"/>
      <c r="M9" s="230" t="s">
        <v>545</v>
      </c>
      <c r="N9" s="232" t="s">
        <v>546</v>
      </c>
    </row>
    <row r="10" spans="1:14" s="510" customFormat="1" ht="24.95" customHeight="1">
      <c r="A10" s="508" t="s">
        <v>509</v>
      </c>
      <c r="B10" s="1586">
        <f>男子一覧表!B14</f>
        <v>0</v>
      </c>
      <c r="C10" s="1587"/>
      <c r="D10" s="1576" t="str">
        <f>IF(男子一覧表!B14="","",VLOOKUP(B10,男子一覧表!$B$13:$F$37,2,FALSE))</f>
        <v/>
      </c>
      <c r="E10" s="1577"/>
      <c r="F10" s="505" t="str">
        <f>IF(男子一覧表!B14="","",VLOOKUP(B10,男子一覧表!$B$13:$F$37,3,FALSE))</f>
        <v/>
      </c>
      <c r="G10" s="506" t="str">
        <f>IF(D10="","",男子一覧表!$A$7)</f>
        <v/>
      </c>
      <c r="H10" s="509" t="s">
        <v>509</v>
      </c>
      <c r="I10" s="1586" t="str">
        <f>IF(男子一覧表!L14="","",男子一覧表!B14)</f>
        <v/>
      </c>
      <c r="J10" s="1587"/>
      <c r="K10" s="1576" t="str">
        <f>IF(男子一覧表!L14="","",VLOOKUP(I10,男子一覧表!$B$13:$F$37,2,FALSE))</f>
        <v/>
      </c>
      <c r="L10" s="1577"/>
      <c r="M10" s="505" t="str">
        <f>IF(男子一覧表!L14="","",VLOOKUP(I10,男子一覧表!$B$13:$F$37,3,FALSE))</f>
        <v/>
      </c>
      <c r="N10" s="506" t="str">
        <f>IF(K10="","",男子一覧表!$A$7)</f>
        <v/>
      </c>
    </row>
    <row r="11" spans="1:14" s="228" customFormat="1" ht="13.5" customHeight="1">
      <c r="A11" s="1578" t="s">
        <v>501</v>
      </c>
      <c r="B11" s="1579"/>
      <c r="C11" s="1580" t="str">
        <f>男子一覧表!Y15</f>
        <v/>
      </c>
      <c r="D11" s="1579"/>
      <c r="E11" s="227" t="s">
        <v>511</v>
      </c>
      <c r="F11" s="1581">
        <f>男子一覧表!J15</f>
        <v>0</v>
      </c>
      <c r="G11" s="1582"/>
      <c r="H11" s="1578" t="s">
        <v>501</v>
      </c>
      <c r="I11" s="1579"/>
      <c r="J11" s="1580" t="str">
        <f>男子一覧表!Z15</f>
        <v/>
      </c>
      <c r="K11" s="1579"/>
      <c r="L11" s="227" t="s">
        <v>511</v>
      </c>
      <c r="M11" s="1581">
        <f>男子一覧表!M15</f>
        <v>0</v>
      </c>
      <c r="N11" s="1582"/>
    </row>
    <row r="12" spans="1:14" s="228" customFormat="1" ht="10.5">
      <c r="A12" s="229" t="s">
        <v>542</v>
      </c>
      <c r="B12" s="1585" t="s">
        <v>543</v>
      </c>
      <c r="C12" s="1585"/>
      <c r="D12" s="1589" t="s">
        <v>544</v>
      </c>
      <c r="E12" s="1589"/>
      <c r="F12" s="230" t="s">
        <v>545</v>
      </c>
      <c r="G12" s="232" t="s">
        <v>546</v>
      </c>
      <c r="H12" s="231" t="s">
        <v>542</v>
      </c>
      <c r="I12" s="1585" t="s">
        <v>543</v>
      </c>
      <c r="J12" s="1585"/>
      <c r="K12" s="1589" t="s">
        <v>544</v>
      </c>
      <c r="L12" s="1589"/>
      <c r="M12" s="230" t="s">
        <v>545</v>
      </c>
      <c r="N12" s="232" t="s">
        <v>546</v>
      </c>
    </row>
    <row r="13" spans="1:14" s="510" customFormat="1" ht="24.95" customHeight="1">
      <c r="A13" s="508" t="s">
        <v>509</v>
      </c>
      <c r="B13" s="1586">
        <f>男子一覧表!B15</f>
        <v>0</v>
      </c>
      <c r="C13" s="1587"/>
      <c r="D13" s="1576" t="str">
        <f>IF(男子一覧表!B15="","",VLOOKUP(B13,男子一覧表!$B$13:$F$37,2,FALSE))</f>
        <v/>
      </c>
      <c r="E13" s="1577"/>
      <c r="F13" s="505" t="str">
        <f>IF(男子一覧表!B15="","",VLOOKUP(B13,男子一覧表!$B$13:$F$37,3,FALSE))</f>
        <v/>
      </c>
      <c r="G13" s="506" t="str">
        <f>IF(D13="","",男子一覧表!$A$7)</f>
        <v/>
      </c>
      <c r="H13" s="509" t="s">
        <v>509</v>
      </c>
      <c r="I13" s="1586" t="str">
        <f>IF(男子一覧表!L15="","",男子一覧表!B15)</f>
        <v/>
      </c>
      <c r="J13" s="1587"/>
      <c r="K13" s="1576" t="str">
        <f>IF(男子一覧表!L15="","",VLOOKUP(I13,男子一覧表!$B$13:$F$37,2,FALSE))</f>
        <v/>
      </c>
      <c r="L13" s="1577"/>
      <c r="M13" s="505" t="str">
        <f>IF(男子一覧表!L15="","",VLOOKUP(I13,男子一覧表!$B$13:$F$37,3,FALSE))</f>
        <v/>
      </c>
      <c r="N13" s="506" t="str">
        <f>IF(K13="","",男子一覧表!$A$7)</f>
        <v/>
      </c>
    </row>
    <row r="14" spans="1:14" s="228" customFormat="1" ht="13.5" customHeight="1">
      <c r="A14" s="1578" t="s">
        <v>501</v>
      </c>
      <c r="B14" s="1579"/>
      <c r="C14" s="1580" t="str">
        <f>男子一覧表!Y16</f>
        <v/>
      </c>
      <c r="D14" s="1579"/>
      <c r="E14" s="227" t="s">
        <v>511</v>
      </c>
      <c r="F14" s="1581">
        <f>男子一覧表!J16</f>
        <v>0</v>
      </c>
      <c r="G14" s="1582"/>
      <c r="H14" s="1578" t="s">
        <v>501</v>
      </c>
      <c r="I14" s="1579"/>
      <c r="J14" s="1580" t="str">
        <f>男子一覧表!Z16</f>
        <v/>
      </c>
      <c r="K14" s="1579"/>
      <c r="L14" s="227" t="s">
        <v>511</v>
      </c>
      <c r="M14" s="1581">
        <f>男子一覧表!M16</f>
        <v>0</v>
      </c>
      <c r="N14" s="1582"/>
    </row>
    <row r="15" spans="1:14" s="228" customFormat="1" ht="10.5">
      <c r="A15" s="229" t="s">
        <v>542</v>
      </c>
      <c r="B15" s="1585" t="s">
        <v>543</v>
      </c>
      <c r="C15" s="1585"/>
      <c r="D15" s="1589" t="s">
        <v>544</v>
      </c>
      <c r="E15" s="1589"/>
      <c r="F15" s="230" t="s">
        <v>545</v>
      </c>
      <c r="G15" s="232" t="s">
        <v>546</v>
      </c>
      <c r="H15" s="231" t="s">
        <v>542</v>
      </c>
      <c r="I15" s="1585" t="s">
        <v>543</v>
      </c>
      <c r="J15" s="1585"/>
      <c r="K15" s="1589" t="s">
        <v>544</v>
      </c>
      <c r="L15" s="1589"/>
      <c r="M15" s="230" t="s">
        <v>545</v>
      </c>
      <c r="N15" s="232" t="s">
        <v>546</v>
      </c>
    </row>
    <row r="16" spans="1:14" s="510" customFormat="1" ht="24.95" customHeight="1">
      <c r="A16" s="508" t="s">
        <v>509</v>
      </c>
      <c r="B16" s="1586">
        <f>男子一覧表!B16</f>
        <v>0</v>
      </c>
      <c r="C16" s="1587"/>
      <c r="D16" s="1576" t="str">
        <f>IF(男子一覧表!B16="","",VLOOKUP(B16,男子一覧表!$B$13:$F$37,2,FALSE))</f>
        <v/>
      </c>
      <c r="E16" s="1577"/>
      <c r="F16" s="505" t="str">
        <f>IF(男子一覧表!B16="","",VLOOKUP(B16,男子一覧表!$B$13:$F$37,3,FALSE))</f>
        <v/>
      </c>
      <c r="G16" s="506" t="str">
        <f>IF(D16="","",男子一覧表!$A$7)</f>
        <v/>
      </c>
      <c r="H16" s="509" t="s">
        <v>509</v>
      </c>
      <c r="I16" s="1586" t="str">
        <f>IF(男子一覧表!L16="","",男子一覧表!B16)</f>
        <v/>
      </c>
      <c r="J16" s="1587"/>
      <c r="K16" s="1576" t="str">
        <f>IF(男子一覧表!L16="","",VLOOKUP(I16,男子一覧表!$B$13:$F$37,2,FALSE))</f>
        <v/>
      </c>
      <c r="L16" s="1577"/>
      <c r="M16" s="505" t="str">
        <f>IF(男子一覧表!L16="","",VLOOKUP(I16,男子一覧表!$B$13:$F$37,3,FALSE))</f>
        <v/>
      </c>
      <c r="N16" s="506" t="str">
        <f>IF(K16="","",男子一覧表!$A$7)</f>
        <v/>
      </c>
    </row>
    <row r="17" spans="1:16" s="228" customFormat="1" ht="13.5" customHeight="1">
      <c r="A17" s="1578" t="s">
        <v>501</v>
      </c>
      <c r="B17" s="1579"/>
      <c r="C17" s="1580" t="str">
        <f>男子一覧表!Y17</f>
        <v/>
      </c>
      <c r="D17" s="1579"/>
      <c r="E17" s="227" t="s">
        <v>511</v>
      </c>
      <c r="F17" s="1581">
        <f>男子一覧表!J17</f>
        <v>0</v>
      </c>
      <c r="G17" s="1582"/>
      <c r="H17" s="1578" t="s">
        <v>501</v>
      </c>
      <c r="I17" s="1579"/>
      <c r="J17" s="1580" t="str">
        <f>男子一覧表!Z17</f>
        <v/>
      </c>
      <c r="K17" s="1579"/>
      <c r="L17" s="227" t="s">
        <v>511</v>
      </c>
      <c r="M17" s="1581">
        <f>男子一覧表!M17</f>
        <v>0</v>
      </c>
      <c r="N17" s="1582"/>
      <c r="P17" s="233"/>
    </row>
    <row r="18" spans="1:16" s="228" customFormat="1" ht="10.5">
      <c r="A18" s="229" t="s">
        <v>542</v>
      </c>
      <c r="B18" s="1585" t="s">
        <v>543</v>
      </c>
      <c r="C18" s="1585"/>
      <c r="D18" s="1589" t="s">
        <v>544</v>
      </c>
      <c r="E18" s="1589"/>
      <c r="F18" s="230" t="s">
        <v>545</v>
      </c>
      <c r="G18" s="232" t="s">
        <v>546</v>
      </c>
      <c r="H18" s="231" t="s">
        <v>542</v>
      </c>
      <c r="I18" s="1585" t="s">
        <v>543</v>
      </c>
      <c r="J18" s="1585"/>
      <c r="K18" s="1589" t="s">
        <v>544</v>
      </c>
      <c r="L18" s="1589"/>
      <c r="M18" s="230" t="s">
        <v>545</v>
      </c>
      <c r="N18" s="232" t="s">
        <v>546</v>
      </c>
    </row>
    <row r="19" spans="1:16" s="510" customFormat="1" ht="24.95" customHeight="1">
      <c r="A19" s="508" t="s">
        <v>509</v>
      </c>
      <c r="B19" s="1586">
        <f>男子一覧表!B17</f>
        <v>0</v>
      </c>
      <c r="C19" s="1587"/>
      <c r="D19" s="1576" t="str">
        <f>IF(男子一覧表!B17="","",VLOOKUP(B19,男子一覧表!$B$13:$F$37,2,FALSE))</f>
        <v/>
      </c>
      <c r="E19" s="1577"/>
      <c r="F19" s="505" t="str">
        <f>IF(男子一覧表!B17="","",VLOOKUP(B19,男子一覧表!$B$13:$F$37,3,FALSE))</f>
        <v/>
      </c>
      <c r="G19" s="506" t="str">
        <f>IF(D19="","",男子一覧表!$A$7)</f>
        <v/>
      </c>
      <c r="H19" s="509" t="s">
        <v>509</v>
      </c>
      <c r="I19" s="1586" t="str">
        <f>IF(男子一覧表!L17="","",男子一覧表!B17)</f>
        <v/>
      </c>
      <c r="J19" s="1587"/>
      <c r="K19" s="1576" t="str">
        <f>IF(男子一覧表!L17="","",VLOOKUP(I19,男子一覧表!$B$13:$F$37,2,FALSE))</f>
        <v/>
      </c>
      <c r="L19" s="1577"/>
      <c r="M19" s="505" t="str">
        <f>IF(男子一覧表!L17="","",VLOOKUP(I19,男子一覧表!$B$13:$F$37,3,FALSE))</f>
        <v/>
      </c>
      <c r="N19" s="506" t="str">
        <f>IF(K19="","",男子一覧表!$A$7)</f>
        <v/>
      </c>
    </row>
    <row r="20" spans="1:16" s="228" customFormat="1" ht="13.5" customHeight="1">
      <c r="A20" s="1578" t="s">
        <v>501</v>
      </c>
      <c r="B20" s="1579"/>
      <c r="C20" s="1580" t="str">
        <f>男子一覧表!Y18</f>
        <v/>
      </c>
      <c r="D20" s="1579"/>
      <c r="E20" s="227" t="s">
        <v>511</v>
      </c>
      <c r="F20" s="1581">
        <f>男子一覧表!J18</f>
        <v>0</v>
      </c>
      <c r="G20" s="1582"/>
      <c r="H20" s="1578" t="s">
        <v>501</v>
      </c>
      <c r="I20" s="1579"/>
      <c r="J20" s="1580" t="str">
        <f>男子一覧表!Z18</f>
        <v/>
      </c>
      <c r="K20" s="1579"/>
      <c r="L20" s="227" t="s">
        <v>511</v>
      </c>
      <c r="M20" s="1581">
        <f>男子一覧表!M18</f>
        <v>0</v>
      </c>
      <c r="N20" s="1582"/>
    </row>
    <row r="21" spans="1:16" s="228" customFormat="1" ht="10.5">
      <c r="A21" s="229" t="s">
        <v>542</v>
      </c>
      <c r="B21" s="1585" t="s">
        <v>543</v>
      </c>
      <c r="C21" s="1585"/>
      <c r="D21" s="1589" t="s">
        <v>544</v>
      </c>
      <c r="E21" s="1589"/>
      <c r="F21" s="230" t="s">
        <v>545</v>
      </c>
      <c r="G21" s="232" t="s">
        <v>546</v>
      </c>
      <c r="H21" s="231" t="s">
        <v>542</v>
      </c>
      <c r="I21" s="1585" t="s">
        <v>543</v>
      </c>
      <c r="J21" s="1585"/>
      <c r="K21" s="1589" t="s">
        <v>544</v>
      </c>
      <c r="L21" s="1589"/>
      <c r="M21" s="230" t="s">
        <v>545</v>
      </c>
      <c r="N21" s="232" t="s">
        <v>546</v>
      </c>
    </row>
    <row r="22" spans="1:16" s="510" customFormat="1" ht="24.95" customHeight="1">
      <c r="A22" s="508" t="s">
        <v>509</v>
      </c>
      <c r="B22" s="1586">
        <f>男子一覧表!B18</f>
        <v>0</v>
      </c>
      <c r="C22" s="1587"/>
      <c r="D22" s="1576" t="str">
        <f>IF(男子一覧表!B18="","",VLOOKUP(B22,男子一覧表!$B$13:$F$37,2,FALSE))</f>
        <v/>
      </c>
      <c r="E22" s="1577"/>
      <c r="F22" s="505" t="str">
        <f>IF(男子一覧表!B18="","",VLOOKUP(B22,男子一覧表!$B$13:$F$37,3,FALSE))</f>
        <v/>
      </c>
      <c r="G22" s="506" t="str">
        <f>IF(D22="","",男子一覧表!$A$7)</f>
        <v/>
      </c>
      <c r="H22" s="509" t="s">
        <v>509</v>
      </c>
      <c r="I22" s="1586" t="str">
        <f>IF(男子一覧表!L18="","",男子一覧表!B18)</f>
        <v/>
      </c>
      <c r="J22" s="1587"/>
      <c r="K22" s="1576" t="str">
        <f>IF(男子一覧表!L18="","",VLOOKUP(I22,男子一覧表!$B$13:$F$37,2,FALSE))</f>
        <v/>
      </c>
      <c r="L22" s="1577"/>
      <c r="M22" s="505" t="str">
        <f>IF(男子一覧表!L18="","",VLOOKUP(I22,男子一覧表!$B$13:$F$37,3,FALSE))</f>
        <v/>
      </c>
      <c r="N22" s="506" t="str">
        <f>IF(K22="","",男子一覧表!$A$7)</f>
        <v/>
      </c>
    </row>
    <row r="23" spans="1:16" s="228" customFormat="1" ht="13.5" customHeight="1">
      <c r="A23" s="1578" t="s">
        <v>501</v>
      </c>
      <c r="B23" s="1579"/>
      <c r="C23" s="1580" t="str">
        <f>男子一覧表!Y19</f>
        <v/>
      </c>
      <c r="D23" s="1579"/>
      <c r="E23" s="227" t="s">
        <v>511</v>
      </c>
      <c r="F23" s="1581">
        <f>男子一覧表!J19</f>
        <v>0</v>
      </c>
      <c r="G23" s="1582"/>
      <c r="H23" s="1578" t="s">
        <v>501</v>
      </c>
      <c r="I23" s="1579"/>
      <c r="J23" s="1580" t="str">
        <f>男子一覧表!Z19</f>
        <v/>
      </c>
      <c r="K23" s="1579"/>
      <c r="L23" s="227" t="s">
        <v>511</v>
      </c>
      <c r="M23" s="1581">
        <f>男子一覧表!M19</f>
        <v>0</v>
      </c>
      <c r="N23" s="1582"/>
    </row>
    <row r="24" spans="1:16" s="228" customFormat="1" ht="10.5">
      <c r="A24" s="229" t="s">
        <v>542</v>
      </c>
      <c r="B24" s="1585" t="s">
        <v>543</v>
      </c>
      <c r="C24" s="1585"/>
      <c r="D24" s="1589" t="s">
        <v>544</v>
      </c>
      <c r="E24" s="1589"/>
      <c r="F24" s="230" t="s">
        <v>545</v>
      </c>
      <c r="G24" s="232" t="s">
        <v>546</v>
      </c>
      <c r="H24" s="231" t="s">
        <v>542</v>
      </c>
      <c r="I24" s="1585" t="s">
        <v>543</v>
      </c>
      <c r="J24" s="1585"/>
      <c r="K24" s="1589" t="s">
        <v>544</v>
      </c>
      <c r="L24" s="1589"/>
      <c r="M24" s="230" t="s">
        <v>545</v>
      </c>
      <c r="N24" s="232" t="s">
        <v>546</v>
      </c>
    </row>
    <row r="25" spans="1:16" s="510" customFormat="1" ht="24.95" customHeight="1">
      <c r="A25" s="508" t="s">
        <v>509</v>
      </c>
      <c r="B25" s="1586">
        <f>男子一覧表!B19</f>
        <v>0</v>
      </c>
      <c r="C25" s="1587"/>
      <c r="D25" s="1576" t="str">
        <f>IF(男子一覧表!B19="","",VLOOKUP(B25,男子一覧表!$B$13:$F$37,2,FALSE))</f>
        <v/>
      </c>
      <c r="E25" s="1577"/>
      <c r="F25" s="505" t="str">
        <f>IF(男子一覧表!B19="","",VLOOKUP(B25,男子一覧表!$B$13:$F$37,3,FALSE))</f>
        <v/>
      </c>
      <c r="G25" s="506" t="str">
        <f>IF(D25="","",男子一覧表!$A$7)</f>
        <v/>
      </c>
      <c r="H25" s="509" t="s">
        <v>509</v>
      </c>
      <c r="I25" s="1586" t="str">
        <f>IF(男子一覧表!L19="","",男子一覧表!B19)</f>
        <v/>
      </c>
      <c r="J25" s="1587"/>
      <c r="K25" s="1576" t="str">
        <f>IF(男子一覧表!L19="","",VLOOKUP(I25,男子一覧表!$B$13:$F$37,2,FALSE))</f>
        <v/>
      </c>
      <c r="L25" s="1577"/>
      <c r="M25" s="505" t="str">
        <f>IF(男子一覧表!L19="","",VLOOKUP(I25,男子一覧表!$B$13:$F$37,3,FALSE))</f>
        <v/>
      </c>
      <c r="N25" s="506" t="str">
        <f>IF(K25="","",男子一覧表!$A$7)</f>
        <v/>
      </c>
    </row>
    <row r="26" spans="1:16" s="228" customFormat="1" ht="13.5" customHeight="1">
      <c r="A26" s="1578" t="s">
        <v>501</v>
      </c>
      <c r="B26" s="1579"/>
      <c r="C26" s="1580" t="str">
        <f>男子一覧表!Y20</f>
        <v/>
      </c>
      <c r="D26" s="1579"/>
      <c r="E26" s="227" t="s">
        <v>511</v>
      </c>
      <c r="F26" s="1581">
        <f>男子一覧表!J20</f>
        <v>0</v>
      </c>
      <c r="G26" s="1582"/>
      <c r="H26" s="1578" t="s">
        <v>501</v>
      </c>
      <c r="I26" s="1579"/>
      <c r="J26" s="1580" t="str">
        <f>男子一覧表!Z20</f>
        <v/>
      </c>
      <c r="K26" s="1579"/>
      <c r="L26" s="227" t="s">
        <v>511</v>
      </c>
      <c r="M26" s="1581">
        <f>男子一覧表!M20</f>
        <v>0</v>
      </c>
      <c r="N26" s="1582"/>
    </row>
    <row r="27" spans="1:16" s="228" customFormat="1" ht="10.5">
      <c r="A27" s="229" t="s">
        <v>542</v>
      </c>
      <c r="B27" s="1585" t="s">
        <v>543</v>
      </c>
      <c r="C27" s="1585"/>
      <c r="D27" s="1589" t="s">
        <v>544</v>
      </c>
      <c r="E27" s="1589"/>
      <c r="F27" s="230" t="s">
        <v>545</v>
      </c>
      <c r="G27" s="232" t="s">
        <v>546</v>
      </c>
      <c r="H27" s="231" t="s">
        <v>542</v>
      </c>
      <c r="I27" s="1585" t="s">
        <v>543</v>
      </c>
      <c r="J27" s="1585"/>
      <c r="K27" s="1589" t="s">
        <v>544</v>
      </c>
      <c r="L27" s="1589"/>
      <c r="M27" s="230" t="s">
        <v>545</v>
      </c>
      <c r="N27" s="232" t="s">
        <v>546</v>
      </c>
    </row>
    <row r="28" spans="1:16" s="510" customFormat="1" ht="24.95" customHeight="1">
      <c r="A28" s="508" t="s">
        <v>509</v>
      </c>
      <c r="B28" s="1586">
        <f>男子一覧表!B20</f>
        <v>0</v>
      </c>
      <c r="C28" s="1587"/>
      <c r="D28" s="1576" t="str">
        <f>IF(男子一覧表!B20="","",VLOOKUP(B28,男子一覧表!$B$13:$F$37,2,FALSE))</f>
        <v/>
      </c>
      <c r="E28" s="1577"/>
      <c r="F28" s="505" t="str">
        <f>IF(男子一覧表!B20="","",VLOOKUP(B28,男子一覧表!$B$13:$F$37,3,FALSE))</f>
        <v/>
      </c>
      <c r="G28" s="506" t="str">
        <f>IF(D28="","",男子一覧表!$A$7)</f>
        <v/>
      </c>
      <c r="H28" s="509" t="s">
        <v>509</v>
      </c>
      <c r="I28" s="1586" t="str">
        <f>IF(男子一覧表!L20="","",男子一覧表!B20)</f>
        <v/>
      </c>
      <c r="J28" s="1587"/>
      <c r="K28" s="1576" t="str">
        <f>IF(男子一覧表!L20="","",VLOOKUP(I28,男子一覧表!$B$13:$F$37,2,FALSE))</f>
        <v/>
      </c>
      <c r="L28" s="1577"/>
      <c r="M28" s="505" t="str">
        <f>IF(男子一覧表!L20="","",VLOOKUP(I28,男子一覧表!$B$13:$F$37,3,FALSE))</f>
        <v/>
      </c>
      <c r="N28" s="506" t="str">
        <f>IF(K28="","",男子一覧表!$A$7)</f>
        <v/>
      </c>
    </row>
    <row r="29" spans="1:16" s="228" customFormat="1" ht="13.5" customHeight="1">
      <c r="A29" s="1578" t="s">
        <v>501</v>
      </c>
      <c r="B29" s="1579"/>
      <c r="C29" s="1580" t="str">
        <f>男子一覧表!Y21</f>
        <v/>
      </c>
      <c r="D29" s="1579"/>
      <c r="E29" s="227" t="s">
        <v>511</v>
      </c>
      <c r="F29" s="1581">
        <f>男子一覧表!J21</f>
        <v>0</v>
      </c>
      <c r="G29" s="1582"/>
      <c r="H29" s="1578" t="s">
        <v>501</v>
      </c>
      <c r="I29" s="1579"/>
      <c r="J29" s="1580" t="str">
        <f>男子一覧表!Z21</f>
        <v/>
      </c>
      <c r="K29" s="1579"/>
      <c r="L29" s="227" t="s">
        <v>511</v>
      </c>
      <c r="M29" s="1581">
        <f>男子一覧表!M21</f>
        <v>0</v>
      </c>
      <c r="N29" s="1582"/>
    </row>
    <row r="30" spans="1:16" s="228" customFormat="1" ht="10.5">
      <c r="A30" s="229" t="s">
        <v>542</v>
      </c>
      <c r="B30" s="1585" t="s">
        <v>543</v>
      </c>
      <c r="C30" s="1585"/>
      <c r="D30" s="1589" t="s">
        <v>544</v>
      </c>
      <c r="E30" s="1589"/>
      <c r="F30" s="230" t="s">
        <v>545</v>
      </c>
      <c r="G30" s="232" t="s">
        <v>546</v>
      </c>
      <c r="H30" s="231" t="s">
        <v>542</v>
      </c>
      <c r="I30" s="1585" t="s">
        <v>543</v>
      </c>
      <c r="J30" s="1585"/>
      <c r="K30" s="1589" t="s">
        <v>544</v>
      </c>
      <c r="L30" s="1589"/>
      <c r="M30" s="230" t="s">
        <v>545</v>
      </c>
      <c r="N30" s="232" t="s">
        <v>546</v>
      </c>
    </row>
    <row r="31" spans="1:16" s="510" customFormat="1" ht="24.95" customHeight="1">
      <c r="A31" s="508" t="s">
        <v>509</v>
      </c>
      <c r="B31" s="1586">
        <f>男子一覧表!B21</f>
        <v>0</v>
      </c>
      <c r="C31" s="1587"/>
      <c r="D31" s="1576" t="str">
        <f>IF(男子一覧表!B21="","",VLOOKUP(B31,男子一覧表!$B$13:$F$37,2,FALSE))</f>
        <v/>
      </c>
      <c r="E31" s="1577"/>
      <c r="F31" s="505" t="str">
        <f>IF(男子一覧表!B21="","",VLOOKUP(B31,男子一覧表!$B$13:$F$37,3,FALSE))</f>
        <v/>
      </c>
      <c r="G31" s="506" t="str">
        <f>IF(D31="","",男子一覧表!$A$7)</f>
        <v/>
      </c>
      <c r="H31" s="509" t="s">
        <v>509</v>
      </c>
      <c r="I31" s="1586" t="str">
        <f>IF(男子一覧表!L21="","",男子一覧表!B21)</f>
        <v/>
      </c>
      <c r="J31" s="1587"/>
      <c r="K31" s="1576" t="str">
        <f>IF(男子一覧表!L21="","",VLOOKUP(I31,男子一覧表!$B$13:$F$37,2,FALSE))</f>
        <v/>
      </c>
      <c r="L31" s="1577"/>
      <c r="M31" s="505" t="str">
        <f>IF(男子一覧表!L21="","",VLOOKUP(I31,男子一覧表!$B$13:$F$37,3,FALSE))</f>
        <v/>
      </c>
      <c r="N31" s="506" t="str">
        <f>IF(K31="","",男子一覧表!$A$7)</f>
        <v/>
      </c>
    </row>
    <row r="32" spans="1:16" s="228" customFormat="1" ht="13.5" customHeight="1">
      <c r="A32" s="1578" t="s">
        <v>501</v>
      </c>
      <c r="B32" s="1579"/>
      <c r="C32" s="1580" t="str">
        <f>男子一覧表!Y22</f>
        <v/>
      </c>
      <c r="D32" s="1579"/>
      <c r="E32" s="227" t="s">
        <v>511</v>
      </c>
      <c r="F32" s="1581">
        <f>男子一覧表!J22</f>
        <v>0</v>
      </c>
      <c r="G32" s="1582"/>
      <c r="H32" s="1578" t="s">
        <v>501</v>
      </c>
      <c r="I32" s="1579"/>
      <c r="J32" s="1580" t="str">
        <f>男子一覧表!Z22</f>
        <v/>
      </c>
      <c r="K32" s="1579"/>
      <c r="L32" s="227" t="s">
        <v>511</v>
      </c>
      <c r="M32" s="1581">
        <f>男子一覧表!M22</f>
        <v>0</v>
      </c>
      <c r="N32" s="1582"/>
    </row>
    <row r="33" spans="1:14" s="228" customFormat="1" ht="10.5">
      <c r="A33" s="229" t="s">
        <v>542</v>
      </c>
      <c r="B33" s="1585" t="s">
        <v>543</v>
      </c>
      <c r="C33" s="1585"/>
      <c r="D33" s="1589" t="s">
        <v>544</v>
      </c>
      <c r="E33" s="1589"/>
      <c r="F33" s="230" t="s">
        <v>545</v>
      </c>
      <c r="G33" s="232" t="s">
        <v>546</v>
      </c>
      <c r="H33" s="231" t="s">
        <v>542</v>
      </c>
      <c r="I33" s="1585" t="s">
        <v>543</v>
      </c>
      <c r="J33" s="1585"/>
      <c r="K33" s="1589" t="s">
        <v>544</v>
      </c>
      <c r="L33" s="1589"/>
      <c r="M33" s="230" t="s">
        <v>545</v>
      </c>
      <c r="N33" s="232" t="s">
        <v>546</v>
      </c>
    </row>
    <row r="34" spans="1:14" s="510" customFormat="1" ht="24.95" customHeight="1">
      <c r="A34" s="508" t="s">
        <v>509</v>
      </c>
      <c r="B34" s="1586">
        <f>男子一覧表!B22</f>
        <v>0</v>
      </c>
      <c r="C34" s="1587"/>
      <c r="D34" s="1576" t="str">
        <f>IF(男子一覧表!B22="","",VLOOKUP(B34,男子一覧表!$B$13:$F$37,2,FALSE))</f>
        <v/>
      </c>
      <c r="E34" s="1577"/>
      <c r="F34" s="505" t="str">
        <f>IF(男子一覧表!B22="","",VLOOKUP(B34,男子一覧表!$B$13:$F$37,3,FALSE))</f>
        <v/>
      </c>
      <c r="G34" s="506" t="str">
        <f>IF(D34="","",男子一覧表!$A$7)</f>
        <v/>
      </c>
      <c r="H34" s="509" t="s">
        <v>509</v>
      </c>
      <c r="I34" s="1586" t="str">
        <f>IF(男子一覧表!L22="","",男子一覧表!B22)</f>
        <v/>
      </c>
      <c r="J34" s="1587"/>
      <c r="K34" s="1576" t="str">
        <f>IF(男子一覧表!L22="","",VLOOKUP(I34,男子一覧表!$B$13:$F$37,2,FALSE))</f>
        <v/>
      </c>
      <c r="L34" s="1577"/>
      <c r="M34" s="505" t="str">
        <f>IF(男子一覧表!L22="","",VLOOKUP(I34,男子一覧表!$B$13:$F$37,3,FALSE))</f>
        <v/>
      </c>
      <c r="N34" s="506" t="str">
        <f>IF(K34="","",男子一覧表!$A$7)</f>
        <v/>
      </c>
    </row>
    <row r="35" spans="1:14" s="228" customFormat="1" ht="13.5" customHeight="1">
      <c r="A35" s="1578" t="s">
        <v>501</v>
      </c>
      <c r="B35" s="1579"/>
      <c r="C35" s="1580" t="str">
        <f>男子一覧表!Y23</f>
        <v/>
      </c>
      <c r="D35" s="1579"/>
      <c r="E35" s="227" t="s">
        <v>511</v>
      </c>
      <c r="F35" s="1581">
        <f>男子一覧表!J23</f>
        <v>0</v>
      </c>
      <c r="G35" s="1582"/>
      <c r="H35" s="1578" t="s">
        <v>501</v>
      </c>
      <c r="I35" s="1579"/>
      <c r="J35" s="1580" t="str">
        <f>男子一覧表!Z23</f>
        <v/>
      </c>
      <c r="K35" s="1579"/>
      <c r="L35" s="227" t="s">
        <v>511</v>
      </c>
      <c r="M35" s="1581">
        <f>男子一覧表!M23</f>
        <v>0</v>
      </c>
      <c r="N35" s="1582"/>
    </row>
    <row r="36" spans="1:14" s="228" customFormat="1" ht="10.5">
      <c r="A36" s="229" t="s">
        <v>542</v>
      </c>
      <c r="B36" s="1583" t="s">
        <v>543</v>
      </c>
      <c r="C36" s="1584"/>
      <c r="D36" s="1590" t="s">
        <v>544</v>
      </c>
      <c r="E36" s="1591"/>
      <c r="F36" s="230" t="s">
        <v>545</v>
      </c>
      <c r="G36" s="232" t="s">
        <v>546</v>
      </c>
      <c r="H36" s="231" t="s">
        <v>542</v>
      </c>
      <c r="I36" s="1583" t="s">
        <v>543</v>
      </c>
      <c r="J36" s="1584"/>
      <c r="K36" s="1590" t="s">
        <v>544</v>
      </c>
      <c r="L36" s="1591"/>
      <c r="M36" s="230" t="s">
        <v>545</v>
      </c>
      <c r="N36" s="232" t="s">
        <v>546</v>
      </c>
    </row>
    <row r="37" spans="1:14" s="510" customFormat="1" ht="24.95" customHeight="1">
      <c r="A37" s="511" t="s">
        <v>509</v>
      </c>
      <c r="B37" s="1593">
        <f>男子一覧表!B23</f>
        <v>0</v>
      </c>
      <c r="C37" s="1594"/>
      <c r="D37" s="1595" t="str">
        <f>IF(男子一覧表!B23="","",VLOOKUP(B37,男子一覧表!$B$13:$F$37,2,FALSE))</f>
        <v/>
      </c>
      <c r="E37" s="1596"/>
      <c r="F37" s="507" t="str">
        <f>IF(男子一覧表!B23="","",VLOOKUP(B37,男子一覧表!$B$13:$F$37,3,FALSE))</f>
        <v/>
      </c>
      <c r="G37" s="506" t="str">
        <f>IF(D37="","",男子一覧表!$A$7)</f>
        <v/>
      </c>
      <c r="H37" s="512" t="s">
        <v>509</v>
      </c>
      <c r="I37" s="1586" t="str">
        <f>IF(男子一覧表!L23="","",男子一覧表!B23)</f>
        <v/>
      </c>
      <c r="J37" s="1587"/>
      <c r="K37" s="1595" t="str">
        <f>IF(男子一覧表!L23="","",VLOOKUP(I37,男子一覧表!$B$13:$F$37,2,FALSE))</f>
        <v/>
      </c>
      <c r="L37" s="1596"/>
      <c r="M37" s="507" t="str">
        <f>IF(男子一覧表!L23="","",VLOOKUP(I37,男子一覧表!$B$13:$F$37,3,FALSE))</f>
        <v/>
      </c>
      <c r="N37" s="506" t="str">
        <f>IF(K37="","",男子一覧表!$A$7)</f>
        <v/>
      </c>
    </row>
    <row r="38" spans="1:14" s="228" customFormat="1" ht="13.5" customHeight="1">
      <c r="A38" s="1578" t="s">
        <v>501</v>
      </c>
      <c r="B38" s="1579"/>
      <c r="C38" s="1580" t="str">
        <f>男子一覧表!Y24</f>
        <v/>
      </c>
      <c r="D38" s="1579"/>
      <c r="E38" s="227" t="s">
        <v>511</v>
      </c>
      <c r="F38" s="1581">
        <f>男子一覧表!J24</f>
        <v>0</v>
      </c>
      <c r="G38" s="1582"/>
      <c r="H38" s="1578" t="s">
        <v>501</v>
      </c>
      <c r="I38" s="1579"/>
      <c r="J38" s="1580" t="str">
        <f>男子一覧表!Z24</f>
        <v/>
      </c>
      <c r="K38" s="1579"/>
      <c r="L38" s="227" t="s">
        <v>511</v>
      </c>
      <c r="M38" s="1581">
        <f>男子一覧表!M24</f>
        <v>0</v>
      </c>
      <c r="N38" s="1582"/>
    </row>
    <row r="39" spans="1:14" s="228" customFormat="1" ht="10.5">
      <c r="A39" s="229" t="s">
        <v>542</v>
      </c>
      <c r="B39" s="1585" t="s">
        <v>543</v>
      </c>
      <c r="C39" s="1585"/>
      <c r="D39" s="1589" t="s">
        <v>544</v>
      </c>
      <c r="E39" s="1589"/>
      <c r="F39" s="230" t="s">
        <v>545</v>
      </c>
      <c r="G39" s="232" t="s">
        <v>546</v>
      </c>
      <c r="H39" s="231" t="s">
        <v>542</v>
      </c>
      <c r="I39" s="1585" t="s">
        <v>543</v>
      </c>
      <c r="J39" s="1585"/>
      <c r="K39" s="1589" t="s">
        <v>544</v>
      </c>
      <c r="L39" s="1589"/>
      <c r="M39" s="230" t="s">
        <v>545</v>
      </c>
      <c r="N39" s="232" t="s">
        <v>546</v>
      </c>
    </row>
    <row r="40" spans="1:14" s="510" customFormat="1" ht="24.95" customHeight="1">
      <c r="A40" s="508" t="s">
        <v>509</v>
      </c>
      <c r="B40" s="1586">
        <f>男子一覧表!B24</f>
        <v>0</v>
      </c>
      <c r="C40" s="1587"/>
      <c r="D40" s="1576" t="str">
        <f>IF(男子一覧表!B24="","",VLOOKUP(B40,男子一覧表!$B$13:$F$37,2,FALSE))</f>
        <v/>
      </c>
      <c r="E40" s="1577"/>
      <c r="F40" s="505" t="str">
        <f>IF(男子一覧表!B24="","",VLOOKUP(B40,男子一覧表!$B$13:$F$37,3,FALSE))</f>
        <v/>
      </c>
      <c r="G40" s="506" t="str">
        <f>IF(D40="","",男子一覧表!$A$7)</f>
        <v/>
      </c>
      <c r="H40" s="509" t="s">
        <v>509</v>
      </c>
      <c r="I40" s="1586" t="str">
        <f>IF(男子一覧表!L24="","",男子一覧表!B24)</f>
        <v/>
      </c>
      <c r="J40" s="1587"/>
      <c r="K40" s="1576" t="str">
        <f>IF(男子一覧表!L24="","",VLOOKUP(I40,男子一覧表!$B$13:$F$37,2,FALSE))</f>
        <v/>
      </c>
      <c r="L40" s="1577"/>
      <c r="M40" s="505" t="str">
        <f>IF(男子一覧表!L24="","",VLOOKUP(I40,男子一覧表!$B$13:$F$37,3,FALSE))</f>
        <v/>
      </c>
      <c r="N40" s="506" t="str">
        <f>IF(K40="","",男子一覧表!$A$7)</f>
        <v/>
      </c>
    </row>
    <row r="41" spans="1:14" s="228" customFormat="1" ht="13.5" customHeight="1">
      <c r="A41" s="1578" t="s">
        <v>501</v>
      </c>
      <c r="B41" s="1579"/>
      <c r="C41" s="1580" t="str">
        <f>男子一覧表!Y25</f>
        <v/>
      </c>
      <c r="D41" s="1579"/>
      <c r="E41" s="227" t="s">
        <v>511</v>
      </c>
      <c r="F41" s="1581">
        <f>男子一覧表!J25</f>
        <v>0</v>
      </c>
      <c r="G41" s="1582"/>
      <c r="H41" s="1578" t="s">
        <v>501</v>
      </c>
      <c r="I41" s="1579"/>
      <c r="J41" s="1580" t="str">
        <f>男子一覧表!Z25</f>
        <v/>
      </c>
      <c r="K41" s="1579"/>
      <c r="L41" s="227" t="s">
        <v>511</v>
      </c>
      <c r="M41" s="1581">
        <f>男子一覧表!M25</f>
        <v>0</v>
      </c>
      <c r="N41" s="1582"/>
    </row>
    <row r="42" spans="1:14" s="228" customFormat="1" ht="10.5">
      <c r="A42" s="229" t="s">
        <v>542</v>
      </c>
      <c r="B42" s="1585" t="s">
        <v>543</v>
      </c>
      <c r="C42" s="1585"/>
      <c r="D42" s="1589" t="s">
        <v>544</v>
      </c>
      <c r="E42" s="1589"/>
      <c r="F42" s="230" t="s">
        <v>545</v>
      </c>
      <c r="G42" s="232" t="s">
        <v>546</v>
      </c>
      <c r="H42" s="231" t="s">
        <v>542</v>
      </c>
      <c r="I42" s="1585" t="s">
        <v>543</v>
      </c>
      <c r="J42" s="1585"/>
      <c r="K42" s="1589" t="s">
        <v>544</v>
      </c>
      <c r="L42" s="1589"/>
      <c r="M42" s="230" t="s">
        <v>545</v>
      </c>
      <c r="N42" s="232" t="s">
        <v>546</v>
      </c>
    </row>
    <row r="43" spans="1:14" s="510" customFormat="1" ht="24.95" customHeight="1">
      <c r="A43" s="508" t="s">
        <v>509</v>
      </c>
      <c r="B43" s="1586">
        <f>男子一覧表!B25</f>
        <v>0</v>
      </c>
      <c r="C43" s="1587"/>
      <c r="D43" s="1576" t="str">
        <f>IF(男子一覧表!B25="","",VLOOKUP(B43,男子一覧表!$B$13:$F$37,2,FALSE))</f>
        <v/>
      </c>
      <c r="E43" s="1577"/>
      <c r="F43" s="505" t="str">
        <f>IF(男子一覧表!B25="","",VLOOKUP(B43,男子一覧表!$B$13:$F$37,3,FALSE))</f>
        <v/>
      </c>
      <c r="G43" s="506" t="str">
        <f>IF(D43="","",男子一覧表!$A$7)</f>
        <v/>
      </c>
      <c r="H43" s="509" t="s">
        <v>509</v>
      </c>
      <c r="I43" s="1586" t="str">
        <f>IF(男子一覧表!L25="","",男子一覧表!B25)</f>
        <v/>
      </c>
      <c r="J43" s="1587"/>
      <c r="K43" s="1576" t="str">
        <f>IF(男子一覧表!L25="","",VLOOKUP(I43,男子一覧表!$B$13:$F$37,2,FALSE))</f>
        <v/>
      </c>
      <c r="L43" s="1577"/>
      <c r="M43" s="505" t="str">
        <f>IF(男子一覧表!L25="","",VLOOKUP(I43,男子一覧表!$B$13:$F$37,3,FALSE))</f>
        <v/>
      </c>
      <c r="N43" s="506" t="str">
        <f>IF(K43="","",男子一覧表!$A$7)</f>
        <v/>
      </c>
    </row>
    <row r="44" spans="1:14" s="228" customFormat="1" ht="13.5" customHeight="1">
      <c r="A44" s="1578" t="s">
        <v>501</v>
      </c>
      <c r="B44" s="1579"/>
      <c r="C44" s="1580" t="str">
        <f>男子一覧表!Y26</f>
        <v/>
      </c>
      <c r="D44" s="1579"/>
      <c r="E44" s="227" t="s">
        <v>511</v>
      </c>
      <c r="F44" s="1581">
        <f>男子一覧表!J26</f>
        <v>0</v>
      </c>
      <c r="G44" s="1582"/>
      <c r="H44" s="1578" t="s">
        <v>501</v>
      </c>
      <c r="I44" s="1579"/>
      <c r="J44" s="1580" t="str">
        <f>男子一覧表!Z26</f>
        <v/>
      </c>
      <c r="K44" s="1579"/>
      <c r="L44" s="227" t="s">
        <v>511</v>
      </c>
      <c r="M44" s="1581">
        <f>男子一覧表!M26</f>
        <v>0</v>
      </c>
      <c r="N44" s="1582"/>
    </row>
    <row r="45" spans="1:14" s="228" customFormat="1" ht="10.5">
      <c r="A45" s="229" t="s">
        <v>542</v>
      </c>
      <c r="B45" s="1585" t="s">
        <v>543</v>
      </c>
      <c r="C45" s="1585"/>
      <c r="D45" s="1589" t="s">
        <v>544</v>
      </c>
      <c r="E45" s="1589"/>
      <c r="F45" s="230" t="s">
        <v>545</v>
      </c>
      <c r="G45" s="232" t="s">
        <v>546</v>
      </c>
      <c r="H45" s="231" t="s">
        <v>542</v>
      </c>
      <c r="I45" s="1585" t="s">
        <v>543</v>
      </c>
      <c r="J45" s="1585"/>
      <c r="K45" s="1589" t="s">
        <v>544</v>
      </c>
      <c r="L45" s="1589"/>
      <c r="M45" s="230" t="s">
        <v>545</v>
      </c>
      <c r="N45" s="232" t="s">
        <v>546</v>
      </c>
    </row>
    <row r="46" spans="1:14" s="510" customFormat="1" ht="24.95" customHeight="1">
      <c r="A46" s="508" t="s">
        <v>509</v>
      </c>
      <c r="B46" s="1586">
        <f>男子一覧表!B26</f>
        <v>0</v>
      </c>
      <c r="C46" s="1587"/>
      <c r="D46" s="1576" t="str">
        <f>IF(男子一覧表!B26="","",VLOOKUP(B46,男子一覧表!$B$13:$F$37,2,FALSE))</f>
        <v/>
      </c>
      <c r="E46" s="1577"/>
      <c r="F46" s="505" t="str">
        <f>IF(男子一覧表!B26="","",VLOOKUP(B46,男子一覧表!$B$13:$F$37,3,FALSE))</f>
        <v/>
      </c>
      <c r="G46" s="506" t="str">
        <f>IF(D46="","",男子一覧表!$A$7)</f>
        <v/>
      </c>
      <c r="H46" s="509" t="s">
        <v>509</v>
      </c>
      <c r="I46" s="1586" t="str">
        <f>IF(男子一覧表!L26="","",男子一覧表!B26)</f>
        <v/>
      </c>
      <c r="J46" s="1587"/>
      <c r="K46" s="1576" t="str">
        <f>IF(男子一覧表!L26="","",VLOOKUP(I46,男子一覧表!$B$13:$F$37,2,FALSE))</f>
        <v/>
      </c>
      <c r="L46" s="1577"/>
      <c r="M46" s="505" t="str">
        <f>IF(男子一覧表!L26="","",VLOOKUP(I46,男子一覧表!$B$13:$F$37,3,FALSE))</f>
        <v/>
      </c>
      <c r="N46" s="506" t="str">
        <f>IF(K46="","",男子一覧表!$A$7)</f>
        <v/>
      </c>
    </row>
    <row r="47" spans="1:14" s="228" customFormat="1" ht="13.5" customHeight="1">
      <c r="A47" s="1578" t="s">
        <v>501</v>
      </c>
      <c r="B47" s="1579"/>
      <c r="C47" s="1580" t="str">
        <f>男子一覧表!Y27</f>
        <v/>
      </c>
      <c r="D47" s="1579"/>
      <c r="E47" s="227" t="s">
        <v>511</v>
      </c>
      <c r="F47" s="1581">
        <f>男子一覧表!J27</f>
        <v>0</v>
      </c>
      <c r="G47" s="1582"/>
      <c r="H47" s="1578" t="s">
        <v>501</v>
      </c>
      <c r="I47" s="1579"/>
      <c r="J47" s="1580" t="str">
        <f>男子一覧表!Z27</f>
        <v/>
      </c>
      <c r="K47" s="1579"/>
      <c r="L47" s="227" t="s">
        <v>511</v>
      </c>
      <c r="M47" s="1581">
        <f>男子一覧表!M27</f>
        <v>0</v>
      </c>
      <c r="N47" s="1582"/>
    </row>
    <row r="48" spans="1:14" s="228" customFormat="1" ht="10.5">
      <c r="A48" s="229" t="s">
        <v>542</v>
      </c>
      <c r="B48" s="1585" t="s">
        <v>543</v>
      </c>
      <c r="C48" s="1585"/>
      <c r="D48" s="1589" t="s">
        <v>544</v>
      </c>
      <c r="E48" s="1589"/>
      <c r="F48" s="230" t="s">
        <v>545</v>
      </c>
      <c r="G48" s="232" t="s">
        <v>546</v>
      </c>
      <c r="H48" s="231" t="s">
        <v>542</v>
      </c>
      <c r="I48" s="1585" t="s">
        <v>543</v>
      </c>
      <c r="J48" s="1585"/>
      <c r="K48" s="1589" t="s">
        <v>544</v>
      </c>
      <c r="L48" s="1589"/>
      <c r="M48" s="230" t="s">
        <v>545</v>
      </c>
      <c r="N48" s="232" t="s">
        <v>546</v>
      </c>
    </row>
    <row r="49" spans="1:16" s="510" customFormat="1" ht="24.95" customHeight="1">
      <c r="A49" s="508" t="s">
        <v>509</v>
      </c>
      <c r="B49" s="1586">
        <f>男子一覧表!B27</f>
        <v>0</v>
      </c>
      <c r="C49" s="1587"/>
      <c r="D49" s="1576" t="str">
        <f>IF(男子一覧表!B27="","",VLOOKUP(B49,男子一覧表!$B$13:$F$37,2,FALSE))</f>
        <v/>
      </c>
      <c r="E49" s="1577"/>
      <c r="F49" s="505" t="str">
        <f>IF(男子一覧表!B27="","",VLOOKUP(B49,男子一覧表!$B$13:$F$37,3,FALSE))</f>
        <v/>
      </c>
      <c r="G49" s="506" t="str">
        <f>IF(D49="","",男子一覧表!$A$7)</f>
        <v/>
      </c>
      <c r="H49" s="509" t="s">
        <v>509</v>
      </c>
      <c r="I49" s="1586" t="str">
        <f>IF(男子一覧表!L27="","",男子一覧表!B27)</f>
        <v/>
      </c>
      <c r="J49" s="1587"/>
      <c r="K49" s="1576" t="str">
        <f>IF(男子一覧表!L27="","",VLOOKUP(I49,男子一覧表!$B$13:$F$37,2,FALSE))</f>
        <v/>
      </c>
      <c r="L49" s="1577"/>
      <c r="M49" s="505" t="str">
        <f>IF(男子一覧表!L27="","",VLOOKUP(I49,男子一覧表!$B$13:$F$37,3,FALSE))</f>
        <v/>
      </c>
      <c r="N49" s="506" t="str">
        <f>IF(K49="","",男子一覧表!$A$7)</f>
        <v/>
      </c>
    </row>
    <row r="50" spans="1:16" s="228" customFormat="1" ht="13.5" customHeight="1">
      <c r="A50" s="1578" t="s">
        <v>501</v>
      </c>
      <c r="B50" s="1579"/>
      <c r="C50" s="1580" t="str">
        <f>男子一覧表!Y28</f>
        <v/>
      </c>
      <c r="D50" s="1579"/>
      <c r="E50" s="227" t="s">
        <v>511</v>
      </c>
      <c r="F50" s="1581">
        <f>男子一覧表!J28</f>
        <v>0</v>
      </c>
      <c r="G50" s="1582"/>
      <c r="H50" s="1578" t="s">
        <v>501</v>
      </c>
      <c r="I50" s="1579"/>
      <c r="J50" s="1580" t="str">
        <f>男子一覧表!Z28</f>
        <v/>
      </c>
      <c r="K50" s="1579"/>
      <c r="L50" s="227" t="s">
        <v>511</v>
      </c>
      <c r="M50" s="1581">
        <f>男子一覧表!M28</f>
        <v>0</v>
      </c>
      <c r="N50" s="1582"/>
      <c r="P50" s="233"/>
    </row>
    <row r="51" spans="1:16" s="228" customFormat="1" ht="10.5">
      <c r="A51" s="229" t="s">
        <v>542</v>
      </c>
      <c r="B51" s="1585" t="s">
        <v>543</v>
      </c>
      <c r="C51" s="1585"/>
      <c r="D51" s="1589" t="s">
        <v>544</v>
      </c>
      <c r="E51" s="1589"/>
      <c r="F51" s="230" t="s">
        <v>545</v>
      </c>
      <c r="G51" s="232" t="s">
        <v>546</v>
      </c>
      <c r="H51" s="231" t="s">
        <v>542</v>
      </c>
      <c r="I51" s="1585" t="s">
        <v>543</v>
      </c>
      <c r="J51" s="1585"/>
      <c r="K51" s="1589" t="s">
        <v>544</v>
      </c>
      <c r="L51" s="1589"/>
      <c r="M51" s="230" t="s">
        <v>545</v>
      </c>
      <c r="N51" s="232" t="s">
        <v>546</v>
      </c>
    </row>
    <row r="52" spans="1:16" s="510" customFormat="1" ht="24.95" customHeight="1">
      <c r="A52" s="508" t="s">
        <v>509</v>
      </c>
      <c r="B52" s="1586">
        <f>男子一覧表!B28</f>
        <v>0</v>
      </c>
      <c r="C52" s="1587"/>
      <c r="D52" s="1576" t="str">
        <f>IF(男子一覧表!B28="","",VLOOKUP(B52,男子一覧表!$B$13:$F$37,2,FALSE))</f>
        <v/>
      </c>
      <c r="E52" s="1577"/>
      <c r="F52" s="505" t="str">
        <f>IF(男子一覧表!B28="","",VLOOKUP(B52,男子一覧表!$B$13:$F$37,3,FALSE))</f>
        <v/>
      </c>
      <c r="G52" s="506" t="str">
        <f>IF(D52="","",男子一覧表!$A$7)</f>
        <v/>
      </c>
      <c r="H52" s="509" t="s">
        <v>509</v>
      </c>
      <c r="I52" s="1586" t="str">
        <f>IF(男子一覧表!L28="","",男子一覧表!B28)</f>
        <v/>
      </c>
      <c r="J52" s="1587"/>
      <c r="K52" s="1576" t="str">
        <f>IF(男子一覧表!L28="","",VLOOKUP(I52,男子一覧表!$B$13:$F$37,2,FALSE))</f>
        <v/>
      </c>
      <c r="L52" s="1577"/>
      <c r="M52" s="505" t="str">
        <f>IF(男子一覧表!L28="","",VLOOKUP(I52,男子一覧表!$B$13:$F$37,3,FALSE))</f>
        <v/>
      </c>
      <c r="N52" s="506" t="str">
        <f>IF(K52="","",男子一覧表!$A$7)</f>
        <v/>
      </c>
    </row>
    <row r="53" spans="1:16" s="228" customFormat="1" ht="13.5" customHeight="1">
      <c r="A53" s="1578" t="s">
        <v>501</v>
      </c>
      <c r="B53" s="1579"/>
      <c r="C53" s="1580" t="str">
        <f>男子一覧表!Y29</f>
        <v/>
      </c>
      <c r="D53" s="1579"/>
      <c r="E53" s="227" t="s">
        <v>511</v>
      </c>
      <c r="F53" s="1581">
        <f>男子一覧表!J29</f>
        <v>0</v>
      </c>
      <c r="G53" s="1582"/>
      <c r="H53" s="1578" t="s">
        <v>501</v>
      </c>
      <c r="I53" s="1579"/>
      <c r="J53" s="1580" t="str">
        <f>男子一覧表!Z29</f>
        <v/>
      </c>
      <c r="K53" s="1579"/>
      <c r="L53" s="227" t="s">
        <v>511</v>
      </c>
      <c r="M53" s="1581">
        <f>男子一覧表!M29</f>
        <v>0</v>
      </c>
      <c r="N53" s="1582"/>
    </row>
    <row r="54" spans="1:16" s="228" customFormat="1" ht="10.5">
      <c r="A54" s="229" t="s">
        <v>542</v>
      </c>
      <c r="B54" s="1585" t="s">
        <v>543</v>
      </c>
      <c r="C54" s="1585"/>
      <c r="D54" s="1589" t="s">
        <v>544</v>
      </c>
      <c r="E54" s="1589"/>
      <c r="F54" s="230" t="s">
        <v>545</v>
      </c>
      <c r="G54" s="232" t="s">
        <v>546</v>
      </c>
      <c r="H54" s="231" t="s">
        <v>542</v>
      </c>
      <c r="I54" s="1585" t="s">
        <v>543</v>
      </c>
      <c r="J54" s="1585"/>
      <c r="K54" s="1589" t="s">
        <v>544</v>
      </c>
      <c r="L54" s="1589"/>
      <c r="M54" s="230" t="s">
        <v>545</v>
      </c>
      <c r="N54" s="232" t="s">
        <v>546</v>
      </c>
    </row>
    <row r="55" spans="1:16" s="510" customFormat="1" ht="24.95" customHeight="1">
      <c r="A55" s="508" t="s">
        <v>509</v>
      </c>
      <c r="B55" s="1586">
        <f>男子一覧表!B29</f>
        <v>0</v>
      </c>
      <c r="C55" s="1587"/>
      <c r="D55" s="1576" t="str">
        <f>IF(男子一覧表!B29="","",VLOOKUP(B55,男子一覧表!$B$13:$F$37,2,FALSE))</f>
        <v/>
      </c>
      <c r="E55" s="1577"/>
      <c r="F55" s="505" t="str">
        <f>IF(男子一覧表!B29="","",VLOOKUP(B55,男子一覧表!$B$13:$F$37,3,FALSE))</f>
        <v/>
      </c>
      <c r="G55" s="506" t="str">
        <f>IF(D55="","",男子一覧表!$A$7)</f>
        <v/>
      </c>
      <c r="H55" s="509" t="s">
        <v>509</v>
      </c>
      <c r="I55" s="1586" t="str">
        <f>IF(男子一覧表!L29="","",男子一覧表!B29)</f>
        <v/>
      </c>
      <c r="J55" s="1587"/>
      <c r="K55" s="1576" t="str">
        <f>IF(男子一覧表!L29="","",VLOOKUP(I55,男子一覧表!$B$13:$F$37,2,FALSE))</f>
        <v/>
      </c>
      <c r="L55" s="1577"/>
      <c r="M55" s="505" t="str">
        <f>IF(男子一覧表!L29="","",VLOOKUP(I55,男子一覧表!$B$13:$F$37,3,FALSE))</f>
        <v/>
      </c>
      <c r="N55" s="506" t="str">
        <f>IF(K55="","",男子一覧表!$A$7)</f>
        <v/>
      </c>
    </row>
    <row r="56" spans="1:16" s="228" customFormat="1" ht="13.5" customHeight="1">
      <c r="A56" s="1578" t="s">
        <v>501</v>
      </c>
      <c r="B56" s="1579"/>
      <c r="C56" s="1580" t="str">
        <f>男子一覧表!Y30</f>
        <v/>
      </c>
      <c r="D56" s="1579"/>
      <c r="E56" s="227" t="s">
        <v>511</v>
      </c>
      <c r="F56" s="1581">
        <f>男子一覧表!J30</f>
        <v>0</v>
      </c>
      <c r="G56" s="1582"/>
      <c r="H56" s="1578" t="s">
        <v>501</v>
      </c>
      <c r="I56" s="1579"/>
      <c r="J56" s="1580" t="str">
        <f>男子一覧表!Z30</f>
        <v/>
      </c>
      <c r="K56" s="1579"/>
      <c r="L56" s="227" t="s">
        <v>511</v>
      </c>
      <c r="M56" s="1581">
        <f>男子一覧表!M30</f>
        <v>0</v>
      </c>
      <c r="N56" s="1582"/>
    </row>
    <row r="57" spans="1:16" s="228" customFormat="1" ht="10.5">
      <c r="A57" s="229" t="s">
        <v>542</v>
      </c>
      <c r="B57" s="1585" t="s">
        <v>543</v>
      </c>
      <c r="C57" s="1585"/>
      <c r="D57" s="1589" t="s">
        <v>544</v>
      </c>
      <c r="E57" s="1589"/>
      <c r="F57" s="230" t="s">
        <v>545</v>
      </c>
      <c r="G57" s="232" t="s">
        <v>546</v>
      </c>
      <c r="H57" s="231" t="s">
        <v>542</v>
      </c>
      <c r="I57" s="1585" t="s">
        <v>543</v>
      </c>
      <c r="J57" s="1585"/>
      <c r="K57" s="1589" t="s">
        <v>544</v>
      </c>
      <c r="L57" s="1589"/>
      <c r="M57" s="230" t="s">
        <v>545</v>
      </c>
      <c r="N57" s="232" t="s">
        <v>546</v>
      </c>
    </row>
    <row r="58" spans="1:16" s="510" customFormat="1" ht="24.95" customHeight="1">
      <c r="A58" s="508" t="s">
        <v>509</v>
      </c>
      <c r="B58" s="1586">
        <f>男子一覧表!B30</f>
        <v>0</v>
      </c>
      <c r="C58" s="1587"/>
      <c r="D58" s="1576" t="str">
        <f>IF(男子一覧表!B30="","",VLOOKUP(B58,男子一覧表!$B$13:$F$37,2,FALSE))</f>
        <v/>
      </c>
      <c r="E58" s="1577"/>
      <c r="F58" s="505" t="str">
        <f>IF(男子一覧表!B30="","",VLOOKUP(B58,男子一覧表!$B$13:$F$37,3,FALSE))</f>
        <v/>
      </c>
      <c r="G58" s="506" t="str">
        <f>IF(D58="","",男子一覧表!$A$7)</f>
        <v/>
      </c>
      <c r="H58" s="509" t="s">
        <v>509</v>
      </c>
      <c r="I58" s="1586" t="str">
        <f>IF(男子一覧表!L30="","",男子一覧表!B30)</f>
        <v/>
      </c>
      <c r="J58" s="1587"/>
      <c r="K58" s="1576" t="str">
        <f>IF(男子一覧表!L30="","",VLOOKUP(I58,男子一覧表!$B$13:$F$37,2,FALSE))</f>
        <v/>
      </c>
      <c r="L58" s="1577"/>
      <c r="M58" s="505" t="str">
        <f>IF(男子一覧表!L30="","",VLOOKUP(I58,男子一覧表!$B$13:$F$37,3,FALSE))</f>
        <v/>
      </c>
      <c r="N58" s="506" t="str">
        <f>IF(K58="","",男子一覧表!$A$7)</f>
        <v/>
      </c>
    </row>
    <row r="59" spans="1:16" s="228" customFormat="1" ht="13.5" customHeight="1">
      <c r="A59" s="1578" t="s">
        <v>501</v>
      </c>
      <c r="B59" s="1579"/>
      <c r="C59" s="1580" t="str">
        <f>男子一覧表!Y31</f>
        <v/>
      </c>
      <c r="D59" s="1579"/>
      <c r="E59" s="227" t="s">
        <v>511</v>
      </c>
      <c r="F59" s="1581">
        <f>男子一覧表!J31</f>
        <v>0</v>
      </c>
      <c r="G59" s="1582"/>
      <c r="H59" s="1578" t="s">
        <v>501</v>
      </c>
      <c r="I59" s="1579"/>
      <c r="J59" s="1580" t="str">
        <f>男子一覧表!Z31</f>
        <v/>
      </c>
      <c r="K59" s="1579"/>
      <c r="L59" s="227" t="s">
        <v>511</v>
      </c>
      <c r="M59" s="1581">
        <f>男子一覧表!M31</f>
        <v>0</v>
      </c>
      <c r="N59" s="1582"/>
    </row>
    <row r="60" spans="1:16" s="228" customFormat="1" ht="10.5">
      <c r="A60" s="229" t="s">
        <v>542</v>
      </c>
      <c r="B60" s="1585" t="s">
        <v>543</v>
      </c>
      <c r="C60" s="1585"/>
      <c r="D60" s="1589" t="s">
        <v>544</v>
      </c>
      <c r="E60" s="1589"/>
      <c r="F60" s="230" t="s">
        <v>545</v>
      </c>
      <c r="G60" s="232" t="s">
        <v>546</v>
      </c>
      <c r="H60" s="231" t="s">
        <v>542</v>
      </c>
      <c r="I60" s="1585" t="s">
        <v>543</v>
      </c>
      <c r="J60" s="1585"/>
      <c r="K60" s="1589" t="s">
        <v>544</v>
      </c>
      <c r="L60" s="1589"/>
      <c r="M60" s="230" t="s">
        <v>545</v>
      </c>
      <c r="N60" s="232" t="s">
        <v>546</v>
      </c>
    </row>
    <row r="61" spans="1:16" s="510" customFormat="1" ht="24.95" customHeight="1">
      <c r="A61" s="508" t="s">
        <v>509</v>
      </c>
      <c r="B61" s="1586">
        <f>男子一覧表!B31</f>
        <v>0</v>
      </c>
      <c r="C61" s="1587"/>
      <c r="D61" s="1576" t="str">
        <f>IF(男子一覧表!B31="","",VLOOKUP(B61,男子一覧表!$B$13:$F$37,2,FALSE))</f>
        <v/>
      </c>
      <c r="E61" s="1577"/>
      <c r="F61" s="505" t="str">
        <f>IF(男子一覧表!B31="","",VLOOKUP(B61,男子一覧表!$B$13:$F$37,3,FALSE))</f>
        <v/>
      </c>
      <c r="G61" s="506" t="str">
        <f>IF(D61="","",男子一覧表!$A$7)</f>
        <v/>
      </c>
      <c r="H61" s="509" t="s">
        <v>509</v>
      </c>
      <c r="I61" s="1586" t="str">
        <f>IF(男子一覧表!L31="","",男子一覧表!B31)</f>
        <v/>
      </c>
      <c r="J61" s="1587"/>
      <c r="K61" s="1576" t="str">
        <f>IF(男子一覧表!L31="","",VLOOKUP(I61,男子一覧表!$B$13:$F$37,2,FALSE))</f>
        <v/>
      </c>
      <c r="L61" s="1577"/>
      <c r="M61" s="505" t="str">
        <f>IF(男子一覧表!L31="","",VLOOKUP(I61,男子一覧表!$B$13:$F$37,3,FALSE))</f>
        <v/>
      </c>
      <c r="N61" s="506" t="str">
        <f>IF(K61="","",男子一覧表!$A$7)</f>
        <v/>
      </c>
    </row>
    <row r="62" spans="1:16" s="228" customFormat="1" ht="13.5" customHeight="1">
      <c r="A62" s="1578" t="s">
        <v>501</v>
      </c>
      <c r="B62" s="1579"/>
      <c r="C62" s="1580" t="str">
        <f>男子一覧表!Y32</f>
        <v/>
      </c>
      <c r="D62" s="1579"/>
      <c r="E62" s="227" t="s">
        <v>511</v>
      </c>
      <c r="F62" s="1581">
        <f>男子一覧表!J32</f>
        <v>0</v>
      </c>
      <c r="G62" s="1582"/>
      <c r="H62" s="1578" t="s">
        <v>501</v>
      </c>
      <c r="I62" s="1579"/>
      <c r="J62" s="1580" t="str">
        <f>男子一覧表!Z32</f>
        <v/>
      </c>
      <c r="K62" s="1579"/>
      <c r="L62" s="227" t="s">
        <v>511</v>
      </c>
      <c r="M62" s="1581">
        <f>男子一覧表!M32</f>
        <v>0</v>
      </c>
      <c r="N62" s="1582"/>
    </row>
    <row r="63" spans="1:16" s="228" customFormat="1" ht="10.5">
      <c r="A63" s="229" t="s">
        <v>542</v>
      </c>
      <c r="B63" s="1585" t="s">
        <v>543</v>
      </c>
      <c r="C63" s="1585"/>
      <c r="D63" s="1589" t="s">
        <v>544</v>
      </c>
      <c r="E63" s="1589"/>
      <c r="F63" s="230" t="s">
        <v>545</v>
      </c>
      <c r="G63" s="232" t="s">
        <v>546</v>
      </c>
      <c r="H63" s="231" t="s">
        <v>542</v>
      </c>
      <c r="I63" s="1585" t="s">
        <v>543</v>
      </c>
      <c r="J63" s="1585"/>
      <c r="K63" s="1589" t="s">
        <v>544</v>
      </c>
      <c r="L63" s="1589"/>
      <c r="M63" s="230" t="s">
        <v>545</v>
      </c>
      <c r="N63" s="232" t="s">
        <v>546</v>
      </c>
    </row>
    <row r="64" spans="1:16" s="510" customFormat="1" ht="24.95" customHeight="1">
      <c r="A64" s="508" t="s">
        <v>509</v>
      </c>
      <c r="B64" s="1586">
        <f>男子一覧表!B32</f>
        <v>0</v>
      </c>
      <c r="C64" s="1587"/>
      <c r="D64" s="1576" t="str">
        <f>IF(男子一覧表!B32="","",VLOOKUP(B64,男子一覧表!$B$13:$F$37,2,FALSE))</f>
        <v/>
      </c>
      <c r="E64" s="1577"/>
      <c r="F64" s="505" t="str">
        <f>IF(男子一覧表!B32="","",VLOOKUP(B64,男子一覧表!$B$13:$F$37,3,FALSE))</f>
        <v/>
      </c>
      <c r="G64" s="506" t="str">
        <f>IF(D64="","",男子一覧表!$A$7)</f>
        <v/>
      </c>
      <c r="H64" s="509" t="s">
        <v>509</v>
      </c>
      <c r="I64" s="1586" t="str">
        <f>IF(男子一覧表!L32="","",男子一覧表!B32)</f>
        <v/>
      </c>
      <c r="J64" s="1587"/>
      <c r="K64" s="1576" t="str">
        <f>IF(男子一覧表!L32="","",VLOOKUP(I64,男子一覧表!$B$13:$F$37,2,FALSE))</f>
        <v/>
      </c>
      <c r="L64" s="1577"/>
      <c r="M64" s="505" t="str">
        <f>IF(男子一覧表!L32="","",VLOOKUP(I64,男子一覧表!$B$13:$F$37,3,FALSE))</f>
        <v/>
      </c>
      <c r="N64" s="506" t="str">
        <f>IF(K64="","",男子一覧表!$A$7)</f>
        <v/>
      </c>
    </row>
    <row r="65" spans="1:14" s="228" customFormat="1" ht="13.5" customHeight="1">
      <c r="A65" s="1578" t="s">
        <v>501</v>
      </c>
      <c r="B65" s="1579"/>
      <c r="C65" s="1580" t="str">
        <f>男子一覧表!Y33</f>
        <v/>
      </c>
      <c r="D65" s="1579"/>
      <c r="E65" s="227" t="s">
        <v>511</v>
      </c>
      <c r="F65" s="1581">
        <f>男子一覧表!J33</f>
        <v>0</v>
      </c>
      <c r="G65" s="1582"/>
      <c r="H65" s="1578" t="s">
        <v>501</v>
      </c>
      <c r="I65" s="1579"/>
      <c r="J65" s="1580" t="str">
        <f>男子一覧表!Z33</f>
        <v/>
      </c>
      <c r="K65" s="1579"/>
      <c r="L65" s="227" t="s">
        <v>511</v>
      </c>
      <c r="M65" s="1581">
        <f>男子一覧表!M33</f>
        <v>0</v>
      </c>
      <c r="N65" s="1582"/>
    </row>
    <row r="66" spans="1:14" s="228" customFormat="1" ht="10.5">
      <c r="A66" s="229" t="s">
        <v>542</v>
      </c>
      <c r="B66" s="1585" t="s">
        <v>543</v>
      </c>
      <c r="C66" s="1585"/>
      <c r="D66" s="1589" t="s">
        <v>544</v>
      </c>
      <c r="E66" s="1589"/>
      <c r="F66" s="230" t="s">
        <v>545</v>
      </c>
      <c r="G66" s="232" t="s">
        <v>546</v>
      </c>
      <c r="H66" s="231" t="s">
        <v>542</v>
      </c>
      <c r="I66" s="1585" t="s">
        <v>543</v>
      </c>
      <c r="J66" s="1585"/>
      <c r="K66" s="1589" t="s">
        <v>544</v>
      </c>
      <c r="L66" s="1589"/>
      <c r="M66" s="230" t="s">
        <v>545</v>
      </c>
      <c r="N66" s="232" t="s">
        <v>546</v>
      </c>
    </row>
    <row r="67" spans="1:14" s="510" customFormat="1" ht="24.95" customHeight="1">
      <c r="A67" s="508" t="s">
        <v>509</v>
      </c>
      <c r="B67" s="1586">
        <f>男子一覧表!B33</f>
        <v>0</v>
      </c>
      <c r="C67" s="1587"/>
      <c r="D67" s="1576" t="str">
        <f>IF(男子一覧表!B33="","",VLOOKUP(B67,男子一覧表!$B$13:$F$37,2,FALSE))</f>
        <v/>
      </c>
      <c r="E67" s="1577"/>
      <c r="F67" s="505" t="str">
        <f>IF(男子一覧表!B33="","",VLOOKUP(B67,男子一覧表!$B$13:$F$37,3,FALSE))</f>
        <v/>
      </c>
      <c r="G67" s="506" t="str">
        <f>IF(D67="","",男子一覧表!$A$7)</f>
        <v/>
      </c>
      <c r="H67" s="509" t="s">
        <v>509</v>
      </c>
      <c r="I67" s="1586" t="str">
        <f>IF(男子一覧表!L33="","",男子一覧表!B33)</f>
        <v/>
      </c>
      <c r="J67" s="1587"/>
      <c r="K67" s="1576" t="str">
        <f>IF(男子一覧表!L33="","",VLOOKUP(I67,男子一覧表!$B$13:$F$37,2,FALSE))</f>
        <v/>
      </c>
      <c r="L67" s="1577"/>
      <c r="M67" s="505" t="str">
        <f>IF(男子一覧表!L33="","",VLOOKUP(I67,男子一覧表!$B$13:$F$37,3,FALSE))</f>
        <v/>
      </c>
      <c r="N67" s="506" t="str">
        <f>IF(K67="","",男子一覧表!$A$7)</f>
        <v/>
      </c>
    </row>
    <row r="68" spans="1:14" s="228" customFormat="1" ht="13.5" customHeight="1">
      <c r="A68" s="1578" t="s">
        <v>501</v>
      </c>
      <c r="B68" s="1579"/>
      <c r="C68" s="1580" t="str">
        <f>男子一覧表!Y34</f>
        <v/>
      </c>
      <c r="D68" s="1579"/>
      <c r="E68" s="227" t="s">
        <v>511</v>
      </c>
      <c r="F68" s="1581">
        <f>男子一覧表!J34</f>
        <v>0</v>
      </c>
      <c r="G68" s="1582"/>
      <c r="H68" s="1578" t="s">
        <v>501</v>
      </c>
      <c r="I68" s="1579"/>
      <c r="J68" s="1580" t="str">
        <f>男子一覧表!Z34</f>
        <v/>
      </c>
      <c r="K68" s="1579"/>
      <c r="L68" s="227" t="s">
        <v>511</v>
      </c>
      <c r="M68" s="1581">
        <f>男子一覧表!M34</f>
        <v>0</v>
      </c>
      <c r="N68" s="1582"/>
    </row>
    <row r="69" spans="1:14" s="228" customFormat="1" ht="10.5">
      <c r="A69" s="229" t="s">
        <v>542</v>
      </c>
      <c r="B69" s="1583" t="s">
        <v>543</v>
      </c>
      <c r="C69" s="1584"/>
      <c r="D69" s="1590" t="s">
        <v>544</v>
      </c>
      <c r="E69" s="1591"/>
      <c r="F69" s="230" t="s">
        <v>545</v>
      </c>
      <c r="G69" s="232" t="s">
        <v>546</v>
      </c>
      <c r="H69" s="231" t="s">
        <v>542</v>
      </c>
      <c r="I69" s="1583" t="s">
        <v>543</v>
      </c>
      <c r="J69" s="1584"/>
      <c r="K69" s="1590" t="s">
        <v>544</v>
      </c>
      <c r="L69" s="1591"/>
      <c r="M69" s="230" t="s">
        <v>545</v>
      </c>
      <c r="N69" s="232" t="s">
        <v>546</v>
      </c>
    </row>
    <row r="70" spans="1:14" s="510" customFormat="1" ht="24.95" customHeight="1">
      <c r="A70" s="511" t="s">
        <v>509</v>
      </c>
      <c r="B70" s="1593">
        <f>男子一覧表!B34</f>
        <v>0</v>
      </c>
      <c r="C70" s="1594"/>
      <c r="D70" s="1595" t="str">
        <f>IF(男子一覧表!B34="","",VLOOKUP(B70,男子一覧表!$B$13:$F$37,2,FALSE))</f>
        <v/>
      </c>
      <c r="E70" s="1596"/>
      <c r="F70" s="507" t="str">
        <f>IF(男子一覧表!B34="","",VLOOKUP(B70,男子一覧表!$B$13:$F$37,3,FALSE))</f>
        <v/>
      </c>
      <c r="G70" s="506" t="str">
        <f>IF(D70="","",男子一覧表!$A$7)</f>
        <v/>
      </c>
      <c r="H70" s="512" t="s">
        <v>509</v>
      </c>
      <c r="I70" s="1586" t="str">
        <f>IF(男子一覧表!L34="","",男子一覧表!B34)</f>
        <v/>
      </c>
      <c r="J70" s="1587"/>
      <c r="K70" s="1595" t="str">
        <f>IF(男子一覧表!L34="","",VLOOKUP(I70,男子一覧表!$B$13:$F$37,2,FALSE))</f>
        <v/>
      </c>
      <c r="L70" s="1596"/>
      <c r="M70" s="507" t="str">
        <f>IF(男子一覧表!L34="","",VLOOKUP(I70,男子一覧表!$B$13:$F$37,3,FALSE))</f>
        <v/>
      </c>
      <c r="N70" s="506" t="str">
        <f>IF(K70="","",男子一覧表!$A$7)</f>
        <v/>
      </c>
    </row>
    <row r="71" spans="1:14" s="228" customFormat="1" ht="13.5" customHeight="1">
      <c r="A71" s="1578" t="s">
        <v>501</v>
      </c>
      <c r="B71" s="1579"/>
      <c r="C71" s="1580" t="str">
        <f>男子一覧表!Y35</f>
        <v/>
      </c>
      <c r="D71" s="1579"/>
      <c r="E71" s="227" t="s">
        <v>511</v>
      </c>
      <c r="F71" s="1581">
        <f>男子一覧表!J35</f>
        <v>0</v>
      </c>
      <c r="G71" s="1582"/>
      <c r="H71" s="1578" t="s">
        <v>501</v>
      </c>
      <c r="I71" s="1579"/>
      <c r="J71" s="1580" t="str">
        <f>男子一覧表!Z35</f>
        <v/>
      </c>
      <c r="K71" s="1579"/>
      <c r="L71" s="227" t="s">
        <v>511</v>
      </c>
      <c r="M71" s="1581">
        <f>男子一覧表!M35</f>
        <v>0</v>
      </c>
      <c r="N71" s="1582"/>
    </row>
    <row r="72" spans="1:14" s="228" customFormat="1" ht="10.5">
      <c r="A72" s="229" t="s">
        <v>542</v>
      </c>
      <c r="B72" s="1585" t="s">
        <v>543</v>
      </c>
      <c r="C72" s="1585"/>
      <c r="D72" s="1589" t="s">
        <v>544</v>
      </c>
      <c r="E72" s="1589"/>
      <c r="F72" s="230" t="s">
        <v>545</v>
      </c>
      <c r="G72" s="232" t="s">
        <v>546</v>
      </c>
      <c r="H72" s="231" t="s">
        <v>542</v>
      </c>
      <c r="I72" s="1585" t="s">
        <v>543</v>
      </c>
      <c r="J72" s="1585"/>
      <c r="K72" s="1589" t="s">
        <v>544</v>
      </c>
      <c r="L72" s="1589"/>
      <c r="M72" s="230" t="s">
        <v>545</v>
      </c>
      <c r="N72" s="232" t="s">
        <v>546</v>
      </c>
    </row>
    <row r="73" spans="1:14" s="510" customFormat="1" ht="24.95" customHeight="1">
      <c r="A73" s="508" t="s">
        <v>509</v>
      </c>
      <c r="B73" s="1586">
        <f>男子一覧表!B35</f>
        <v>0</v>
      </c>
      <c r="C73" s="1587"/>
      <c r="D73" s="1576" t="str">
        <f>IF(男子一覧表!B35="","",VLOOKUP(B73,男子一覧表!$B$13:$F$37,2,FALSE))</f>
        <v/>
      </c>
      <c r="E73" s="1577"/>
      <c r="F73" s="505" t="str">
        <f>IF(男子一覧表!B35="","",VLOOKUP(B73,男子一覧表!$B$13:$F$37,3,FALSE))</f>
        <v/>
      </c>
      <c r="G73" s="506" t="str">
        <f>IF(D73="","",男子一覧表!$A$7)</f>
        <v/>
      </c>
      <c r="H73" s="509" t="s">
        <v>509</v>
      </c>
      <c r="I73" s="1586" t="str">
        <f>IF(男子一覧表!L35="","",男子一覧表!B35)</f>
        <v/>
      </c>
      <c r="J73" s="1587"/>
      <c r="K73" s="1576" t="str">
        <f>IF(男子一覧表!L35="","",VLOOKUP(I73,男子一覧表!$B$13:$F$37,2,FALSE))</f>
        <v/>
      </c>
      <c r="L73" s="1577"/>
      <c r="M73" s="505" t="str">
        <f>IF(男子一覧表!L35="","",VLOOKUP(I73,男子一覧表!$B$13:$F$37,3,FALSE))</f>
        <v/>
      </c>
      <c r="N73" s="506" t="str">
        <f>IF(K73="","",男子一覧表!$A$7)</f>
        <v/>
      </c>
    </row>
    <row r="74" spans="1:14" s="228" customFormat="1" ht="13.5" customHeight="1">
      <c r="A74" s="1578" t="s">
        <v>501</v>
      </c>
      <c r="B74" s="1579"/>
      <c r="C74" s="1580" t="str">
        <f>男子一覧表!Y36</f>
        <v/>
      </c>
      <c r="D74" s="1579"/>
      <c r="E74" s="227" t="s">
        <v>511</v>
      </c>
      <c r="F74" s="1581">
        <f>男子一覧表!J36</f>
        <v>0</v>
      </c>
      <c r="G74" s="1582"/>
      <c r="H74" s="1578" t="s">
        <v>501</v>
      </c>
      <c r="I74" s="1579"/>
      <c r="J74" s="1580" t="str">
        <f>男子一覧表!Z36</f>
        <v/>
      </c>
      <c r="K74" s="1579"/>
      <c r="L74" s="227" t="s">
        <v>511</v>
      </c>
      <c r="M74" s="1581">
        <f>男子一覧表!M36</f>
        <v>0</v>
      </c>
      <c r="N74" s="1582"/>
    </row>
    <row r="75" spans="1:14" s="228" customFormat="1" ht="10.5">
      <c r="A75" s="229" t="s">
        <v>542</v>
      </c>
      <c r="B75" s="1585" t="s">
        <v>543</v>
      </c>
      <c r="C75" s="1585"/>
      <c r="D75" s="1589" t="s">
        <v>544</v>
      </c>
      <c r="E75" s="1589"/>
      <c r="F75" s="230" t="s">
        <v>545</v>
      </c>
      <c r="G75" s="232" t="s">
        <v>546</v>
      </c>
      <c r="H75" s="231" t="s">
        <v>542</v>
      </c>
      <c r="I75" s="1585" t="s">
        <v>543</v>
      </c>
      <c r="J75" s="1585"/>
      <c r="K75" s="1589" t="s">
        <v>544</v>
      </c>
      <c r="L75" s="1589"/>
      <c r="M75" s="230" t="s">
        <v>545</v>
      </c>
      <c r="N75" s="232" t="s">
        <v>546</v>
      </c>
    </row>
    <row r="76" spans="1:14" s="510" customFormat="1" ht="24.95" customHeight="1">
      <c r="A76" s="508" t="s">
        <v>509</v>
      </c>
      <c r="B76" s="1586">
        <f>男子一覧表!B36</f>
        <v>0</v>
      </c>
      <c r="C76" s="1587"/>
      <c r="D76" s="1576" t="str">
        <f>IF(男子一覧表!B36="","",VLOOKUP(B76,男子一覧表!$B$13:$F$37,2,FALSE))</f>
        <v/>
      </c>
      <c r="E76" s="1577"/>
      <c r="F76" s="505" t="str">
        <f>IF(男子一覧表!B36="","",VLOOKUP(B76,男子一覧表!$B$13:$F$37,3,FALSE))</f>
        <v/>
      </c>
      <c r="G76" s="506" t="str">
        <f>IF(D76="","",男子一覧表!$A$7)</f>
        <v/>
      </c>
      <c r="H76" s="509" t="s">
        <v>509</v>
      </c>
      <c r="I76" s="1586" t="str">
        <f>IF(男子一覧表!L36="","",男子一覧表!B36)</f>
        <v/>
      </c>
      <c r="J76" s="1587"/>
      <c r="K76" s="1576" t="str">
        <f>IF(男子一覧表!L36="","",VLOOKUP(I76,男子一覧表!$B$13:$F$37,2,FALSE))</f>
        <v/>
      </c>
      <c r="L76" s="1577"/>
      <c r="M76" s="505" t="str">
        <f>IF(男子一覧表!L36="","",VLOOKUP(I76,男子一覧表!$B$13:$F$37,3,FALSE))</f>
        <v/>
      </c>
      <c r="N76" s="506" t="str">
        <f>IF(K76="","",男子一覧表!$A$7)</f>
        <v/>
      </c>
    </row>
    <row r="77" spans="1:14" s="228" customFormat="1" ht="13.5" customHeight="1">
      <c r="A77" s="1578" t="s">
        <v>501</v>
      </c>
      <c r="B77" s="1579"/>
      <c r="C77" s="1580" t="str">
        <f>男子一覧表!Y37</f>
        <v/>
      </c>
      <c r="D77" s="1579"/>
      <c r="E77" s="227" t="s">
        <v>511</v>
      </c>
      <c r="F77" s="1581">
        <f>男子一覧表!J37</f>
        <v>0</v>
      </c>
      <c r="G77" s="1582"/>
      <c r="H77" s="1578" t="s">
        <v>501</v>
      </c>
      <c r="I77" s="1579"/>
      <c r="J77" s="1580" t="str">
        <f>男子一覧表!Z37</f>
        <v/>
      </c>
      <c r="K77" s="1579"/>
      <c r="L77" s="227" t="s">
        <v>511</v>
      </c>
      <c r="M77" s="1581">
        <f>男子一覧表!M37</f>
        <v>0</v>
      </c>
      <c r="N77" s="1582"/>
    </row>
    <row r="78" spans="1:14" s="228" customFormat="1" ht="10.5">
      <c r="A78" s="229" t="s">
        <v>542</v>
      </c>
      <c r="B78" s="1583" t="s">
        <v>543</v>
      </c>
      <c r="C78" s="1584"/>
      <c r="D78" s="1590" t="s">
        <v>544</v>
      </c>
      <c r="E78" s="1591"/>
      <c r="F78" s="230" t="s">
        <v>545</v>
      </c>
      <c r="G78" s="232" t="s">
        <v>546</v>
      </c>
      <c r="H78" s="231" t="s">
        <v>542</v>
      </c>
      <c r="I78" s="1583" t="s">
        <v>543</v>
      </c>
      <c r="J78" s="1584"/>
      <c r="K78" s="1590" t="s">
        <v>544</v>
      </c>
      <c r="L78" s="1591"/>
      <c r="M78" s="230" t="s">
        <v>545</v>
      </c>
      <c r="N78" s="232" t="s">
        <v>546</v>
      </c>
    </row>
    <row r="79" spans="1:14" s="510" customFormat="1" ht="24.95" customHeight="1">
      <c r="A79" s="508" t="s">
        <v>509</v>
      </c>
      <c r="B79" s="1586">
        <f>男子一覧表!B37</f>
        <v>0</v>
      </c>
      <c r="C79" s="1587"/>
      <c r="D79" s="1576" t="str">
        <f>IF(男子一覧表!B37="","",VLOOKUP(B79,男子一覧表!$B$13:$F$37,2,FALSE))</f>
        <v/>
      </c>
      <c r="E79" s="1577"/>
      <c r="F79" s="505" t="str">
        <f>IF(男子一覧表!B37="","",VLOOKUP(B79,男子一覧表!$B$13:$F$37,3,FALSE))</f>
        <v/>
      </c>
      <c r="G79" s="506" t="str">
        <f>IF(D79="","",男子一覧表!$A$7)</f>
        <v/>
      </c>
      <c r="H79" s="509" t="s">
        <v>509</v>
      </c>
      <c r="I79" s="1586" t="str">
        <f>IF(男子一覧表!L37="","",男子一覧表!B37)</f>
        <v/>
      </c>
      <c r="J79" s="1587"/>
      <c r="K79" s="1576" t="str">
        <f>IF(男子一覧表!L37="","",VLOOKUP(I79,男子一覧表!$B$13:$F$37,2,FALSE))</f>
        <v/>
      </c>
      <c r="L79" s="1577"/>
      <c r="M79" s="505" t="str">
        <f>IF(男子一覧表!L37="","",VLOOKUP(I79,男子一覧表!$B$13:$F$37,3,FALSE))</f>
        <v/>
      </c>
      <c r="N79" s="506" t="str">
        <f>IF(K79="","",男子一覧表!$A$7)</f>
        <v/>
      </c>
    </row>
    <row r="80" spans="1:14" ht="12">
      <c r="A80" s="1588" t="s">
        <v>547</v>
      </c>
      <c r="B80" s="1588"/>
      <c r="C80" s="1588"/>
      <c r="D80" s="1588"/>
      <c r="E80" s="1588"/>
      <c r="F80" s="1588"/>
      <c r="G80" s="1588"/>
      <c r="H80" s="1588"/>
      <c r="I80" s="1588"/>
      <c r="J80" s="1588"/>
      <c r="K80" s="1588"/>
      <c r="L80" s="1588"/>
      <c r="M80" s="1588"/>
      <c r="N80" s="1588"/>
    </row>
    <row r="81" spans="1:16">
      <c r="A81" s="1592" t="s">
        <v>540</v>
      </c>
      <c r="B81" s="1592"/>
      <c r="C81" s="1592"/>
      <c r="D81" s="1592"/>
      <c r="E81" s="1592"/>
      <c r="F81" s="1592"/>
      <c r="G81" s="1592"/>
      <c r="H81" s="1592" t="s">
        <v>541</v>
      </c>
      <c r="I81" s="1592"/>
      <c r="J81" s="1592"/>
      <c r="K81" s="1592"/>
      <c r="L81" s="1592"/>
      <c r="M81" s="1592"/>
      <c r="N81" s="1592"/>
    </row>
    <row r="82" spans="1:16" s="228" customFormat="1" ht="13.5" customHeight="1">
      <c r="A82" s="1578" t="s">
        <v>501</v>
      </c>
      <c r="B82" s="1579"/>
      <c r="C82" s="1580" t="str">
        <f>男子一覧表!Y54</f>
        <v/>
      </c>
      <c r="D82" s="1579"/>
      <c r="E82" s="227" t="s">
        <v>511</v>
      </c>
      <c r="F82" s="1581">
        <f>男子一覧表!J54</f>
        <v>0</v>
      </c>
      <c r="G82" s="1582"/>
      <c r="H82" s="1578" t="s">
        <v>501</v>
      </c>
      <c r="I82" s="1579"/>
      <c r="J82" s="1580" t="str">
        <f>男子一覧表!Z54</f>
        <v/>
      </c>
      <c r="K82" s="1579"/>
      <c r="L82" s="227" t="s">
        <v>511</v>
      </c>
      <c r="M82" s="1581">
        <f>男子一覧表!M54</f>
        <v>0</v>
      </c>
      <c r="N82" s="1582"/>
    </row>
    <row r="83" spans="1:16" s="228" customFormat="1" ht="10.5">
      <c r="A83" s="229" t="s">
        <v>542</v>
      </c>
      <c r="B83" s="1585" t="s">
        <v>543</v>
      </c>
      <c r="C83" s="1585"/>
      <c r="D83" s="1589" t="s">
        <v>544</v>
      </c>
      <c r="E83" s="1589"/>
      <c r="F83" s="230" t="s">
        <v>545</v>
      </c>
      <c r="G83" s="232" t="s">
        <v>546</v>
      </c>
      <c r="H83" s="231" t="s">
        <v>542</v>
      </c>
      <c r="I83" s="1585" t="s">
        <v>543</v>
      </c>
      <c r="J83" s="1585"/>
      <c r="K83" s="1589" t="s">
        <v>544</v>
      </c>
      <c r="L83" s="1589"/>
      <c r="M83" s="230" t="s">
        <v>545</v>
      </c>
      <c r="N83" s="232" t="s">
        <v>546</v>
      </c>
    </row>
    <row r="84" spans="1:16" s="510" customFormat="1" ht="24.95" customHeight="1">
      <c r="A84" s="508" t="s">
        <v>509</v>
      </c>
      <c r="B84" s="1586">
        <f>男子一覧表!B54</f>
        <v>0</v>
      </c>
      <c r="C84" s="1587"/>
      <c r="D84" s="1576" t="str">
        <f>IF(男子一覧表!B54="","",VLOOKUP(B84,男子一覧表!$B$13:$F$78,2,FALSE))</f>
        <v/>
      </c>
      <c r="E84" s="1577"/>
      <c r="F84" s="505" t="str">
        <f>IF(男子一覧表!B54="","",VLOOKUP(B84,男子一覧表!$B$13:$F$78,3,FALSE))</f>
        <v/>
      </c>
      <c r="G84" s="506" t="str">
        <f>IF(D84="","",男子一覧表!$A$7)</f>
        <v/>
      </c>
      <c r="H84" s="509" t="s">
        <v>509</v>
      </c>
      <c r="I84" s="1586" t="str">
        <f>IF(男子一覧表!L54="","",男子一覧表!B54)</f>
        <v/>
      </c>
      <c r="J84" s="1587"/>
      <c r="K84" s="1576" t="str">
        <f>IF(男子一覧表!L54="","",VLOOKUP(I84,男子一覧表!$B$13:$F$78,2,FALSE))</f>
        <v/>
      </c>
      <c r="L84" s="1577"/>
      <c r="M84" s="505" t="str">
        <f>IF(男子一覧表!L54="","",VLOOKUP(I84,男子一覧表!$B$13:$F$78,3,FALSE))</f>
        <v/>
      </c>
      <c r="N84" s="506" t="str">
        <f>IF(K84="","",男子一覧表!$A$7)</f>
        <v/>
      </c>
    </row>
    <row r="85" spans="1:16" s="228" customFormat="1" ht="13.5" customHeight="1">
      <c r="A85" s="1578" t="s">
        <v>501</v>
      </c>
      <c r="B85" s="1579"/>
      <c r="C85" s="1580" t="str">
        <f>男子一覧表!Y55</f>
        <v/>
      </c>
      <c r="D85" s="1579"/>
      <c r="E85" s="227" t="s">
        <v>511</v>
      </c>
      <c r="F85" s="1581">
        <f>男子一覧表!J55</f>
        <v>0</v>
      </c>
      <c r="G85" s="1582"/>
      <c r="H85" s="1578" t="s">
        <v>501</v>
      </c>
      <c r="I85" s="1579"/>
      <c r="J85" s="1580" t="str">
        <f>男子一覧表!Z55</f>
        <v/>
      </c>
      <c r="K85" s="1579"/>
      <c r="L85" s="227" t="s">
        <v>511</v>
      </c>
      <c r="M85" s="1581">
        <f>男子一覧表!M55</f>
        <v>0</v>
      </c>
      <c r="N85" s="1582"/>
    </row>
    <row r="86" spans="1:16" s="228" customFormat="1" ht="10.5">
      <c r="A86" s="229" t="s">
        <v>542</v>
      </c>
      <c r="B86" s="1585" t="s">
        <v>543</v>
      </c>
      <c r="C86" s="1585"/>
      <c r="D86" s="1589" t="s">
        <v>544</v>
      </c>
      <c r="E86" s="1589"/>
      <c r="F86" s="230" t="s">
        <v>545</v>
      </c>
      <c r="G86" s="232" t="s">
        <v>546</v>
      </c>
      <c r="H86" s="231" t="s">
        <v>542</v>
      </c>
      <c r="I86" s="1585" t="s">
        <v>543</v>
      </c>
      <c r="J86" s="1585"/>
      <c r="K86" s="1589" t="s">
        <v>544</v>
      </c>
      <c r="L86" s="1589"/>
      <c r="M86" s="230" t="s">
        <v>545</v>
      </c>
      <c r="N86" s="232" t="s">
        <v>546</v>
      </c>
    </row>
    <row r="87" spans="1:16" s="510" customFormat="1" ht="24.95" customHeight="1">
      <c r="A87" s="508" t="s">
        <v>509</v>
      </c>
      <c r="B87" s="1586">
        <f>男子一覧表!B55</f>
        <v>0</v>
      </c>
      <c r="C87" s="1587"/>
      <c r="D87" s="1576" t="str">
        <f>IF(男子一覧表!B55="","",VLOOKUP(B87,男子一覧表!$B$13:$F$78,2,FALSE))</f>
        <v/>
      </c>
      <c r="E87" s="1577"/>
      <c r="F87" s="505" t="str">
        <f>IF(男子一覧表!B55="","",VLOOKUP(B87,男子一覧表!$B$13:$F$78,3,FALSE))</f>
        <v/>
      </c>
      <c r="G87" s="506" t="str">
        <f>IF(D87="","",男子一覧表!$A$7)</f>
        <v/>
      </c>
      <c r="H87" s="509" t="s">
        <v>509</v>
      </c>
      <c r="I87" s="1586" t="str">
        <f>IF(男子一覧表!L55="","",男子一覧表!B55)</f>
        <v/>
      </c>
      <c r="J87" s="1587"/>
      <c r="K87" s="1576" t="str">
        <f>IF(男子一覧表!L55="","",VLOOKUP(I87,男子一覧表!$B$13:$F$78,2,FALSE))</f>
        <v/>
      </c>
      <c r="L87" s="1577"/>
      <c r="M87" s="505" t="str">
        <f>IF(男子一覧表!L55="","",VLOOKUP(I87,男子一覧表!$B$13:$F$78,3,FALSE))</f>
        <v/>
      </c>
      <c r="N87" s="506" t="str">
        <f>IF(K87="","",男子一覧表!$A$7)</f>
        <v/>
      </c>
    </row>
    <row r="88" spans="1:16" s="228" customFormat="1" ht="13.5" customHeight="1">
      <c r="A88" s="1578" t="s">
        <v>501</v>
      </c>
      <c r="B88" s="1579"/>
      <c r="C88" s="1580" t="str">
        <f>男子一覧表!Y56</f>
        <v/>
      </c>
      <c r="D88" s="1579"/>
      <c r="E88" s="227" t="s">
        <v>511</v>
      </c>
      <c r="F88" s="1581">
        <f>男子一覧表!J56</f>
        <v>0</v>
      </c>
      <c r="G88" s="1582"/>
      <c r="H88" s="1578" t="s">
        <v>501</v>
      </c>
      <c r="I88" s="1579"/>
      <c r="J88" s="1580" t="str">
        <f>男子一覧表!Z56</f>
        <v/>
      </c>
      <c r="K88" s="1579"/>
      <c r="L88" s="227" t="s">
        <v>511</v>
      </c>
      <c r="M88" s="1581">
        <f>男子一覧表!M56</f>
        <v>0</v>
      </c>
      <c r="N88" s="1582"/>
    </row>
    <row r="89" spans="1:16" s="228" customFormat="1" ht="10.5">
      <c r="A89" s="229" t="s">
        <v>542</v>
      </c>
      <c r="B89" s="1585" t="s">
        <v>543</v>
      </c>
      <c r="C89" s="1585"/>
      <c r="D89" s="1589" t="s">
        <v>544</v>
      </c>
      <c r="E89" s="1589"/>
      <c r="F89" s="230" t="s">
        <v>545</v>
      </c>
      <c r="G89" s="232" t="s">
        <v>546</v>
      </c>
      <c r="H89" s="231" t="s">
        <v>542</v>
      </c>
      <c r="I89" s="1585" t="s">
        <v>543</v>
      </c>
      <c r="J89" s="1585"/>
      <c r="K89" s="1589" t="s">
        <v>544</v>
      </c>
      <c r="L89" s="1589"/>
      <c r="M89" s="230" t="s">
        <v>545</v>
      </c>
      <c r="N89" s="232" t="s">
        <v>546</v>
      </c>
    </row>
    <row r="90" spans="1:16" s="510" customFormat="1" ht="24.95" customHeight="1">
      <c r="A90" s="508" t="s">
        <v>509</v>
      </c>
      <c r="B90" s="1586">
        <f>男子一覧表!B56</f>
        <v>0</v>
      </c>
      <c r="C90" s="1587"/>
      <c r="D90" s="1576" t="str">
        <f>IF(男子一覧表!B56="","",VLOOKUP(B90,男子一覧表!$B$13:$F$78,2,FALSE))</f>
        <v/>
      </c>
      <c r="E90" s="1577"/>
      <c r="F90" s="505" t="str">
        <f>IF(男子一覧表!B56="","",VLOOKUP(B90,男子一覧表!$B$13:$F$78,3,FALSE))</f>
        <v/>
      </c>
      <c r="G90" s="506" t="str">
        <f>IF(D90="","",男子一覧表!$A$7)</f>
        <v/>
      </c>
      <c r="H90" s="509" t="s">
        <v>509</v>
      </c>
      <c r="I90" s="1586" t="str">
        <f>IF(男子一覧表!L56="","",男子一覧表!B56)</f>
        <v/>
      </c>
      <c r="J90" s="1587"/>
      <c r="K90" s="1576" t="str">
        <f>IF(男子一覧表!L56="","",VLOOKUP(I90,男子一覧表!$B$13:$F$78,2,FALSE))</f>
        <v/>
      </c>
      <c r="L90" s="1577"/>
      <c r="M90" s="505" t="str">
        <f>IF(男子一覧表!L56="","",VLOOKUP(I90,男子一覧表!$B$13:$F$78,3,FALSE))</f>
        <v/>
      </c>
      <c r="N90" s="506" t="str">
        <f>IF(K90="","",男子一覧表!$A$7)</f>
        <v/>
      </c>
    </row>
    <row r="91" spans="1:16" s="228" customFormat="1" ht="13.5" customHeight="1">
      <c r="A91" s="1578" t="s">
        <v>501</v>
      </c>
      <c r="B91" s="1579"/>
      <c r="C91" s="1580" t="str">
        <f>男子一覧表!Y57</f>
        <v/>
      </c>
      <c r="D91" s="1579"/>
      <c r="E91" s="227" t="s">
        <v>511</v>
      </c>
      <c r="F91" s="1581">
        <f>男子一覧表!J57</f>
        <v>0</v>
      </c>
      <c r="G91" s="1582"/>
      <c r="H91" s="1578" t="s">
        <v>501</v>
      </c>
      <c r="I91" s="1579"/>
      <c r="J91" s="1580" t="str">
        <f>男子一覧表!Z57</f>
        <v/>
      </c>
      <c r="K91" s="1579"/>
      <c r="L91" s="227" t="s">
        <v>511</v>
      </c>
      <c r="M91" s="1581">
        <f>男子一覧表!M57</f>
        <v>0</v>
      </c>
      <c r="N91" s="1582"/>
    </row>
    <row r="92" spans="1:16" s="228" customFormat="1" ht="10.5">
      <c r="A92" s="229" t="s">
        <v>542</v>
      </c>
      <c r="B92" s="1585" t="s">
        <v>543</v>
      </c>
      <c r="C92" s="1585"/>
      <c r="D92" s="1589" t="s">
        <v>544</v>
      </c>
      <c r="E92" s="1589"/>
      <c r="F92" s="230" t="s">
        <v>545</v>
      </c>
      <c r="G92" s="232" t="s">
        <v>546</v>
      </c>
      <c r="H92" s="231" t="s">
        <v>542</v>
      </c>
      <c r="I92" s="1585" t="s">
        <v>543</v>
      </c>
      <c r="J92" s="1585"/>
      <c r="K92" s="1589" t="s">
        <v>544</v>
      </c>
      <c r="L92" s="1589"/>
      <c r="M92" s="230" t="s">
        <v>545</v>
      </c>
      <c r="N92" s="232" t="s">
        <v>546</v>
      </c>
    </row>
    <row r="93" spans="1:16" s="510" customFormat="1" ht="24.95" customHeight="1">
      <c r="A93" s="508" t="s">
        <v>509</v>
      </c>
      <c r="B93" s="1586">
        <f>男子一覧表!B57</f>
        <v>0</v>
      </c>
      <c r="C93" s="1587"/>
      <c r="D93" s="1576" t="str">
        <f>IF(男子一覧表!B57="","",VLOOKUP(B93,男子一覧表!$B$13:$F$78,2,FALSE))</f>
        <v/>
      </c>
      <c r="E93" s="1577"/>
      <c r="F93" s="505" t="str">
        <f>IF(男子一覧表!B57="","",VLOOKUP(B93,男子一覧表!$B$13:$F$78,3,FALSE))</f>
        <v/>
      </c>
      <c r="G93" s="506" t="str">
        <f>IF(D93="","",男子一覧表!$A$7)</f>
        <v/>
      </c>
      <c r="H93" s="509" t="s">
        <v>509</v>
      </c>
      <c r="I93" s="1586" t="str">
        <f>IF(男子一覧表!L57="","",男子一覧表!B57)</f>
        <v/>
      </c>
      <c r="J93" s="1587"/>
      <c r="K93" s="1576" t="str">
        <f>IF(男子一覧表!L57="","",VLOOKUP(I93,男子一覧表!$B$13:$F$78,2,FALSE))</f>
        <v/>
      </c>
      <c r="L93" s="1577"/>
      <c r="M93" s="505" t="str">
        <f>IF(男子一覧表!L57="","",VLOOKUP(I93,男子一覧表!$B$13:$F$78,3,FALSE))</f>
        <v/>
      </c>
      <c r="N93" s="506" t="str">
        <f>IF(K93="","",男子一覧表!$A$7)</f>
        <v/>
      </c>
    </row>
    <row r="94" spans="1:16" s="228" customFormat="1" ht="13.5" customHeight="1">
      <c r="A94" s="1578" t="s">
        <v>501</v>
      </c>
      <c r="B94" s="1579"/>
      <c r="C94" s="1580" t="str">
        <f>男子一覧表!Y58</f>
        <v/>
      </c>
      <c r="D94" s="1579"/>
      <c r="E94" s="227" t="s">
        <v>511</v>
      </c>
      <c r="F94" s="1581">
        <f>男子一覧表!J58</f>
        <v>0</v>
      </c>
      <c r="G94" s="1582"/>
      <c r="H94" s="1578" t="s">
        <v>501</v>
      </c>
      <c r="I94" s="1579"/>
      <c r="J94" s="1580" t="str">
        <f>男子一覧表!Z58</f>
        <v/>
      </c>
      <c r="K94" s="1579"/>
      <c r="L94" s="227" t="s">
        <v>511</v>
      </c>
      <c r="M94" s="1581">
        <f>男子一覧表!M58</f>
        <v>0</v>
      </c>
      <c r="N94" s="1582"/>
      <c r="P94" s="233"/>
    </row>
    <row r="95" spans="1:16" s="228" customFormat="1" ht="10.5">
      <c r="A95" s="229" t="s">
        <v>542</v>
      </c>
      <c r="B95" s="1585" t="s">
        <v>543</v>
      </c>
      <c r="C95" s="1585"/>
      <c r="D95" s="1589" t="s">
        <v>544</v>
      </c>
      <c r="E95" s="1589"/>
      <c r="F95" s="230" t="s">
        <v>545</v>
      </c>
      <c r="G95" s="232" t="s">
        <v>546</v>
      </c>
      <c r="H95" s="231" t="s">
        <v>542</v>
      </c>
      <c r="I95" s="1585" t="s">
        <v>543</v>
      </c>
      <c r="J95" s="1585"/>
      <c r="K95" s="1589" t="s">
        <v>544</v>
      </c>
      <c r="L95" s="1589"/>
      <c r="M95" s="230" t="s">
        <v>545</v>
      </c>
      <c r="N95" s="232" t="s">
        <v>546</v>
      </c>
    </row>
    <row r="96" spans="1:16" s="510" customFormat="1" ht="24.95" customHeight="1">
      <c r="A96" s="508" t="s">
        <v>509</v>
      </c>
      <c r="B96" s="1586">
        <f>男子一覧表!B58</f>
        <v>0</v>
      </c>
      <c r="C96" s="1587"/>
      <c r="D96" s="1576" t="str">
        <f>IF(男子一覧表!B58="","",VLOOKUP(B96,男子一覧表!$B$13:$F$78,2,FALSE))</f>
        <v/>
      </c>
      <c r="E96" s="1577"/>
      <c r="F96" s="505" t="str">
        <f>IF(男子一覧表!B58="","",VLOOKUP(B96,男子一覧表!$B$13:$F$78,3,FALSE))</f>
        <v/>
      </c>
      <c r="G96" s="506" t="str">
        <f>IF(D96="","",男子一覧表!$A$7)</f>
        <v/>
      </c>
      <c r="H96" s="509" t="s">
        <v>509</v>
      </c>
      <c r="I96" s="1586" t="str">
        <f>IF(男子一覧表!L58="","",男子一覧表!B58)</f>
        <v/>
      </c>
      <c r="J96" s="1587"/>
      <c r="K96" s="1576" t="str">
        <f>IF(男子一覧表!L58="","",VLOOKUP(I96,男子一覧表!$B$13:$F$78,2,FALSE))</f>
        <v/>
      </c>
      <c r="L96" s="1577"/>
      <c r="M96" s="505" t="str">
        <f>IF(男子一覧表!L58="","",VLOOKUP(I96,男子一覧表!$B$13:$F$78,3,FALSE))</f>
        <v/>
      </c>
      <c r="N96" s="506" t="str">
        <f>IF(K96="","",男子一覧表!$A$7)</f>
        <v/>
      </c>
    </row>
    <row r="97" spans="1:14" s="228" customFormat="1" ht="13.5" customHeight="1">
      <c r="A97" s="1578" t="s">
        <v>501</v>
      </c>
      <c r="B97" s="1579"/>
      <c r="C97" s="1580" t="str">
        <f>男子一覧表!Y59</f>
        <v/>
      </c>
      <c r="D97" s="1579"/>
      <c r="E97" s="227" t="s">
        <v>511</v>
      </c>
      <c r="F97" s="1581">
        <f>男子一覧表!J59</f>
        <v>0</v>
      </c>
      <c r="G97" s="1582"/>
      <c r="H97" s="1578" t="s">
        <v>501</v>
      </c>
      <c r="I97" s="1579"/>
      <c r="J97" s="1580" t="str">
        <f>男子一覧表!Z59</f>
        <v/>
      </c>
      <c r="K97" s="1579"/>
      <c r="L97" s="227" t="s">
        <v>511</v>
      </c>
      <c r="M97" s="1581">
        <f>男子一覧表!M59</f>
        <v>0</v>
      </c>
      <c r="N97" s="1582"/>
    </row>
    <row r="98" spans="1:14" s="228" customFormat="1" ht="10.5">
      <c r="A98" s="229" t="s">
        <v>542</v>
      </c>
      <c r="B98" s="1585" t="s">
        <v>543</v>
      </c>
      <c r="C98" s="1585"/>
      <c r="D98" s="1589" t="s">
        <v>544</v>
      </c>
      <c r="E98" s="1589"/>
      <c r="F98" s="230" t="s">
        <v>545</v>
      </c>
      <c r="G98" s="232" t="s">
        <v>546</v>
      </c>
      <c r="H98" s="231" t="s">
        <v>542</v>
      </c>
      <c r="I98" s="1585" t="s">
        <v>543</v>
      </c>
      <c r="J98" s="1585"/>
      <c r="K98" s="1589" t="s">
        <v>544</v>
      </c>
      <c r="L98" s="1589"/>
      <c r="M98" s="230" t="s">
        <v>545</v>
      </c>
      <c r="N98" s="232" t="s">
        <v>546</v>
      </c>
    </row>
    <row r="99" spans="1:14" s="510" customFormat="1" ht="24.95" customHeight="1">
      <c r="A99" s="508" t="s">
        <v>509</v>
      </c>
      <c r="B99" s="1586">
        <f>男子一覧表!B59</f>
        <v>0</v>
      </c>
      <c r="C99" s="1587"/>
      <c r="D99" s="1576" t="str">
        <f>IF(男子一覧表!B59="","",VLOOKUP(B99,男子一覧表!$B$13:$F$78,2,FALSE))</f>
        <v/>
      </c>
      <c r="E99" s="1577"/>
      <c r="F99" s="505" t="str">
        <f>IF(男子一覧表!B59="","",VLOOKUP(B99,男子一覧表!$B$13:$F$78,3,FALSE))</f>
        <v/>
      </c>
      <c r="G99" s="506" t="str">
        <f>IF(D99="","",男子一覧表!$A$7)</f>
        <v/>
      </c>
      <c r="H99" s="509" t="s">
        <v>509</v>
      </c>
      <c r="I99" s="1586" t="str">
        <f>IF(男子一覧表!L59="","",男子一覧表!B59)</f>
        <v/>
      </c>
      <c r="J99" s="1587"/>
      <c r="K99" s="1576" t="str">
        <f>IF(男子一覧表!L59="","",VLOOKUP(I99,男子一覧表!$B$13:$F$78,2,FALSE))</f>
        <v/>
      </c>
      <c r="L99" s="1577"/>
      <c r="M99" s="505" t="str">
        <f>IF(男子一覧表!L59="","",VLOOKUP(I99,男子一覧表!$B$13:$F$78,3,FALSE))</f>
        <v/>
      </c>
      <c r="N99" s="506" t="str">
        <f>IF(K99="","",男子一覧表!$A$7)</f>
        <v/>
      </c>
    </row>
    <row r="100" spans="1:14" s="228" customFormat="1" ht="13.5" customHeight="1">
      <c r="A100" s="1578" t="s">
        <v>501</v>
      </c>
      <c r="B100" s="1579"/>
      <c r="C100" s="1580" t="str">
        <f>男子一覧表!Y60</f>
        <v/>
      </c>
      <c r="D100" s="1579"/>
      <c r="E100" s="227" t="s">
        <v>511</v>
      </c>
      <c r="F100" s="1581">
        <f>男子一覧表!J60</f>
        <v>0</v>
      </c>
      <c r="G100" s="1582"/>
      <c r="H100" s="1578" t="s">
        <v>501</v>
      </c>
      <c r="I100" s="1579"/>
      <c r="J100" s="1580" t="str">
        <f>男子一覧表!Z60</f>
        <v/>
      </c>
      <c r="K100" s="1579"/>
      <c r="L100" s="227" t="s">
        <v>511</v>
      </c>
      <c r="M100" s="1581">
        <f>男子一覧表!M60</f>
        <v>0</v>
      </c>
      <c r="N100" s="1582"/>
    </row>
    <row r="101" spans="1:14" s="228" customFormat="1" ht="10.5">
      <c r="A101" s="229" t="s">
        <v>542</v>
      </c>
      <c r="B101" s="1585" t="s">
        <v>543</v>
      </c>
      <c r="C101" s="1585"/>
      <c r="D101" s="1589" t="s">
        <v>544</v>
      </c>
      <c r="E101" s="1589"/>
      <c r="F101" s="230" t="s">
        <v>545</v>
      </c>
      <c r="G101" s="232" t="s">
        <v>546</v>
      </c>
      <c r="H101" s="231" t="s">
        <v>542</v>
      </c>
      <c r="I101" s="1585" t="s">
        <v>543</v>
      </c>
      <c r="J101" s="1585"/>
      <c r="K101" s="1589" t="s">
        <v>544</v>
      </c>
      <c r="L101" s="1589"/>
      <c r="M101" s="230" t="s">
        <v>545</v>
      </c>
      <c r="N101" s="232" t="s">
        <v>546</v>
      </c>
    </row>
    <row r="102" spans="1:14" s="510" customFormat="1" ht="24.95" customHeight="1">
      <c r="A102" s="508" t="s">
        <v>509</v>
      </c>
      <c r="B102" s="1586">
        <f>男子一覧表!B60</f>
        <v>0</v>
      </c>
      <c r="C102" s="1587"/>
      <c r="D102" s="1576" t="str">
        <f>IF(男子一覧表!B60="","",VLOOKUP(B102,男子一覧表!$B$13:$F$78,2,FALSE))</f>
        <v/>
      </c>
      <c r="E102" s="1577"/>
      <c r="F102" s="505" t="str">
        <f>IF(男子一覧表!B60="","",VLOOKUP(B102,男子一覧表!$B$13:$F$78,3,FALSE))</f>
        <v/>
      </c>
      <c r="G102" s="506" t="str">
        <f>IF(D102="","",男子一覧表!$A$7)</f>
        <v/>
      </c>
      <c r="H102" s="509" t="s">
        <v>509</v>
      </c>
      <c r="I102" s="1586" t="str">
        <f>IF(男子一覧表!L60="","",男子一覧表!B60)</f>
        <v/>
      </c>
      <c r="J102" s="1587"/>
      <c r="K102" s="1576" t="str">
        <f>IF(男子一覧表!L60="","",VLOOKUP(I102,男子一覧表!$B$13:$F$78,2,FALSE))</f>
        <v/>
      </c>
      <c r="L102" s="1577"/>
      <c r="M102" s="505" t="str">
        <f>IF(男子一覧表!L60="","",VLOOKUP(I102,男子一覧表!$B$13:$F$78,3,FALSE))</f>
        <v/>
      </c>
      <c r="N102" s="506" t="str">
        <f>IF(K102="","",男子一覧表!$A$7)</f>
        <v/>
      </c>
    </row>
    <row r="103" spans="1:14" s="228" customFormat="1" ht="13.5" customHeight="1">
      <c r="A103" s="1578" t="s">
        <v>501</v>
      </c>
      <c r="B103" s="1579"/>
      <c r="C103" s="1580" t="str">
        <f>男子一覧表!Y61</f>
        <v/>
      </c>
      <c r="D103" s="1579"/>
      <c r="E103" s="227" t="s">
        <v>511</v>
      </c>
      <c r="F103" s="1581">
        <f>男子一覧表!J61</f>
        <v>0</v>
      </c>
      <c r="G103" s="1582"/>
      <c r="H103" s="1578" t="s">
        <v>501</v>
      </c>
      <c r="I103" s="1579"/>
      <c r="J103" s="1580" t="str">
        <f>男子一覧表!Z61</f>
        <v/>
      </c>
      <c r="K103" s="1579"/>
      <c r="L103" s="227" t="s">
        <v>511</v>
      </c>
      <c r="M103" s="1581">
        <f>男子一覧表!M61</f>
        <v>0</v>
      </c>
      <c r="N103" s="1582"/>
    </row>
    <row r="104" spans="1:14" s="228" customFormat="1" ht="10.5">
      <c r="A104" s="229" t="s">
        <v>542</v>
      </c>
      <c r="B104" s="1585" t="s">
        <v>543</v>
      </c>
      <c r="C104" s="1585"/>
      <c r="D104" s="1589" t="s">
        <v>544</v>
      </c>
      <c r="E104" s="1589"/>
      <c r="F104" s="230" t="s">
        <v>545</v>
      </c>
      <c r="G104" s="232" t="s">
        <v>546</v>
      </c>
      <c r="H104" s="231" t="s">
        <v>542</v>
      </c>
      <c r="I104" s="1585" t="s">
        <v>543</v>
      </c>
      <c r="J104" s="1585"/>
      <c r="K104" s="1589" t="s">
        <v>544</v>
      </c>
      <c r="L104" s="1589"/>
      <c r="M104" s="230" t="s">
        <v>545</v>
      </c>
      <c r="N104" s="232" t="s">
        <v>546</v>
      </c>
    </row>
    <row r="105" spans="1:14" s="510" customFormat="1" ht="24.95" customHeight="1">
      <c r="A105" s="508" t="s">
        <v>509</v>
      </c>
      <c r="B105" s="1586">
        <f>男子一覧表!B61</f>
        <v>0</v>
      </c>
      <c r="C105" s="1587"/>
      <c r="D105" s="1576" t="str">
        <f>IF(男子一覧表!B61="","",VLOOKUP(B105,男子一覧表!$B$13:$F$78,2,FALSE))</f>
        <v/>
      </c>
      <c r="E105" s="1577"/>
      <c r="F105" s="505" t="str">
        <f>IF(男子一覧表!B61="","",VLOOKUP(B105,男子一覧表!$B$13:$F$78,3,FALSE))</f>
        <v/>
      </c>
      <c r="G105" s="506" t="str">
        <f>IF(D105="","",男子一覧表!$A$7)</f>
        <v/>
      </c>
      <c r="H105" s="509" t="s">
        <v>509</v>
      </c>
      <c r="I105" s="1586" t="str">
        <f>IF(男子一覧表!L61="","",男子一覧表!B61)</f>
        <v/>
      </c>
      <c r="J105" s="1587"/>
      <c r="K105" s="1576" t="str">
        <f>IF(男子一覧表!L61="","",VLOOKUP(I105,男子一覧表!$B$13:$F$78,2,FALSE))</f>
        <v/>
      </c>
      <c r="L105" s="1577"/>
      <c r="M105" s="505" t="str">
        <f>IF(男子一覧表!L61="","",VLOOKUP(I105,男子一覧表!$B$13:$F$78,3,FALSE))</f>
        <v/>
      </c>
      <c r="N105" s="506" t="str">
        <f>IF(K105="","",男子一覧表!$A$7)</f>
        <v/>
      </c>
    </row>
    <row r="106" spans="1:14" s="228" customFormat="1" ht="13.5" customHeight="1">
      <c r="A106" s="1578" t="s">
        <v>501</v>
      </c>
      <c r="B106" s="1579"/>
      <c r="C106" s="1580" t="str">
        <f>男子一覧表!Y62</f>
        <v/>
      </c>
      <c r="D106" s="1579"/>
      <c r="E106" s="227" t="s">
        <v>511</v>
      </c>
      <c r="F106" s="1581">
        <f>男子一覧表!J62</f>
        <v>0</v>
      </c>
      <c r="G106" s="1582"/>
      <c r="H106" s="1578" t="s">
        <v>501</v>
      </c>
      <c r="I106" s="1579"/>
      <c r="J106" s="1580" t="str">
        <f>男子一覧表!Z62</f>
        <v/>
      </c>
      <c r="K106" s="1579"/>
      <c r="L106" s="227" t="s">
        <v>511</v>
      </c>
      <c r="M106" s="1581">
        <f>男子一覧表!M62</f>
        <v>0</v>
      </c>
      <c r="N106" s="1582"/>
    </row>
    <row r="107" spans="1:14" s="228" customFormat="1" ht="10.5">
      <c r="A107" s="229" t="s">
        <v>542</v>
      </c>
      <c r="B107" s="1585" t="s">
        <v>543</v>
      </c>
      <c r="C107" s="1585"/>
      <c r="D107" s="1589" t="s">
        <v>544</v>
      </c>
      <c r="E107" s="1589"/>
      <c r="F107" s="230" t="s">
        <v>545</v>
      </c>
      <c r="G107" s="232" t="s">
        <v>546</v>
      </c>
      <c r="H107" s="231" t="s">
        <v>542</v>
      </c>
      <c r="I107" s="1585" t="s">
        <v>543</v>
      </c>
      <c r="J107" s="1585"/>
      <c r="K107" s="1589" t="s">
        <v>544</v>
      </c>
      <c r="L107" s="1589"/>
      <c r="M107" s="230" t="s">
        <v>545</v>
      </c>
      <c r="N107" s="232" t="s">
        <v>546</v>
      </c>
    </row>
    <row r="108" spans="1:14" s="510" customFormat="1" ht="24.95" customHeight="1">
      <c r="A108" s="508" t="s">
        <v>509</v>
      </c>
      <c r="B108" s="1586">
        <f>男子一覧表!B62</f>
        <v>0</v>
      </c>
      <c r="C108" s="1587"/>
      <c r="D108" s="1576" t="str">
        <f>IF(男子一覧表!B62="","",VLOOKUP(B108,男子一覧表!$B$13:$F$78,2,FALSE))</f>
        <v/>
      </c>
      <c r="E108" s="1577"/>
      <c r="F108" s="505" t="str">
        <f>IF(男子一覧表!B62="","",VLOOKUP(B108,男子一覧表!$B$13:$F$78,3,FALSE))</f>
        <v/>
      </c>
      <c r="G108" s="506" t="str">
        <f>IF(D108="","",男子一覧表!$A$7)</f>
        <v/>
      </c>
      <c r="H108" s="509" t="s">
        <v>509</v>
      </c>
      <c r="I108" s="1586" t="str">
        <f>IF(男子一覧表!L62="","",男子一覧表!B62)</f>
        <v/>
      </c>
      <c r="J108" s="1587"/>
      <c r="K108" s="1576" t="str">
        <f>IF(男子一覧表!L62="","",VLOOKUP(I108,男子一覧表!$B$13:$F$78,2,FALSE))</f>
        <v/>
      </c>
      <c r="L108" s="1577"/>
      <c r="M108" s="505" t="str">
        <f>IF(男子一覧表!L62="","",VLOOKUP(I108,男子一覧表!$B$13:$F$78,3,FALSE))</f>
        <v/>
      </c>
      <c r="N108" s="506" t="str">
        <f>IF(K108="","",男子一覧表!$A$7)</f>
        <v/>
      </c>
    </row>
    <row r="109" spans="1:14" s="228" customFormat="1" ht="13.5" customHeight="1">
      <c r="A109" s="1578" t="s">
        <v>501</v>
      </c>
      <c r="B109" s="1579"/>
      <c r="C109" s="1580" t="str">
        <f>男子一覧表!Y63</f>
        <v/>
      </c>
      <c r="D109" s="1579"/>
      <c r="E109" s="227" t="s">
        <v>511</v>
      </c>
      <c r="F109" s="1581">
        <f>男子一覧表!J63</f>
        <v>0</v>
      </c>
      <c r="G109" s="1582"/>
      <c r="H109" s="1578" t="s">
        <v>501</v>
      </c>
      <c r="I109" s="1579"/>
      <c r="J109" s="1580" t="str">
        <f>男子一覧表!Z63</f>
        <v/>
      </c>
      <c r="K109" s="1579"/>
      <c r="L109" s="227" t="s">
        <v>511</v>
      </c>
      <c r="M109" s="1581">
        <f>男子一覧表!M63</f>
        <v>0</v>
      </c>
      <c r="N109" s="1582"/>
    </row>
    <row r="110" spans="1:14" s="228" customFormat="1" ht="10.5">
      <c r="A110" s="229" t="s">
        <v>542</v>
      </c>
      <c r="B110" s="1585" t="s">
        <v>543</v>
      </c>
      <c r="C110" s="1585"/>
      <c r="D110" s="1589" t="s">
        <v>544</v>
      </c>
      <c r="E110" s="1589"/>
      <c r="F110" s="230" t="s">
        <v>545</v>
      </c>
      <c r="G110" s="232" t="s">
        <v>546</v>
      </c>
      <c r="H110" s="231" t="s">
        <v>542</v>
      </c>
      <c r="I110" s="1585" t="s">
        <v>543</v>
      </c>
      <c r="J110" s="1585"/>
      <c r="K110" s="1589" t="s">
        <v>544</v>
      </c>
      <c r="L110" s="1589"/>
      <c r="M110" s="230" t="s">
        <v>545</v>
      </c>
      <c r="N110" s="232" t="s">
        <v>546</v>
      </c>
    </row>
    <row r="111" spans="1:14" s="510" customFormat="1" ht="24.95" customHeight="1">
      <c r="A111" s="508" t="s">
        <v>509</v>
      </c>
      <c r="B111" s="1586">
        <f>男子一覧表!B63</f>
        <v>0</v>
      </c>
      <c r="C111" s="1587"/>
      <c r="D111" s="1576" t="str">
        <f>IF(男子一覧表!B63="","",VLOOKUP(B111,男子一覧表!$B$13:$F$78,2,FALSE))</f>
        <v/>
      </c>
      <c r="E111" s="1577"/>
      <c r="F111" s="505" t="str">
        <f>IF(男子一覧表!B63="","",VLOOKUP(B111,男子一覧表!$B$13:$F$78,3,FALSE))</f>
        <v/>
      </c>
      <c r="G111" s="506" t="str">
        <f>IF(D111="","",男子一覧表!$A$7)</f>
        <v/>
      </c>
      <c r="H111" s="509" t="s">
        <v>509</v>
      </c>
      <c r="I111" s="1586" t="str">
        <f>IF(男子一覧表!L63="","",男子一覧表!B63)</f>
        <v/>
      </c>
      <c r="J111" s="1587"/>
      <c r="K111" s="1576" t="str">
        <f>IF(男子一覧表!L63="","",VLOOKUP(I111,男子一覧表!$B$13:$F$78,2,FALSE))</f>
        <v/>
      </c>
      <c r="L111" s="1577"/>
      <c r="M111" s="505" t="str">
        <f>IF(男子一覧表!L63="","",VLOOKUP(I111,男子一覧表!$B$13:$F$78,3,FALSE))</f>
        <v/>
      </c>
      <c r="N111" s="506" t="str">
        <f>IF(K111="","",男子一覧表!$A$7)</f>
        <v/>
      </c>
    </row>
    <row r="112" spans="1:14" s="228" customFormat="1" ht="13.5" customHeight="1">
      <c r="A112" s="1578" t="s">
        <v>501</v>
      </c>
      <c r="B112" s="1579"/>
      <c r="C112" s="1580" t="str">
        <f>男子一覧表!Y64</f>
        <v/>
      </c>
      <c r="D112" s="1579"/>
      <c r="E112" s="227" t="s">
        <v>511</v>
      </c>
      <c r="F112" s="1581">
        <f>男子一覧表!J64</f>
        <v>0</v>
      </c>
      <c r="G112" s="1582"/>
      <c r="H112" s="1578" t="s">
        <v>501</v>
      </c>
      <c r="I112" s="1579"/>
      <c r="J112" s="1580" t="str">
        <f>男子一覧表!Z64</f>
        <v/>
      </c>
      <c r="K112" s="1579"/>
      <c r="L112" s="227" t="s">
        <v>511</v>
      </c>
      <c r="M112" s="1581">
        <f>男子一覧表!M64</f>
        <v>0</v>
      </c>
      <c r="N112" s="1582"/>
    </row>
    <row r="113" spans="1:16" s="228" customFormat="1" ht="10.5">
      <c r="A113" s="229" t="s">
        <v>542</v>
      </c>
      <c r="B113" s="1583" t="s">
        <v>543</v>
      </c>
      <c r="C113" s="1584"/>
      <c r="D113" s="1590" t="s">
        <v>544</v>
      </c>
      <c r="E113" s="1591"/>
      <c r="F113" s="230" t="s">
        <v>545</v>
      </c>
      <c r="G113" s="232" t="s">
        <v>546</v>
      </c>
      <c r="H113" s="231" t="s">
        <v>542</v>
      </c>
      <c r="I113" s="1583" t="s">
        <v>543</v>
      </c>
      <c r="J113" s="1584"/>
      <c r="K113" s="1590" t="s">
        <v>544</v>
      </c>
      <c r="L113" s="1591"/>
      <c r="M113" s="230" t="s">
        <v>545</v>
      </c>
      <c r="N113" s="232" t="s">
        <v>546</v>
      </c>
    </row>
    <row r="114" spans="1:16" s="510" customFormat="1" ht="24.95" customHeight="1">
      <c r="A114" s="511" t="s">
        <v>509</v>
      </c>
      <c r="B114" s="1593">
        <f>男子一覧表!B64</f>
        <v>0</v>
      </c>
      <c r="C114" s="1594"/>
      <c r="D114" s="1595" t="str">
        <f>IF(男子一覧表!B64="","",VLOOKUP(B114,男子一覧表!$B$13:$F$78,2,FALSE))</f>
        <v/>
      </c>
      <c r="E114" s="1596"/>
      <c r="F114" s="507" t="str">
        <f>IF(男子一覧表!B64="","",VLOOKUP(B114,男子一覧表!$B$13:$F$78,3,FALSE))</f>
        <v/>
      </c>
      <c r="G114" s="506" t="str">
        <f>IF(D114="","",男子一覧表!$A$7)</f>
        <v/>
      </c>
      <c r="H114" s="512" t="s">
        <v>509</v>
      </c>
      <c r="I114" s="1586" t="str">
        <f>IF(男子一覧表!L64="","",男子一覧表!B64)</f>
        <v/>
      </c>
      <c r="J114" s="1587"/>
      <c r="K114" s="1595" t="str">
        <f>IF(男子一覧表!L64="","",VLOOKUP(I114,男子一覧表!$B$13:$F$78,2,FALSE))</f>
        <v/>
      </c>
      <c r="L114" s="1596"/>
      <c r="M114" s="507" t="str">
        <f>IF(男子一覧表!L64="","",VLOOKUP(I114,男子一覧表!$B$13:$F$78,3,FALSE))</f>
        <v/>
      </c>
      <c r="N114" s="506" t="str">
        <f>IF(K114="","",男子一覧表!$A$7)</f>
        <v/>
      </c>
    </row>
    <row r="115" spans="1:16" s="228" customFormat="1" ht="13.5" customHeight="1">
      <c r="A115" s="1578" t="s">
        <v>501</v>
      </c>
      <c r="B115" s="1579"/>
      <c r="C115" s="1580" t="str">
        <f>男子一覧表!Y65</f>
        <v/>
      </c>
      <c r="D115" s="1579"/>
      <c r="E115" s="227" t="s">
        <v>511</v>
      </c>
      <c r="F115" s="1581">
        <f>男子一覧表!J65</f>
        <v>0</v>
      </c>
      <c r="G115" s="1582"/>
      <c r="H115" s="1578" t="s">
        <v>501</v>
      </c>
      <c r="I115" s="1579"/>
      <c r="J115" s="1580" t="str">
        <f>男子一覧表!Z65</f>
        <v/>
      </c>
      <c r="K115" s="1579"/>
      <c r="L115" s="227" t="s">
        <v>511</v>
      </c>
      <c r="M115" s="1581">
        <f>男子一覧表!M65</f>
        <v>0</v>
      </c>
      <c r="N115" s="1582"/>
    </row>
    <row r="116" spans="1:16" s="228" customFormat="1" ht="10.5">
      <c r="A116" s="229" t="s">
        <v>542</v>
      </c>
      <c r="B116" s="1585" t="s">
        <v>543</v>
      </c>
      <c r="C116" s="1585"/>
      <c r="D116" s="1589" t="s">
        <v>544</v>
      </c>
      <c r="E116" s="1589"/>
      <c r="F116" s="230" t="s">
        <v>545</v>
      </c>
      <c r="G116" s="232" t="s">
        <v>546</v>
      </c>
      <c r="H116" s="231" t="s">
        <v>542</v>
      </c>
      <c r="I116" s="1585" t="s">
        <v>543</v>
      </c>
      <c r="J116" s="1585"/>
      <c r="K116" s="1589" t="s">
        <v>544</v>
      </c>
      <c r="L116" s="1589"/>
      <c r="M116" s="230" t="s">
        <v>545</v>
      </c>
      <c r="N116" s="232" t="s">
        <v>546</v>
      </c>
    </row>
    <row r="117" spans="1:16" s="510" customFormat="1" ht="24.95" customHeight="1">
      <c r="A117" s="508" t="s">
        <v>509</v>
      </c>
      <c r="B117" s="1586">
        <f>男子一覧表!B65</f>
        <v>0</v>
      </c>
      <c r="C117" s="1587"/>
      <c r="D117" s="1576" t="str">
        <f>IF(男子一覧表!B65="","",VLOOKUP(B117,男子一覧表!$B$13:$F$78,2,FALSE))</f>
        <v/>
      </c>
      <c r="E117" s="1577"/>
      <c r="F117" s="505" t="str">
        <f>IF(男子一覧表!B65="","",VLOOKUP(B117,男子一覧表!$B$13:$F$78,3,FALSE))</f>
        <v/>
      </c>
      <c r="G117" s="506" t="str">
        <f>IF(D117="","",男子一覧表!$A$7)</f>
        <v/>
      </c>
      <c r="H117" s="509" t="s">
        <v>509</v>
      </c>
      <c r="I117" s="1586" t="str">
        <f>IF(男子一覧表!L65="","",男子一覧表!B65)</f>
        <v/>
      </c>
      <c r="J117" s="1587"/>
      <c r="K117" s="1576" t="str">
        <f>IF(男子一覧表!L65="","",VLOOKUP(I117,男子一覧表!$B$13:$F$78,2,FALSE))</f>
        <v/>
      </c>
      <c r="L117" s="1577"/>
      <c r="M117" s="505" t="str">
        <f>IF(男子一覧表!L65="","",VLOOKUP(I117,男子一覧表!$B$13:$F$78,3,FALSE))</f>
        <v/>
      </c>
      <c r="N117" s="506" t="str">
        <f>IF(K117="","",男子一覧表!$A$7)</f>
        <v/>
      </c>
    </row>
    <row r="118" spans="1:16" s="228" customFormat="1" ht="13.5" customHeight="1">
      <c r="A118" s="1578" t="s">
        <v>501</v>
      </c>
      <c r="B118" s="1579"/>
      <c r="C118" s="1580" t="str">
        <f>男子一覧表!Y66</f>
        <v/>
      </c>
      <c r="D118" s="1579"/>
      <c r="E118" s="227" t="s">
        <v>511</v>
      </c>
      <c r="F118" s="1581">
        <f>男子一覧表!J66</f>
        <v>0</v>
      </c>
      <c r="G118" s="1582"/>
      <c r="H118" s="1578" t="s">
        <v>501</v>
      </c>
      <c r="I118" s="1579"/>
      <c r="J118" s="1580" t="str">
        <f>男子一覧表!Z66</f>
        <v/>
      </c>
      <c r="K118" s="1579"/>
      <c r="L118" s="227" t="s">
        <v>511</v>
      </c>
      <c r="M118" s="1581">
        <f>男子一覧表!M66</f>
        <v>0</v>
      </c>
      <c r="N118" s="1582"/>
    </row>
    <row r="119" spans="1:16" s="228" customFormat="1" ht="10.5">
      <c r="A119" s="229" t="s">
        <v>542</v>
      </c>
      <c r="B119" s="1585" t="s">
        <v>543</v>
      </c>
      <c r="C119" s="1585"/>
      <c r="D119" s="1589" t="s">
        <v>544</v>
      </c>
      <c r="E119" s="1589"/>
      <c r="F119" s="230" t="s">
        <v>545</v>
      </c>
      <c r="G119" s="232" t="s">
        <v>546</v>
      </c>
      <c r="H119" s="231" t="s">
        <v>542</v>
      </c>
      <c r="I119" s="1585" t="s">
        <v>543</v>
      </c>
      <c r="J119" s="1585"/>
      <c r="K119" s="1589" t="s">
        <v>544</v>
      </c>
      <c r="L119" s="1589"/>
      <c r="M119" s="230" t="s">
        <v>545</v>
      </c>
      <c r="N119" s="232" t="s">
        <v>546</v>
      </c>
    </row>
    <row r="120" spans="1:16" s="510" customFormat="1" ht="24.95" customHeight="1">
      <c r="A120" s="508" t="s">
        <v>509</v>
      </c>
      <c r="B120" s="1586">
        <f>男子一覧表!B66</f>
        <v>0</v>
      </c>
      <c r="C120" s="1587"/>
      <c r="D120" s="1576" t="str">
        <f>IF(男子一覧表!B66="","",VLOOKUP(B120,男子一覧表!$B$13:$F$78,2,FALSE))</f>
        <v/>
      </c>
      <c r="E120" s="1577"/>
      <c r="F120" s="505" t="str">
        <f>IF(男子一覧表!B66="","",VLOOKUP(B120,男子一覧表!$B$13:$F$78,3,FALSE))</f>
        <v/>
      </c>
      <c r="G120" s="506" t="str">
        <f>IF(D120="","",男子一覧表!$A$7)</f>
        <v/>
      </c>
      <c r="H120" s="509" t="s">
        <v>509</v>
      </c>
      <c r="I120" s="1586" t="str">
        <f>IF(男子一覧表!L66="","",男子一覧表!B66)</f>
        <v/>
      </c>
      <c r="J120" s="1587"/>
      <c r="K120" s="1576" t="str">
        <f>IF(男子一覧表!L66="","",VLOOKUP(I120,男子一覧表!$B$13:$F$78,2,FALSE))</f>
        <v/>
      </c>
      <c r="L120" s="1577"/>
      <c r="M120" s="505" t="str">
        <f>IF(男子一覧表!L66="","",VLOOKUP(I120,男子一覧表!$B$13:$F$78,3,FALSE))</f>
        <v/>
      </c>
      <c r="N120" s="506" t="str">
        <f>IF(K120="","",男子一覧表!$A$7)</f>
        <v/>
      </c>
    </row>
    <row r="121" spans="1:16" s="228" customFormat="1" ht="13.5" customHeight="1">
      <c r="A121" s="1578" t="s">
        <v>501</v>
      </c>
      <c r="B121" s="1579"/>
      <c r="C121" s="1580" t="str">
        <f>男子一覧表!Y67</f>
        <v/>
      </c>
      <c r="D121" s="1579"/>
      <c r="E121" s="227" t="s">
        <v>511</v>
      </c>
      <c r="F121" s="1581">
        <f>男子一覧表!J67</f>
        <v>0</v>
      </c>
      <c r="G121" s="1582"/>
      <c r="H121" s="1578" t="s">
        <v>501</v>
      </c>
      <c r="I121" s="1579"/>
      <c r="J121" s="1580" t="str">
        <f>男子一覧表!Z67</f>
        <v/>
      </c>
      <c r="K121" s="1579"/>
      <c r="L121" s="227" t="s">
        <v>511</v>
      </c>
      <c r="M121" s="1581">
        <f>男子一覧表!M67</f>
        <v>0</v>
      </c>
      <c r="N121" s="1582"/>
    </row>
    <row r="122" spans="1:16" s="228" customFormat="1" ht="10.5">
      <c r="A122" s="229" t="s">
        <v>542</v>
      </c>
      <c r="B122" s="1585" t="s">
        <v>543</v>
      </c>
      <c r="C122" s="1585"/>
      <c r="D122" s="1589" t="s">
        <v>544</v>
      </c>
      <c r="E122" s="1589"/>
      <c r="F122" s="230" t="s">
        <v>545</v>
      </c>
      <c r="G122" s="232" t="s">
        <v>546</v>
      </c>
      <c r="H122" s="231" t="s">
        <v>542</v>
      </c>
      <c r="I122" s="1585" t="s">
        <v>543</v>
      </c>
      <c r="J122" s="1585"/>
      <c r="K122" s="1589" t="s">
        <v>544</v>
      </c>
      <c r="L122" s="1589"/>
      <c r="M122" s="230" t="s">
        <v>545</v>
      </c>
      <c r="N122" s="232" t="s">
        <v>546</v>
      </c>
    </row>
    <row r="123" spans="1:16" s="510" customFormat="1" ht="24.95" customHeight="1">
      <c r="A123" s="508" t="s">
        <v>509</v>
      </c>
      <c r="B123" s="1586">
        <f>男子一覧表!B67</f>
        <v>0</v>
      </c>
      <c r="C123" s="1587"/>
      <c r="D123" s="1576" t="str">
        <f>IF(男子一覧表!B67="","",VLOOKUP(B123,男子一覧表!$B$13:$F$78,2,FALSE))</f>
        <v/>
      </c>
      <c r="E123" s="1577"/>
      <c r="F123" s="505" t="str">
        <f>IF(男子一覧表!B67="","",VLOOKUP(B123,男子一覧表!$B$13:$F$78,3,FALSE))</f>
        <v/>
      </c>
      <c r="G123" s="506" t="str">
        <f>IF(D123="","",男子一覧表!$A$7)</f>
        <v/>
      </c>
      <c r="H123" s="509" t="s">
        <v>509</v>
      </c>
      <c r="I123" s="1586" t="str">
        <f>IF(男子一覧表!L67="","",男子一覧表!B67)</f>
        <v/>
      </c>
      <c r="J123" s="1587"/>
      <c r="K123" s="1576" t="str">
        <f>IF(男子一覧表!L67="","",VLOOKUP(I123,男子一覧表!$B$13:$F$78,2,FALSE))</f>
        <v/>
      </c>
      <c r="L123" s="1577"/>
      <c r="M123" s="505" t="str">
        <f>IF(男子一覧表!L67="","",VLOOKUP(I123,男子一覧表!$B$13:$F$78,3,FALSE))</f>
        <v/>
      </c>
      <c r="N123" s="506" t="str">
        <f>IF(K123="","",男子一覧表!$A$7)</f>
        <v/>
      </c>
    </row>
    <row r="124" spans="1:16" s="228" customFormat="1" ht="13.5" customHeight="1">
      <c r="A124" s="1578" t="s">
        <v>501</v>
      </c>
      <c r="B124" s="1579"/>
      <c r="C124" s="1580" t="str">
        <f>男子一覧表!Y68</f>
        <v/>
      </c>
      <c r="D124" s="1579"/>
      <c r="E124" s="227" t="s">
        <v>511</v>
      </c>
      <c r="F124" s="1581">
        <f>男子一覧表!J68</f>
        <v>0</v>
      </c>
      <c r="G124" s="1582"/>
      <c r="H124" s="1578" t="s">
        <v>501</v>
      </c>
      <c r="I124" s="1579"/>
      <c r="J124" s="1580" t="str">
        <f>男子一覧表!Z68</f>
        <v/>
      </c>
      <c r="K124" s="1579"/>
      <c r="L124" s="227" t="s">
        <v>511</v>
      </c>
      <c r="M124" s="1581">
        <f>男子一覧表!M68</f>
        <v>0</v>
      </c>
      <c r="N124" s="1582"/>
    </row>
    <row r="125" spans="1:16" s="228" customFormat="1" ht="10.5">
      <c r="A125" s="229" t="s">
        <v>542</v>
      </c>
      <c r="B125" s="1585" t="s">
        <v>543</v>
      </c>
      <c r="C125" s="1585"/>
      <c r="D125" s="1589" t="s">
        <v>544</v>
      </c>
      <c r="E125" s="1589"/>
      <c r="F125" s="230" t="s">
        <v>545</v>
      </c>
      <c r="G125" s="232" t="s">
        <v>546</v>
      </c>
      <c r="H125" s="231" t="s">
        <v>542</v>
      </c>
      <c r="I125" s="1585" t="s">
        <v>543</v>
      </c>
      <c r="J125" s="1585"/>
      <c r="K125" s="1589" t="s">
        <v>544</v>
      </c>
      <c r="L125" s="1589"/>
      <c r="M125" s="230" t="s">
        <v>545</v>
      </c>
      <c r="N125" s="232" t="s">
        <v>546</v>
      </c>
    </row>
    <row r="126" spans="1:16" s="510" customFormat="1" ht="24.95" customHeight="1">
      <c r="A126" s="508" t="s">
        <v>509</v>
      </c>
      <c r="B126" s="1586">
        <f>男子一覧表!B68</f>
        <v>0</v>
      </c>
      <c r="C126" s="1587"/>
      <c r="D126" s="1576" t="str">
        <f>IF(男子一覧表!B68="","",VLOOKUP(B126,男子一覧表!$B$13:$F$78,2,FALSE))</f>
        <v/>
      </c>
      <c r="E126" s="1577"/>
      <c r="F126" s="505" t="str">
        <f>IF(男子一覧表!B68="","",VLOOKUP(B126,男子一覧表!$B$13:$F$78,3,FALSE))</f>
        <v/>
      </c>
      <c r="G126" s="506" t="str">
        <f>IF(D126="","",男子一覧表!$A$7)</f>
        <v/>
      </c>
      <c r="H126" s="509" t="s">
        <v>509</v>
      </c>
      <c r="I126" s="1586" t="str">
        <f>IF(男子一覧表!L68="","",男子一覧表!B68)</f>
        <v/>
      </c>
      <c r="J126" s="1587"/>
      <c r="K126" s="1576" t="str">
        <f>IF(男子一覧表!L68="","",VLOOKUP(I126,男子一覧表!$B$13:$F$78,2,FALSE))</f>
        <v/>
      </c>
      <c r="L126" s="1577"/>
      <c r="M126" s="505" t="str">
        <f>IF(男子一覧表!L68="","",VLOOKUP(I126,男子一覧表!$B$13:$F$78,3,FALSE))</f>
        <v/>
      </c>
      <c r="N126" s="506" t="str">
        <f>IF(K126="","",男子一覧表!$A$7)</f>
        <v/>
      </c>
    </row>
    <row r="127" spans="1:16" s="228" customFormat="1" ht="13.5" customHeight="1">
      <c r="A127" s="1578" t="s">
        <v>501</v>
      </c>
      <c r="B127" s="1579"/>
      <c r="C127" s="1580" t="str">
        <f>男子一覧表!Y69</f>
        <v/>
      </c>
      <c r="D127" s="1579"/>
      <c r="E127" s="227" t="s">
        <v>511</v>
      </c>
      <c r="F127" s="1581">
        <f>男子一覧表!J69</f>
        <v>0</v>
      </c>
      <c r="G127" s="1582"/>
      <c r="H127" s="1578" t="s">
        <v>501</v>
      </c>
      <c r="I127" s="1579"/>
      <c r="J127" s="1580" t="str">
        <f>男子一覧表!Z69</f>
        <v/>
      </c>
      <c r="K127" s="1579"/>
      <c r="L127" s="227" t="s">
        <v>511</v>
      </c>
      <c r="M127" s="1581">
        <f>男子一覧表!M69</f>
        <v>0</v>
      </c>
      <c r="N127" s="1582"/>
      <c r="P127" s="233"/>
    </row>
    <row r="128" spans="1:16" s="228" customFormat="1" ht="10.5">
      <c r="A128" s="229" t="s">
        <v>542</v>
      </c>
      <c r="B128" s="1585" t="s">
        <v>543</v>
      </c>
      <c r="C128" s="1585"/>
      <c r="D128" s="1589" t="s">
        <v>544</v>
      </c>
      <c r="E128" s="1589"/>
      <c r="F128" s="230" t="s">
        <v>545</v>
      </c>
      <c r="G128" s="232" t="s">
        <v>546</v>
      </c>
      <c r="H128" s="231" t="s">
        <v>542</v>
      </c>
      <c r="I128" s="1585" t="s">
        <v>543</v>
      </c>
      <c r="J128" s="1585"/>
      <c r="K128" s="1589" t="s">
        <v>544</v>
      </c>
      <c r="L128" s="1589"/>
      <c r="M128" s="230" t="s">
        <v>545</v>
      </c>
      <c r="N128" s="232" t="s">
        <v>546</v>
      </c>
    </row>
    <row r="129" spans="1:14" s="510" customFormat="1" ht="24.95" customHeight="1">
      <c r="A129" s="508" t="s">
        <v>509</v>
      </c>
      <c r="B129" s="1586">
        <f>男子一覧表!B69</f>
        <v>0</v>
      </c>
      <c r="C129" s="1587"/>
      <c r="D129" s="1576" t="str">
        <f>IF(男子一覧表!B69="","",VLOOKUP(B129,男子一覧表!$B$13:$F$78,2,FALSE))</f>
        <v/>
      </c>
      <c r="E129" s="1577"/>
      <c r="F129" s="505" t="str">
        <f>IF(男子一覧表!B69="","",VLOOKUP(B129,男子一覧表!$B$13:$F$78,3,FALSE))</f>
        <v/>
      </c>
      <c r="G129" s="506" t="str">
        <f>IF(D129="","",男子一覧表!$A$7)</f>
        <v/>
      </c>
      <c r="H129" s="509" t="s">
        <v>509</v>
      </c>
      <c r="I129" s="1586" t="str">
        <f>IF(男子一覧表!L69="","",男子一覧表!B69)</f>
        <v/>
      </c>
      <c r="J129" s="1587"/>
      <c r="K129" s="1576" t="str">
        <f>IF(男子一覧表!L69="","",VLOOKUP(I129,男子一覧表!$B$13:$F$78,2,FALSE))</f>
        <v/>
      </c>
      <c r="L129" s="1577"/>
      <c r="M129" s="505" t="str">
        <f>IF(男子一覧表!L69="","",VLOOKUP(I129,男子一覧表!$B$13:$F$78,3,FALSE))</f>
        <v/>
      </c>
      <c r="N129" s="506" t="str">
        <f>IF(K129="","",男子一覧表!$A$7)</f>
        <v/>
      </c>
    </row>
    <row r="130" spans="1:14" s="228" customFormat="1" ht="13.5" customHeight="1">
      <c r="A130" s="1578" t="s">
        <v>501</v>
      </c>
      <c r="B130" s="1579"/>
      <c r="C130" s="1580" t="str">
        <f>男子一覧表!Y70</f>
        <v/>
      </c>
      <c r="D130" s="1579"/>
      <c r="E130" s="227" t="s">
        <v>511</v>
      </c>
      <c r="F130" s="1581">
        <f>男子一覧表!J70</f>
        <v>0</v>
      </c>
      <c r="G130" s="1582"/>
      <c r="H130" s="1578" t="s">
        <v>501</v>
      </c>
      <c r="I130" s="1579"/>
      <c r="J130" s="1580" t="str">
        <f>男子一覧表!Z70</f>
        <v/>
      </c>
      <c r="K130" s="1579"/>
      <c r="L130" s="227" t="s">
        <v>511</v>
      </c>
      <c r="M130" s="1581">
        <f>男子一覧表!M70</f>
        <v>0</v>
      </c>
      <c r="N130" s="1582"/>
    </row>
    <row r="131" spans="1:14" s="228" customFormat="1" ht="10.5">
      <c r="A131" s="229" t="s">
        <v>542</v>
      </c>
      <c r="B131" s="1585" t="s">
        <v>543</v>
      </c>
      <c r="C131" s="1585"/>
      <c r="D131" s="1589" t="s">
        <v>544</v>
      </c>
      <c r="E131" s="1589"/>
      <c r="F131" s="230" t="s">
        <v>545</v>
      </c>
      <c r="G131" s="232" t="s">
        <v>546</v>
      </c>
      <c r="H131" s="231" t="s">
        <v>542</v>
      </c>
      <c r="I131" s="1585" t="s">
        <v>543</v>
      </c>
      <c r="J131" s="1585"/>
      <c r="K131" s="1589" t="s">
        <v>544</v>
      </c>
      <c r="L131" s="1589"/>
      <c r="M131" s="230" t="s">
        <v>545</v>
      </c>
      <c r="N131" s="232" t="s">
        <v>546</v>
      </c>
    </row>
    <row r="132" spans="1:14" s="510" customFormat="1" ht="24.95" customHeight="1">
      <c r="A132" s="508" t="s">
        <v>509</v>
      </c>
      <c r="B132" s="1586">
        <f>男子一覧表!B70</f>
        <v>0</v>
      </c>
      <c r="C132" s="1587"/>
      <c r="D132" s="1576" t="str">
        <f>IF(男子一覧表!B70="","",VLOOKUP(B132,男子一覧表!$B$13:$F$78,2,FALSE))</f>
        <v/>
      </c>
      <c r="E132" s="1577"/>
      <c r="F132" s="505" t="str">
        <f>IF(男子一覧表!B70="","",VLOOKUP(B132,男子一覧表!$B$13:$F$78,3,FALSE))</f>
        <v/>
      </c>
      <c r="G132" s="506" t="str">
        <f>IF(D132="","",男子一覧表!$A$7)</f>
        <v/>
      </c>
      <c r="H132" s="509" t="s">
        <v>509</v>
      </c>
      <c r="I132" s="1586" t="str">
        <f>IF(男子一覧表!L70="","",男子一覧表!B70)</f>
        <v/>
      </c>
      <c r="J132" s="1587"/>
      <c r="K132" s="1576" t="str">
        <f>IF(男子一覧表!L70="","",VLOOKUP(I132,男子一覧表!$B$13:$F$78,2,FALSE))</f>
        <v/>
      </c>
      <c r="L132" s="1577"/>
      <c r="M132" s="505" t="str">
        <f>IF(男子一覧表!L70="","",VLOOKUP(I132,男子一覧表!$B$13:$F$78,3,FALSE))</f>
        <v/>
      </c>
      <c r="N132" s="506" t="str">
        <f>IF(K132="","",男子一覧表!$A$7)</f>
        <v/>
      </c>
    </row>
    <row r="133" spans="1:14" s="228" customFormat="1" ht="13.5" customHeight="1">
      <c r="A133" s="1578" t="s">
        <v>501</v>
      </c>
      <c r="B133" s="1579"/>
      <c r="C133" s="1580" t="str">
        <f>男子一覧表!Y71</f>
        <v/>
      </c>
      <c r="D133" s="1579"/>
      <c r="E133" s="227" t="s">
        <v>511</v>
      </c>
      <c r="F133" s="1581">
        <f>男子一覧表!J71</f>
        <v>0</v>
      </c>
      <c r="G133" s="1582"/>
      <c r="H133" s="1578" t="s">
        <v>501</v>
      </c>
      <c r="I133" s="1579"/>
      <c r="J133" s="1580" t="str">
        <f>男子一覧表!Z71</f>
        <v/>
      </c>
      <c r="K133" s="1579"/>
      <c r="L133" s="227" t="s">
        <v>511</v>
      </c>
      <c r="M133" s="1581">
        <f>男子一覧表!M71</f>
        <v>0</v>
      </c>
      <c r="N133" s="1582"/>
    </row>
    <row r="134" spans="1:14" s="228" customFormat="1" ht="10.5">
      <c r="A134" s="229" t="s">
        <v>542</v>
      </c>
      <c r="B134" s="1585" t="s">
        <v>543</v>
      </c>
      <c r="C134" s="1585"/>
      <c r="D134" s="1589" t="s">
        <v>544</v>
      </c>
      <c r="E134" s="1589"/>
      <c r="F134" s="230" t="s">
        <v>545</v>
      </c>
      <c r="G134" s="232" t="s">
        <v>546</v>
      </c>
      <c r="H134" s="231" t="s">
        <v>542</v>
      </c>
      <c r="I134" s="1585" t="s">
        <v>543</v>
      </c>
      <c r="J134" s="1585"/>
      <c r="K134" s="1589" t="s">
        <v>544</v>
      </c>
      <c r="L134" s="1589"/>
      <c r="M134" s="230" t="s">
        <v>545</v>
      </c>
      <c r="N134" s="232" t="s">
        <v>546</v>
      </c>
    </row>
    <row r="135" spans="1:14" s="510" customFormat="1" ht="24.95" customHeight="1">
      <c r="A135" s="508" t="s">
        <v>509</v>
      </c>
      <c r="B135" s="1586">
        <f>男子一覧表!B71</f>
        <v>0</v>
      </c>
      <c r="C135" s="1587"/>
      <c r="D135" s="1576" t="str">
        <f>IF(男子一覧表!B71="","",VLOOKUP(B135,男子一覧表!$B$13:$F$78,2,FALSE))</f>
        <v/>
      </c>
      <c r="E135" s="1577"/>
      <c r="F135" s="505" t="str">
        <f>IF(男子一覧表!B71="","",VLOOKUP(B135,男子一覧表!$B$13:$F$78,3,FALSE))</f>
        <v/>
      </c>
      <c r="G135" s="506" t="str">
        <f>IF(D135="","",男子一覧表!$A$7)</f>
        <v/>
      </c>
      <c r="H135" s="509" t="s">
        <v>509</v>
      </c>
      <c r="I135" s="1586" t="str">
        <f>IF(男子一覧表!L71="","",男子一覧表!B71)</f>
        <v/>
      </c>
      <c r="J135" s="1587"/>
      <c r="K135" s="1576" t="str">
        <f>IF(男子一覧表!L71="","",VLOOKUP(I135,男子一覧表!$B$13:$F$78,2,FALSE))</f>
        <v/>
      </c>
      <c r="L135" s="1577"/>
      <c r="M135" s="505" t="str">
        <f>IF(男子一覧表!L71="","",VLOOKUP(I135,男子一覧表!$B$13:$F$78,3,FALSE))</f>
        <v/>
      </c>
      <c r="N135" s="506" t="str">
        <f>IF(K135="","",男子一覧表!$A$7)</f>
        <v/>
      </c>
    </row>
    <row r="136" spans="1:14" s="228" customFormat="1" ht="13.5" customHeight="1">
      <c r="A136" s="1578" t="s">
        <v>501</v>
      </c>
      <c r="B136" s="1579"/>
      <c r="C136" s="1580" t="str">
        <f>男子一覧表!Y72</f>
        <v/>
      </c>
      <c r="D136" s="1579"/>
      <c r="E136" s="227" t="s">
        <v>511</v>
      </c>
      <c r="F136" s="1581">
        <f>男子一覧表!J72</f>
        <v>0</v>
      </c>
      <c r="G136" s="1582"/>
      <c r="H136" s="1578" t="s">
        <v>501</v>
      </c>
      <c r="I136" s="1579"/>
      <c r="J136" s="1580" t="str">
        <f>男子一覧表!Z72</f>
        <v/>
      </c>
      <c r="K136" s="1579"/>
      <c r="L136" s="227" t="s">
        <v>511</v>
      </c>
      <c r="M136" s="1581">
        <f>男子一覧表!M72</f>
        <v>0</v>
      </c>
      <c r="N136" s="1582"/>
    </row>
    <row r="137" spans="1:14" s="228" customFormat="1" ht="10.5">
      <c r="A137" s="229" t="s">
        <v>542</v>
      </c>
      <c r="B137" s="1585" t="s">
        <v>543</v>
      </c>
      <c r="C137" s="1585"/>
      <c r="D137" s="1589" t="s">
        <v>544</v>
      </c>
      <c r="E137" s="1589"/>
      <c r="F137" s="230" t="s">
        <v>545</v>
      </c>
      <c r="G137" s="232" t="s">
        <v>546</v>
      </c>
      <c r="H137" s="231" t="s">
        <v>542</v>
      </c>
      <c r="I137" s="1585" t="s">
        <v>543</v>
      </c>
      <c r="J137" s="1585"/>
      <c r="K137" s="1589" t="s">
        <v>544</v>
      </c>
      <c r="L137" s="1589"/>
      <c r="M137" s="230" t="s">
        <v>545</v>
      </c>
      <c r="N137" s="232" t="s">
        <v>546</v>
      </c>
    </row>
    <row r="138" spans="1:14" s="510" customFormat="1" ht="24.95" customHeight="1">
      <c r="A138" s="508" t="s">
        <v>509</v>
      </c>
      <c r="B138" s="1586">
        <f>男子一覧表!B72</f>
        <v>0</v>
      </c>
      <c r="C138" s="1587"/>
      <c r="D138" s="1576" t="str">
        <f>IF(男子一覧表!B72="","",VLOOKUP(B138,男子一覧表!$B$13:$F$78,2,FALSE))</f>
        <v/>
      </c>
      <c r="E138" s="1577"/>
      <c r="F138" s="505" t="str">
        <f>IF(男子一覧表!B72="","",VLOOKUP(B138,男子一覧表!$B$13:$F$78,3,FALSE))</f>
        <v/>
      </c>
      <c r="G138" s="506" t="str">
        <f>IF(D138="","",男子一覧表!$A$7)</f>
        <v/>
      </c>
      <c r="H138" s="509" t="s">
        <v>509</v>
      </c>
      <c r="I138" s="1586" t="str">
        <f>IF(男子一覧表!L72="","",男子一覧表!B72)</f>
        <v/>
      </c>
      <c r="J138" s="1587"/>
      <c r="K138" s="1576" t="str">
        <f>IF(男子一覧表!L72="","",VLOOKUP(I138,男子一覧表!$B$13:$F$78,2,FALSE))</f>
        <v/>
      </c>
      <c r="L138" s="1577"/>
      <c r="M138" s="505" t="str">
        <f>IF(男子一覧表!L72="","",VLOOKUP(I138,男子一覧表!$B$13:$F$78,3,FALSE))</f>
        <v/>
      </c>
      <c r="N138" s="506" t="str">
        <f>IF(K138="","",男子一覧表!$A$7)</f>
        <v/>
      </c>
    </row>
    <row r="139" spans="1:14" s="228" customFormat="1" ht="13.5" customHeight="1">
      <c r="A139" s="1578" t="s">
        <v>501</v>
      </c>
      <c r="B139" s="1579"/>
      <c r="C139" s="1580" t="str">
        <f>男子一覧表!Y73</f>
        <v/>
      </c>
      <c r="D139" s="1579"/>
      <c r="E139" s="227" t="s">
        <v>511</v>
      </c>
      <c r="F139" s="1581">
        <f>男子一覧表!J73</f>
        <v>0</v>
      </c>
      <c r="G139" s="1582"/>
      <c r="H139" s="1578" t="s">
        <v>501</v>
      </c>
      <c r="I139" s="1579"/>
      <c r="J139" s="1580" t="str">
        <f>男子一覧表!Z73</f>
        <v/>
      </c>
      <c r="K139" s="1579"/>
      <c r="L139" s="227" t="s">
        <v>511</v>
      </c>
      <c r="M139" s="1581">
        <f>男子一覧表!M73</f>
        <v>0</v>
      </c>
      <c r="N139" s="1582"/>
    </row>
    <row r="140" spans="1:14" s="228" customFormat="1" ht="10.5">
      <c r="A140" s="229" t="s">
        <v>542</v>
      </c>
      <c r="B140" s="1585" t="s">
        <v>543</v>
      </c>
      <c r="C140" s="1585"/>
      <c r="D140" s="1589" t="s">
        <v>544</v>
      </c>
      <c r="E140" s="1589"/>
      <c r="F140" s="230" t="s">
        <v>545</v>
      </c>
      <c r="G140" s="232" t="s">
        <v>546</v>
      </c>
      <c r="H140" s="231" t="s">
        <v>542</v>
      </c>
      <c r="I140" s="1585" t="s">
        <v>543</v>
      </c>
      <c r="J140" s="1585"/>
      <c r="K140" s="1589" t="s">
        <v>544</v>
      </c>
      <c r="L140" s="1589"/>
      <c r="M140" s="230" t="s">
        <v>545</v>
      </c>
      <c r="N140" s="232" t="s">
        <v>546</v>
      </c>
    </row>
    <row r="141" spans="1:14" s="510" customFormat="1" ht="24.95" customHeight="1">
      <c r="A141" s="508" t="s">
        <v>509</v>
      </c>
      <c r="B141" s="1586">
        <f>男子一覧表!B73</f>
        <v>0</v>
      </c>
      <c r="C141" s="1587"/>
      <c r="D141" s="1576" t="str">
        <f>IF(男子一覧表!B73="","",VLOOKUP(B141,男子一覧表!$B$13:$F$78,2,FALSE))</f>
        <v/>
      </c>
      <c r="E141" s="1577"/>
      <c r="F141" s="505" t="str">
        <f>IF(男子一覧表!B73="","",VLOOKUP(B141,男子一覧表!$B$13:$F$78,3,FALSE))</f>
        <v/>
      </c>
      <c r="G141" s="506" t="str">
        <f>IF(D141="","",男子一覧表!$A$7)</f>
        <v/>
      </c>
      <c r="H141" s="509" t="s">
        <v>509</v>
      </c>
      <c r="I141" s="1586" t="str">
        <f>IF(男子一覧表!L73="","",男子一覧表!B73)</f>
        <v/>
      </c>
      <c r="J141" s="1587"/>
      <c r="K141" s="1576" t="str">
        <f>IF(男子一覧表!L73="","",VLOOKUP(I141,男子一覧表!$B$13:$F$78,2,FALSE))</f>
        <v/>
      </c>
      <c r="L141" s="1577"/>
      <c r="M141" s="505" t="str">
        <f>IF(男子一覧表!L73="","",VLOOKUP(I141,男子一覧表!$B$13:$F$78,3,FALSE))</f>
        <v/>
      </c>
      <c r="N141" s="506" t="str">
        <f>IF(K141="","",男子一覧表!$A$7)</f>
        <v/>
      </c>
    </row>
    <row r="142" spans="1:14" s="228" customFormat="1" ht="13.5" customHeight="1">
      <c r="A142" s="1578" t="s">
        <v>501</v>
      </c>
      <c r="B142" s="1579"/>
      <c r="C142" s="1580" t="str">
        <f>男子一覧表!Y74</f>
        <v/>
      </c>
      <c r="D142" s="1579"/>
      <c r="E142" s="227" t="s">
        <v>511</v>
      </c>
      <c r="F142" s="1581">
        <f>男子一覧表!J74</f>
        <v>0</v>
      </c>
      <c r="G142" s="1582"/>
      <c r="H142" s="1578" t="s">
        <v>501</v>
      </c>
      <c r="I142" s="1579"/>
      <c r="J142" s="1580" t="str">
        <f>男子一覧表!Z74</f>
        <v/>
      </c>
      <c r="K142" s="1579"/>
      <c r="L142" s="227" t="s">
        <v>511</v>
      </c>
      <c r="M142" s="1581">
        <f>男子一覧表!M74</f>
        <v>0</v>
      </c>
      <c r="N142" s="1582"/>
    </row>
    <row r="143" spans="1:14" s="228" customFormat="1" ht="10.5">
      <c r="A143" s="229" t="s">
        <v>542</v>
      </c>
      <c r="B143" s="1585" t="s">
        <v>543</v>
      </c>
      <c r="C143" s="1585"/>
      <c r="D143" s="1589" t="s">
        <v>544</v>
      </c>
      <c r="E143" s="1589"/>
      <c r="F143" s="230" t="s">
        <v>545</v>
      </c>
      <c r="G143" s="232" t="s">
        <v>546</v>
      </c>
      <c r="H143" s="231" t="s">
        <v>542</v>
      </c>
      <c r="I143" s="1585" t="s">
        <v>543</v>
      </c>
      <c r="J143" s="1585"/>
      <c r="K143" s="1589" t="s">
        <v>544</v>
      </c>
      <c r="L143" s="1589"/>
      <c r="M143" s="230" t="s">
        <v>545</v>
      </c>
      <c r="N143" s="232" t="s">
        <v>546</v>
      </c>
    </row>
    <row r="144" spans="1:14" s="510" customFormat="1" ht="24.95" customHeight="1">
      <c r="A144" s="508" t="s">
        <v>509</v>
      </c>
      <c r="B144" s="1586">
        <f>男子一覧表!B74</f>
        <v>0</v>
      </c>
      <c r="C144" s="1587"/>
      <c r="D144" s="1576" t="str">
        <f>IF(男子一覧表!B74="","",VLOOKUP(B144,男子一覧表!$B$13:$F$78,2,FALSE))</f>
        <v/>
      </c>
      <c r="E144" s="1577"/>
      <c r="F144" s="505" t="str">
        <f>IF(男子一覧表!B74="","",VLOOKUP(B144,男子一覧表!$B$13:$F$78,3,FALSE))</f>
        <v/>
      </c>
      <c r="G144" s="506" t="str">
        <f>IF(D144="","",男子一覧表!$A$7)</f>
        <v/>
      </c>
      <c r="H144" s="509" t="s">
        <v>509</v>
      </c>
      <c r="I144" s="1586" t="str">
        <f>IF(男子一覧表!L74="","",男子一覧表!B74)</f>
        <v/>
      </c>
      <c r="J144" s="1587"/>
      <c r="K144" s="1576" t="str">
        <f>IF(男子一覧表!L74="","",VLOOKUP(I144,男子一覧表!$B$13:$F$78,2,FALSE))</f>
        <v/>
      </c>
      <c r="L144" s="1577"/>
      <c r="M144" s="505" t="str">
        <f>IF(男子一覧表!L74="","",VLOOKUP(I144,男子一覧表!$B$13:$F$78,3,FALSE))</f>
        <v/>
      </c>
      <c r="N144" s="506" t="str">
        <f>IF(K144="","",男子一覧表!$A$7)</f>
        <v/>
      </c>
    </row>
    <row r="145" spans="1:24" s="228" customFormat="1" ht="13.5" customHeight="1">
      <c r="A145" s="1578" t="s">
        <v>501</v>
      </c>
      <c r="B145" s="1579"/>
      <c r="C145" s="1580" t="str">
        <f>男子一覧表!Y75</f>
        <v/>
      </c>
      <c r="D145" s="1579"/>
      <c r="E145" s="227" t="s">
        <v>511</v>
      </c>
      <c r="F145" s="1581">
        <f>男子一覧表!J75</f>
        <v>0</v>
      </c>
      <c r="G145" s="1582"/>
      <c r="H145" s="1578" t="s">
        <v>501</v>
      </c>
      <c r="I145" s="1579"/>
      <c r="J145" s="1580" t="str">
        <f>男子一覧表!Z75</f>
        <v/>
      </c>
      <c r="K145" s="1579"/>
      <c r="L145" s="227" t="s">
        <v>511</v>
      </c>
      <c r="M145" s="1581">
        <f>男子一覧表!M75</f>
        <v>0</v>
      </c>
      <c r="N145" s="1582"/>
    </row>
    <row r="146" spans="1:24" s="228" customFormat="1" ht="10.5">
      <c r="A146" s="229" t="s">
        <v>542</v>
      </c>
      <c r="B146" s="1583" t="s">
        <v>543</v>
      </c>
      <c r="C146" s="1584"/>
      <c r="D146" s="1590" t="s">
        <v>544</v>
      </c>
      <c r="E146" s="1591"/>
      <c r="F146" s="230" t="s">
        <v>545</v>
      </c>
      <c r="G146" s="232" t="s">
        <v>546</v>
      </c>
      <c r="H146" s="231" t="s">
        <v>542</v>
      </c>
      <c r="I146" s="1583" t="s">
        <v>543</v>
      </c>
      <c r="J146" s="1584"/>
      <c r="K146" s="1590" t="s">
        <v>544</v>
      </c>
      <c r="L146" s="1591"/>
      <c r="M146" s="230" t="s">
        <v>545</v>
      </c>
      <c r="N146" s="232" t="s">
        <v>546</v>
      </c>
    </row>
    <row r="147" spans="1:24" s="510" customFormat="1" ht="24.95" customHeight="1">
      <c r="A147" s="508" t="s">
        <v>509</v>
      </c>
      <c r="B147" s="1586">
        <f>男子一覧表!B75</f>
        <v>0</v>
      </c>
      <c r="C147" s="1587"/>
      <c r="D147" s="1576" t="str">
        <f>IF(男子一覧表!B75="","",VLOOKUP(B147,男子一覧表!$B$13:$F$78,2,FALSE))</f>
        <v/>
      </c>
      <c r="E147" s="1577"/>
      <c r="F147" s="505" t="str">
        <f>IF(男子一覧表!B75="","",VLOOKUP(B147,男子一覧表!$B$13:$F$78,3,FALSE))</f>
        <v/>
      </c>
      <c r="G147" s="506" t="str">
        <f>IF(D147="","",男子一覧表!$A$7)</f>
        <v/>
      </c>
      <c r="H147" s="509" t="s">
        <v>509</v>
      </c>
      <c r="I147" s="1586" t="str">
        <f>IF(男子一覧表!L75="","",男子一覧表!B75)</f>
        <v/>
      </c>
      <c r="J147" s="1587"/>
      <c r="K147" s="1576" t="str">
        <f>IF(男子一覧表!L75="","",VLOOKUP(I147,男子一覧表!$B$13:$F$78,2,FALSE))</f>
        <v/>
      </c>
      <c r="L147" s="1577"/>
      <c r="M147" s="505" t="str">
        <f>IF(男子一覧表!L75="","",VLOOKUP(I147,男子一覧表!$B$13:$F$78,3,FALSE))</f>
        <v/>
      </c>
      <c r="N147" s="506" t="str">
        <f>IF(K147="","",男子一覧表!$A$7)</f>
        <v/>
      </c>
    </row>
    <row r="148" spans="1:24" s="228" customFormat="1" ht="13.5" customHeight="1">
      <c r="A148" s="1578" t="s">
        <v>501</v>
      </c>
      <c r="B148" s="1579"/>
      <c r="C148" s="1580" t="str">
        <f>男子一覧表!Y76</f>
        <v/>
      </c>
      <c r="D148" s="1579"/>
      <c r="E148" s="227" t="s">
        <v>511</v>
      </c>
      <c r="F148" s="1581">
        <f>男子一覧表!J76</f>
        <v>0</v>
      </c>
      <c r="G148" s="1582"/>
      <c r="H148" s="1578" t="s">
        <v>501</v>
      </c>
      <c r="I148" s="1579"/>
      <c r="J148" s="1580" t="str">
        <f>男子一覧表!Z76</f>
        <v/>
      </c>
      <c r="K148" s="1579"/>
      <c r="L148" s="227" t="s">
        <v>511</v>
      </c>
      <c r="M148" s="1581">
        <f>男子一覧表!M76</f>
        <v>0</v>
      </c>
      <c r="N148" s="1582"/>
    </row>
    <row r="149" spans="1:24" s="228" customFormat="1" ht="10.5">
      <c r="A149" s="229" t="s">
        <v>542</v>
      </c>
      <c r="B149" s="1585" t="s">
        <v>543</v>
      </c>
      <c r="C149" s="1585"/>
      <c r="D149" s="1589" t="s">
        <v>544</v>
      </c>
      <c r="E149" s="1589"/>
      <c r="F149" s="230" t="s">
        <v>545</v>
      </c>
      <c r="G149" s="232" t="s">
        <v>546</v>
      </c>
      <c r="H149" s="231" t="s">
        <v>542</v>
      </c>
      <c r="I149" s="1585" t="s">
        <v>543</v>
      </c>
      <c r="J149" s="1585"/>
      <c r="K149" s="1589" t="s">
        <v>544</v>
      </c>
      <c r="L149" s="1589"/>
      <c r="M149" s="230" t="s">
        <v>545</v>
      </c>
      <c r="N149" s="232" t="s">
        <v>546</v>
      </c>
    </row>
    <row r="150" spans="1:24" s="510" customFormat="1" ht="24.95" customHeight="1">
      <c r="A150" s="508" t="s">
        <v>509</v>
      </c>
      <c r="B150" s="1586">
        <f>男子一覧表!B76</f>
        <v>0</v>
      </c>
      <c r="C150" s="1587"/>
      <c r="D150" s="1576" t="str">
        <f>IF(男子一覧表!B76="","",VLOOKUP(B150,男子一覧表!$B$13:$F$78,2,FALSE))</f>
        <v/>
      </c>
      <c r="E150" s="1577"/>
      <c r="F150" s="505" t="str">
        <f>IF(男子一覧表!B76="","",VLOOKUP(B150,男子一覧表!$B$13:$F$78,3,FALSE))</f>
        <v/>
      </c>
      <c r="G150" s="506" t="str">
        <f>IF(D150="","",男子一覧表!$A$7)</f>
        <v/>
      </c>
      <c r="H150" s="509" t="s">
        <v>509</v>
      </c>
      <c r="I150" s="1586" t="str">
        <f>IF(男子一覧表!L76="","",男子一覧表!B76)</f>
        <v/>
      </c>
      <c r="J150" s="1587"/>
      <c r="K150" s="1576" t="str">
        <f>IF(男子一覧表!L76="","",VLOOKUP(I150,男子一覧表!$B$13:$F$78,2,FALSE))</f>
        <v/>
      </c>
      <c r="L150" s="1577"/>
      <c r="M150" s="505" t="str">
        <f>IF(男子一覧表!L76="","",VLOOKUP(I150,男子一覧表!$B$13:$F$78,3,FALSE))</f>
        <v/>
      </c>
      <c r="N150" s="506" t="str">
        <f>IF(K150="","",男子一覧表!$A$7)</f>
        <v/>
      </c>
    </row>
    <row r="151" spans="1:24" s="228" customFormat="1" ht="13.5" customHeight="1">
      <c r="A151" s="1578" t="s">
        <v>501</v>
      </c>
      <c r="B151" s="1579"/>
      <c r="C151" s="1580" t="str">
        <f>男子一覧表!Y77</f>
        <v/>
      </c>
      <c r="D151" s="1579"/>
      <c r="E151" s="227" t="s">
        <v>511</v>
      </c>
      <c r="F151" s="1581">
        <f>男子一覧表!J77</f>
        <v>0</v>
      </c>
      <c r="G151" s="1582"/>
      <c r="H151" s="1578" t="s">
        <v>501</v>
      </c>
      <c r="I151" s="1579"/>
      <c r="J151" s="1580" t="str">
        <f>男子一覧表!Z77</f>
        <v/>
      </c>
      <c r="K151" s="1579"/>
      <c r="L151" s="227" t="s">
        <v>511</v>
      </c>
      <c r="M151" s="1581">
        <f>男子一覧表!M77</f>
        <v>0</v>
      </c>
      <c r="N151" s="1582"/>
    </row>
    <row r="152" spans="1:24" s="228" customFormat="1" ht="10.5">
      <c r="A152" s="229" t="s">
        <v>542</v>
      </c>
      <c r="B152" s="1585" t="s">
        <v>543</v>
      </c>
      <c r="C152" s="1585"/>
      <c r="D152" s="1589" t="s">
        <v>544</v>
      </c>
      <c r="E152" s="1589"/>
      <c r="F152" s="230" t="s">
        <v>545</v>
      </c>
      <c r="G152" s="232" t="s">
        <v>546</v>
      </c>
      <c r="H152" s="231" t="s">
        <v>542</v>
      </c>
      <c r="I152" s="1585" t="s">
        <v>543</v>
      </c>
      <c r="J152" s="1585"/>
      <c r="K152" s="1589" t="s">
        <v>544</v>
      </c>
      <c r="L152" s="1589"/>
      <c r="M152" s="230" t="s">
        <v>545</v>
      </c>
      <c r="N152" s="232" t="s">
        <v>546</v>
      </c>
    </row>
    <row r="153" spans="1:24" s="510" customFormat="1" ht="24.95" customHeight="1">
      <c r="A153" s="508" t="s">
        <v>509</v>
      </c>
      <c r="B153" s="1586">
        <f>男子一覧表!B77</f>
        <v>0</v>
      </c>
      <c r="C153" s="1587"/>
      <c r="D153" s="1576" t="str">
        <f>IF(男子一覧表!B77="","",VLOOKUP(B153,男子一覧表!$B$13:$F$78,2,FALSE))</f>
        <v/>
      </c>
      <c r="E153" s="1577"/>
      <c r="F153" s="505" t="str">
        <f>IF(男子一覧表!B77="","",VLOOKUP(B153,男子一覧表!$B$13:$F$78,3,FALSE))</f>
        <v/>
      </c>
      <c r="G153" s="506" t="str">
        <f>IF(D153="","",男子一覧表!$A$7)</f>
        <v/>
      </c>
      <c r="H153" s="509" t="s">
        <v>509</v>
      </c>
      <c r="I153" s="1586" t="str">
        <f>IF(男子一覧表!L77="","",男子一覧表!B77)</f>
        <v/>
      </c>
      <c r="J153" s="1587"/>
      <c r="K153" s="1576" t="str">
        <f>IF(男子一覧表!L77="","",VLOOKUP(I153,男子一覧表!$B$13:$F$78,2,FALSE))</f>
        <v/>
      </c>
      <c r="L153" s="1577"/>
      <c r="M153" s="505" t="str">
        <f>IF(男子一覧表!L77="","",VLOOKUP(I153,男子一覧表!$B$13:$F$78,3,FALSE))</f>
        <v/>
      </c>
      <c r="N153" s="506" t="str">
        <f>IF(K153="","",男子一覧表!$A$7)</f>
        <v/>
      </c>
    </row>
    <row r="154" spans="1:24" s="228" customFormat="1" ht="13.5" customHeight="1">
      <c r="A154" s="1578" t="s">
        <v>501</v>
      </c>
      <c r="B154" s="1579"/>
      <c r="C154" s="1580" t="str">
        <f>男子一覧表!Y78</f>
        <v/>
      </c>
      <c r="D154" s="1579"/>
      <c r="E154" s="227" t="s">
        <v>511</v>
      </c>
      <c r="F154" s="1581">
        <f>男子一覧表!J78</f>
        <v>0</v>
      </c>
      <c r="G154" s="1582"/>
      <c r="H154" s="1578" t="s">
        <v>501</v>
      </c>
      <c r="I154" s="1579"/>
      <c r="J154" s="1580" t="str">
        <f>男子一覧表!Z78</f>
        <v/>
      </c>
      <c r="K154" s="1579"/>
      <c r="L154" s="227" t="s">
        <v>511</v>
      </c>
      <c r="M154" s="1581">
        <f>男子一覧表!M78</f>
        <v>0</v>
      </c>
      <c r="N154" s="1582"/>
    </row>
    <row r="155" spans="1:24" s="228" customFormat="1" ht="10.5">
      <c r="A155" s="229" t="s">
        <v>542</v>
      </c>
      <c r="B155" s="1583" t="s">
        <v>543</v>
      </c>
      <c r="C155" s="1584"/>
      <c r="D155" s="1590" t="s">
        <v>544</v>
      </c>
      <c r="E155" s="1591"/>
      <c r="F155" s="230" t="s">
        <v>545</v>
      </c>
      <c r="G155" s="232" t="s">
        <v>546</v>
      </c>
      <c r="H155" s="231" t="s">
        <v>542</v>
      </c>
      <c r="I155" s="1583" t="s">
        <v>543</v>
      </c>
      <c r="J155" s="1584"/>
      <c r="K155" s="1590" t="s">
        <v>544</v>
      </c>
      <c r="L155" s="1591"/>
      <c r="M155" s="230" t="s">
        <v>545</v>
      </c>
      <c r="N155" s="232" t="s">
        <v>546</v>
      </c>
    </row>
    <row r="156" spans="1:24" s="510" customFormat="1" ht="24.95" customHeight="1">
      <c r="A156" s="508" t="s">
        <v>509</v>
      </c>
      <c r="B156" s="1586">
        <f>男子一覧表!B78</f>
        <v>0</v>
      </c>
      <c r="C156" s="1587"/>
      <c r="D156" s="1576" t="str">
        <f>IF(男子一覧表!B78="","",VLOOKUP(B156,男子一覧表!$B$13:$F$78,2,FALSE))</f>
        <v/>
      </c>
      <c r="E156" s="1577"/>
      <c r="F156" s="505" t="str">
        <f>IF(男子一覧表!B78="","",VLOOKUP(B156,男子一覧表!$B$13:$F$78,3,FALSE))</f>
        <v/>
      </c>
      <c r="G156" s="506" t="str">
        <f>IF(D156="","",男子一覧表!$A$7)</f>
        <v/>
      </c>
      <c r="H156" s="509" t="s">
        <v>509</v>
      </c>
      <c r="I156" s="1586" t="str">
        <f>IF(男子一覧表!L78="","",男子一覧表!B78)</f>
        <v/>
      </c>
      <c r="J156" s="1587"/>
      <c r="K156" s="1576" t="str">
        <f>IF(男子一覧表!L78="","",VLOOKUP(I156,男子一覧表!$B$13:$F$78,2,FALSE))</f>
        <v/>
      </c>
      <c r="L156" s="1577"/>
      <c r="M156" s="505" t="str">
        <f>IF(男子一覧表!L78="","",VLOOKUP(I156,男子一覧表!$B$13:$F$78,3,FALSE))</f>
        <v/>
      </c>
      <c r="N156" s="506" t="str">
        <f>IF(K156="","",男子一覧表!$A$7)</f>
        <v/>
      </c>
    </row>
    <row r="157" spans="1:24" s="228" customFormat="1" ht="12" customHeight="1">
      <c r="A157" s="234"/>
      <c r="B157" s="235"/>
      <c r="C157" s="235"/>
      <c r="D157" s="236"/>
      <c r="E157" s="236"/>
      <c r="F157" s="237"/>
      <c r="G157" s="238"/>
      <c r="H157" s="234"/>
      <c r="I157" s="235"/>
      <c r="J157" s="235"/>
      <c r="K157" s="236"/>
      <c r="L157" s="236"/>
      <c r="M157" s="237"/>
      <c r="N157" s="238"/>
    </row>
    <row r="158" spans="1:24" s="228" customFormat="1" ht="12.75" customHeight="1">
      <c r="A158" s="1605" t="s">
        <v>548</v>
      </c>
      <c r="B158" s="1605"/>
      <c r="C158" s="1605"/>
      <c r="D158" s="1605"/>
      <c r="E158" s="1605"/>
      <c r="F158" s="1605"/>
      <c r="G158" s="1605"/>
      <c r="H158" s="1605"/>
      <c r="I158" s="1605"/>
      <c r="J158" s="1605"/>
      <c r="K158" s="1605"/>
      <c r="L158" s="1605"/>
      <c r="M158" s="1605"/>
      <c r="N158" s="1605"/>
    </row>
    <row r="159" spans="1:24" s="228" customFormat="1" ht="24.75" hidden="1" customHeight="1">
      <c r="A159" s="239"/>
      <c r="B159" s="240"/>
      <c r="C159" s="240"/>
      <c r="D159" s="241"/>
      <c r="E159" s="241"/>
      <c r="F159" s="242"/>
      <c r="G159" s="243"/>
      <c r="H159" s="239"/>
      <c r="I159" s="240"/>
      <c r="J159" s="240"/>
      <c r="K159" s="241"/>
      <c r="L159" s="241"/>
      <c r="M159" s="242"/>
      <c r="N159" s="243"/>
    </row>
    <row r="160" spans="1:24" s="228" customFormat="1" ht="13.5" customHeight="1">
      <c r="A160" s="1610" t="s">
        <v>501</v>
      </c>
      <c r="B160" s="1611"/>
      <c r="C160" s="1601"/>
      <c r="D160" s="1602"/>
      <c r="E160" s="565" t="s">
        <v>511</v>
      </c>
      <c r="F160" s="1603"/>
      <c r="G160" s="1604"/>
      <c r="H160" s="1610" t="s">
        <v>501</v>
      </c>
      <c r="I160" s="1611"/>
      <c r="J160" s="1601"/>
      <c r="K160" s="1602"/>
      <c r="L160" s="565" t="s">
        <v>511</v>
      </c>
      <c r="M160" s="1606"/>
      <c r="N160" s="1607"/>
      <c r="Q160" s="228" t="s">
        <v>514</v>
      </c>
      <c r="X160" s="228" t="s">
        <v>600</v>
      </c>
    </row>
    <row r="161" spans="1:24" s="244" customFormat="1" ht="13.5" customHeight="1">
      <c r="A161" s="1608" t="s">
        <v>546</v>
      </c>
      <c r="B161" s="1609"/>
      <c r="C161" s="1609"/>
      <c r="D161" s="1599">
        <f>男子一覧表!$A$7</f>
        <v>0</v>
      </c>
      <c r="E161" s="1600"/>
      <c r="F161" s="1600"/>
      <c r="G161" s="691"/>
      <c r="H161" s="1608" t="s">
        <v>546</v>
      </c>
      <c r="I161" s="1609"/>
      <c r="J161" s="1609"/>
      <c r="K161" s="1599">
        <f>男子一覧表!$A$7</f>
        <v>0</v>
      </c>
      <c r="L161" s="1600"/>
      <c r="M161" s="1600"/>
      <c r="N161" s="691"/>
      <c r="Q161" s="244" t="s">
        <v>549</v>
      </c>
      <c r="X161" s="244" t="s">
        <v>601</v>
      </c>
    </row>
    <row r="162" spans="1:24" s="228" customFormat="1" ht="12" customHeight="1">
      <c r="A162" s="1615" t="s">
        <v>509</v>
      </c>
      <c r="B162" s="1614" t="s">
        <v>550</v>
      </c>
      <c r="C162" s="1614"/>
      <c r="D162" s="1614" t="s">
        <v>551</v>
      </c>
      <c r="E162" s="1614"/>
      <c r="F162" s="1614"/>
      <c r="G162" s="566" t="s">
        <v>545</v>
      </c>
      <c r="H162" s="1618" t="s">
        <v>509</v>
      </c>
      <c r="I162" s="1614" t="s">
        <v>550</v>
      </c>
      <c r="J162" s="1614"/>
      <c r="K162" s="1614" t="s">
        <v>551</v>
      </c>
      <c r="L162" s="1614"/>
      <c r="M162" s="1614"/>
      <c r="N162" s="566" t="s">
        <v>545</v>
      </c>
      <c r="Q162" s="228" t="s">
        <v>552</v>
      </c>
      <c r="X162" s="228" t="s">
        <v>602</v>
      </c>
    </row>
    <row r="163" spans="1:24" s="510" customFormat="1" ht="20.100000000000001" customHeight="1">
      <c r="A163" s="1615"/>
      <c r="B163" s="1613"/>
      <c r="C163" s="1613"/>
      <c r="D163" s="1612" t="str">
        <f>IF(B163="","",VLOOKUP(B163,男子一覧表!$B$13:$C$78,2,FALSE))</f>
        <v/>
      </c>
      <c r="E163" s="1612"/>
      <c r="F163" s="1612"/>
      <c r="G163" s="567" t="str">
        <f>IF(B163="","",VLOOKUP(B163,男子一覧表!$B$13:$E$78,3,FALSE))</f>
        <v/>
      </c>
      <c r="H163" s="1618"/>
      <c r="I163" s="1613"/>
      <c r="J163" s="1613"/>
      <c r="K163" s="1612" t="str">
        <f>IF(I163="","",VLOOKUP(I163,男子一覧表!$B$13:$C$78,2,FALSE))</f>
        <v/>
      </c>
      <c r="L163" s="1612"/>
      <c r="M163" s="1612"/>
      <c r="N163" s="567" t="str">
        <f>IF(I163="","",VLOOKUP(I163,男子一覧表!$B$13:$E$78,3,FALSE))</f>
        <v/>
      </c>
      <c r="Q163" s="510" t="s">
        <v>626</v>
      </c>
    </row>
    <row r="164" spans="1:24" s="510" customFormat="1" ht="20.100000000000001" customHeight="1">
      <c r="A164" s="1615"/>
      <c r="B164" s="1613"/>
      <c r="C164" s="1613"/>
      <c r="D164" s="1612" t="str">
        <f>IF(B164="","",VLOOKUP(B164,男子一覧表!$B$13:$C$78,2,FALSE))</f>
        <v/>
      </c>
      <c r="E164" s="1612"/>
      <c r="F164" s="1612"/>
      <c r="G164" s="567" t="str">
        <f>IF(B164="","",VLOOKUP(B164,男子一覧表!$B$13:$E$78,3,FALSE))</f>
        <v/>
      </c>
      <c r="H164" s="1618"/>
      <c r="I164" s="1613"/>
      <c r="J164" s="1613"/>
      <c r="K164" s="1612" t="str">
        <f>IF(I164="","",VLOOKUP(I164,男子一覧表!$B$13:$C$78,2,FALSE))</f>
        <v/>
      </c>
      <c r="L164" s="1612"/>
      <c r="M164" s="1612"/>
      <c r="N164" s="567" t="str">
        <f>IF(I164="","",VLOOKUP(I164,男子一覧表!$B$13:$E$78,3,FALSE))</f>
        <v/>
      </c>
      <c r="Q164" s="510" t="s">
        <v>627</v>
      </c>
    </row>
    <row r="165" spans="1:24" s="510" customFormat="1" ht="20.100000000000001" customHeight="1">
      <c r="A165" s="1615"/>
      <c r="B165" s="1613"/>
      <c r="C165" s="1613"/>
      <c r="D165" s="1612" t="str">
        <f>IF(B165="","",VLOOKUP(B165,男子一覧表!$B$13:$C$78,2,FALSE))</f>
        <v/>
      </c>
      <c r="E165" s="1612"/>
      <c r="F165" s="1612"/>
      <c r="G165" s="567" t="str">
        <f>IF(B165="","",VLOOKUP(B165,男子一覧表!$B$13:$E$78,3,FALSE))</f>
        <v/>
      </c>
      <c r="H165" s="1618"/>
      <c r="I165" s="1613"/>
      <c r="J165" s="1613"/>
      <c r="K165" s="1612" t="str">
        <f>IF(I165="","",VLOOKUP(I165,男子一覧表!$B$13:$C$78,2,FALSE))</f>
        <v/>
      </c>
      <c r="L165" s="1612"/>
      <c r="M165" s="1612"/>
      <c r="N165" s="567" t="str">
        <f>IF(I165="","",VLOOKUP(I165,男子一覧表!$B$13:$E$78,3,FALSE))</f>
        <v/>
      </c>
    </row>
    <row r="166" spans="1:24" s="510" customFormat="1" ht="20.100000000000001" customHeight="1">
      <c r="A166" s="1615"/>
      <c r="B166" s="1613"/>
      <c r="C166" s="1613"/>
      <c r="D166" s="1612" t="str">
        <f>IF(B166="","",VLOOKUP(B166,男子一覧表!$B$13:$C$78,2,FALSE))</f>
        <v/>
      </c>
      <c r="E166" s="1612"/>
      <c r="F166" s="1612"/>
      <c r="G166" s="567" t="str">
        <f>IF(B166="","",VLOOKUP(B166,男子一覧表!$B$13:$E$78,3,FALSE))</f>
        <v/>
      </c>
      <c r="H166" s="1618"/>
      <c r="I166" s="1613"/>
      <c r="J166" s="1613"/>
      <c r="K166" s="1612" t="str">
        <f>IF(I166="","",VLOOKUP(I166,男子一覧表!$B$13:$C$78,2,FALSE))</f>
        <v/>
      </c>
      <c r="L166" s="1612"/>
      <c r="M166" s="1612"/>
      <c r="N166" s="567" t="str">
        <f>IF(I166="","",VLOOKUP(I166,男子一覧表!$B$13:$E$78,3,FALSE))</f>
        <v/>
      </c>
    </row>
    <row r="167" spans="1:24" s="510" customFormat="1" ht="20.100000000000001" customHeight="1">
      <c r="A167" s="1615"/>
      <c r="B167" s="1613"/>
      <c r="C167" s="1613"/>
      <c r="D167" s="1612" t="str">
        <f>IF(B167="","",VLOOKUP(B167,男子一覧表!$B$13:$C$78,2,FALSE))</f>
        <v/>
      </c>
      <c r="E167" s="1612"/>
      <c r="F167" s="1612"/>
      <c r="G167" s="567" t="str">
        <f>IF(B167="","",VLOOKUP(B167,男子一覧表!$B$13:$E$78,3,FALSE))</f>
        <v/>
      </c>
      <c r="H167" s="1618"/>
      <c r="I167" s="1613"/>
      <c r="J167" s="1613"/>
      <c r="K167" s="1612" t="str">
        <f>IF(I167="","",VLOOKUP(I167,男子一覧表!$B$13:$C$78,2,FALSE))</f>
        <v/>
      </c>
      <c r="L167" s="1612"/>
      <c r="M167" s="1612"/>
      <c r="N167" s="567" t="str">
        <f>IF(I167="","",VLOOKUP(I167,男子一覧表!$B$13:$E$78,3,FALSE))</f>
        <v/>
      </c>
    </row>
    <row r="168" spans="1:24" s="510" customFormat="1" ht="20.100000000000001" customHeight="1">
      <c r="A168" s="1616"/>
      <c r="B168" s="1617"/>
      <c r="C168" s="1617"/>
      <c r="D168" s="1612" t="str">
        <f>IF(B168="","",VLOOKUP(B168,男子一覧表!$B$13:$C$78,2,FALSE))</f>
        <v/>
      </c>
      <c r="E168" s="1612"/>
      <c r="F168" s="1612"/>
      <c r="G168" s="567" t="str">
        <f>IF(B168="","",VLOOKUP(B168,男子一覧表!$B$13:$E$78,3,FALSE))</f>
        <v/>
      </c>
      <c r="H168" s="1619"/>
      <c r="I168" s="1617"/>
      <c r="J168" s="1617"/>
      <c r="K168" s="1612" t="str">
        <f>IF(I168="","",VLOOKUP(I168,男子一覧表!$B$13:$C$78,2,FALSE))</f>
        <v/>
      </c>
      <c r="L168" s="1612"/>
      <c r="M168" s="1612"/>
      <c r="N168" s="567" t="str">
        <f>IF(I168="","",VLOOKUP(I168,男子一覧表!$B$13:$E$78,3,FALSE))</f>
        <v/>
      </c>
    </row>
    <row r="169" spans="1:24" s="228" customFormat="1" ht="13.5" customHeight="1">
      <c r="A169" s="1610" t="s">
        <v>501</v>
      </c>
      <c r="B169" s="1611"/>
      <c r="C169" s="1601"/>
      <c r="D169" s="1602"/>
      <c r="E169" s="565" t="s">
        <v>511</v>
      </c>
      <c r="F169" s="1606"/>
      <c r="G169" s="1607"/>
      <c r="H169" s="1610" t="s">
        <v>501</v>
      </c>
      <c r="I169" s="1611"/>
      <c r="J169" s="1601"/>
      <c r="K169" s="1602"/>
      <c r="L169" s="565" t="s">
        <v>511</v>
      </c>
      <c r="M169" s="1606"/>
      <c r="N169" s="1607"/>
    </row>
    <row r="170" spans="1:24" s="244" customFormat="1" ht="13.5" customHeight="1">
      <c r="A170" s="1608" t="s">
        <v>546</v>
      </c>
      <c r="B170" s="1609"/>
      <c r="C170" s="1609"/>
      <c r="D170" s="1599">
        <f>男子一覧表!$A$7</f>
        <v>0</v>
      </c>
      <c r="E170" s="1600"/>
      <c r="F170" s="1600"/>
      <c r="G170" s="691"/>
      <c r="H170" s="1608" t="s">
        <v>546</v>
      </c>
      <c r="I170" s="1609"/>
      <c r="J170" s="1609"/>
      <c r="K170" s="1599">
        <f>男子一覧表!$A$7</f>
        <v>0</v>
      </c>
      <c r="L170" s="1600"/>
      <c r="M170" s="1600"/>
      <c r="N170" s="691"/>
    </row>
    <row r="171" spans="1:24" s="228" customFormat="1" ht="12" customHeight="1">
      <c r="A171" s="1615" t="s">
        <v>509</v>
      </c>
      <c r="B171" s="1614" t="s">
        <v>550</v>
      </c>
      <c r="C171" s="1614"/>
      <c r="D171" s="1614" t="s">
        <v>551</v>
      </c>
      <c r="E171" s="1614"/>
      <c r="F171" s="1614"/>
      <c r="G171" s="566" t="s">
        <v>545</v>
      </c>
      <c r="H171" s="1618" t="s">
        <v>509</v>
      </c>
      <c r="I171" s="1614" t="s">
        <v>550</v>
      </c>
      <c r="J171" s="1614"/>
      <c r="K171" s="1614" t="s">
        <v>551</v>
      </c>
      <c r="L171" s="1614"/>
      <c r="M171" s="1614"/>
      <c r="N171" s="566" t="s">
        <v>545</v>
      </c>
    </row>
    <row r="172" spans="1:24" s="510" customFormat="1" ht="20.100000000000001" customHeight="1">
      <c r="A172" s="1615"/>
      <c r="B172" s="1613"/>
      <c r="C172" s="1613"/>
      <c r="D172" s="1612" t="str">
        <f>IF(B172="","",VLOOKUP(B172,男子一覧表!$B$13:$C$78,2,FALSE))</f>
        <v/>
      </c>
      <c r="E172" s="1612"/>
      <c r="F172" s="1612"/>
      <c r="G172" s="567" t="str">
        <f>IF(B172="","",VLOOKUP(B172,男子一覧表!$B$13:$E$78,3,FALSE))</f>
        <v/>
      </c>
      <c r="H172" s="1618"/>
      <c r="I172" s="1613"/>
      <c r="J172" s="1613"/>
      <c r="K172" s="1612" t="str">
        <f>IF(I172="","",VLOOKUP(I172,男子一覧表!$B$13:$C$78,2,FALSE))</f>
        <v/>
      </c>
      <c r="L172" s="1612"/>
      <c r="M172" s="1612"/>
      <c r="N172" s="567" t="str">
        <f>IF(I172="","",VLOOKUP(I172,男子一覧表!$B$13:$E$78,3,FALSE))</f>
        <v/>
      </c>
    </row>
    <row r="173" spans="1:24" s="510" customFormat="1" ht="20.100000000000001" customHeight="1">
      <c r="A173" s="1615"/>
      <c r="B173" s="1613"/>
      <c r="C173" s="1613"/>
      <c r="D173" s="1612" t="str">
        <f>IF(B173="","",VLOOKUP(B173,男子一覧表!$B$13:$C$78,2,FALSE))</f>
        <v/>
      </c>
      <c r="E173" s="1612"/>
      <c r="F173" s="1612"/>
      <c r="G173" s="567" t="str">
        <f>IF(B173="","",VLOOKUP(B173,男子一覧表!$B$13:$E$78,3,FALSE))</f>
        <v/>
      </c>
      <c r="H173" s="1618"/>
      <c r="I173" s="1613"/>
      <c r="J173" s="1613"/>
      <c r="K173" s="1612" t="str">
        <f>IF(I173="","",VLOOKUP(I173,男子一覧表!$B$13:$C$78,2,FALSE))</f>
        <v/>
      </c>
      <c r="L173" s="1612"/>
      <c r="M173" s="1612"/>
      <c r="N173" s="567" t="str">
        <f>IF(I173="","",VLOOKUP(I173,男子一覧表!$B$13:$E$78,3,FALSE))</f>
        <v/>
      </c>
    </row>
    <row r="174" spans="1:24" s="510" customFormat="1" ht="20.100000000000001" customHeight="1">
      <c r="A174" s="1615"/>
      <c r="B174" s="1613"/>
      <c r="C174" s="1613"/>
      <c r="D174" s="1612" t="str">
        <f>IF(B174="","",VLOOKUP(B174,男子一覧表!$B$13:$C$78,2,FALSE))</f>
        <v/>
      </c>
      <c r="E174" s="1612"/>
      <c r="F174" s="1612"/>
      <c r="G174" s="567" t="str">
        <f>IF(B174="","",VLOOKUP(B174,男子一覧表!$B$13:$E$78,3,FALSE))</f>
        <v/>
      </c>
      <c r="H174" s="1618"/>
      <c r="I174" s="1613"/>
      <c r="J174" s="1613"/>
      <c r="K174" s="1612" t="str">
        <f>IF(I174="","",VLOOKUP(I174,男子一覧表!$B$13:$C$78,2,FALSE))</f>
        <v/>
      </c>
      <c r="L174" s="1612"/>
      <c r="M174" s="1612"/>
      <c r="N174" s="567" t="str">
        <f>IF(I174="","",VLOOKUP(I174,男子一覧表!$B$13:$E$78,3,FALSE))</f>
        <v/>
      </c>
    </row>
    <row r="175" spans="1:24" s="510" customFormat="1" ht="20.100000000000001" customHeight="1">
      <c r="A175" s="1615"/>
      <c r="B175" s="1613"/>
      <c r="C175" s="1613"/>
      <c r="D175" s="1612" t="str">
        <f>IF(B175="","",VLOOKUP(B175,男子一覧表!$B$13:$C$78,2,FALSE))</f>
        <v/>
      </c>
      <c r="E175" s="1612"/>
      <c r="F175" s="1612"/>
      <c r="G175" s="567" t="str">
        <f>IF(B175="","",VLOOKUP(B175,男子一覧表!$B$13:$E$78,3,FALSE))</f>
        <v/>
      </c>
      <c r="H175" s="1618"/>
      <c r="I175" s="1613"/>
      <c r="J175" s="1613"/>
      <c r="K175" s="1612" t="str">
        <f>IF(I175="","",VLOOKUP(I175,男子一覧表!$B$13:$C$78,2,FALSE))</f>
        <v/>
      </c>
      <c r="L175" s="1612"/>
      <c r="M175" s="1612"/>
      <c r="N175" s="567" t="str">
        <f>IF(I175="","",VLOOKUP(I175,男子一覧表!$B$13:$E$78,3,FALSE))</f>
        <v/>
      </c>
    </row>
    <row r="176" spans="1:24" s="510" customFormat="1" ht="20.100000000000001" customHeight="1">
      <c r="A176" s="1615"/>
      <c r="B176" s="1613"/>
      <c r="C176" s="1613"/>
      <c r="D176" s="1612" t="str">
        <f>IF(B176="","",VLOOKUP(B176,男子一覧表!$B$13:$C$78,2,FALSE))</f>
        <v/>
      </c>
      <c r="E176" s="1612"/>
      <c r="F176" s="1612"/>
      <c r="G176" s="567" t="str">
        <f>IF(B176="","",VLOOKUP(B176,男子一覧表!$B$13:$E$78,3,FALSE))</f>
        <v/>
      </c>
      <c r="H176" s="1618"/>
      <c r="I176" s="1613"/>
      <c r="J176" s="1613"/>
      <c r="K176" s="1612" t="str">
        <f>IF(I176="","",VLOOKUP(I176,男子一覧表!$B$13:$C$78,2,FALSE))</f>
        <v/>
      </c>
      <c r="L176" s="1612"/>
      <c r="M176" s="1612"/>
      <c r="N176" s="567" t="str">
        <f>IF(I176="","",VLOOKUP(I176,男子一覧表!$B$13:$E$78,3,FALSE))</f>
        <v/>
      </c>
    </row>
    <row r="177" spans="1:17" s="510" customFormat="1" ht="20.100000000000001" customHeight="1">
      <c r="A177" s="1616"/>
      <c r="B177" s="1617"/>
      <c r="C177" s="1617"/>
      <c r="D177" s="1612" t="str">
        <f>IF(B177="","",VLOOKUP(B177,男子一覧表!$B$13:$C$78,2,FALSE))</f>
        <v/>
      </c>
      <c r="E177" s="1612"/>
      <c r="F177" s="1612"/>
      <c r="G177" s="567" t="str">
        <f>IF(B177="","",VLOOKUP(B177,男子一覧表!$B$13:$E$78,3,FALSE))</f>
        <v/>
      </c>
      <c r="H177" s="1619"/>
      <c r="I177" s="1617"/>
      <c r="J177" s="1617"/>
      <c r="K177" s="1612" t="str">
        <f>IF(I177="","",VLOOKUP(I177,男子一覧表!$B$13:$C$78,2,FALSE))</f>
        <v/>
      </c>
      <c r="L177" s="1612"/>
      <c r="M177" s="1612"/>
      <c r="N177" s="567" t="str">
        <f>IF(I177="","",VLOOKUP(I177,男子一覧表!$B$13:$E$78,3,FALSE))</f>
        <v/>
      </c>
    </row>
    <row r="178" spans="1:17" s="228" customFormat="1" ht="13.5" customHeight="1">
      <c r="A178" s="1610" t="s">
        <v>501</v>
      </c>
      <c r="B178" s="1611"/>
      <c r="C178" s="1601"/>
      <c r="D178" s="1602"/>
      <c r="E178" s="565" t="s">
        <v>511</v>
      </c>
      <c r="F178" s="1606"/>
      <c r="G178" s="1607"/>
      <c r="H178" s="1610" t="s">
        <v>501</v>
      </c>
      <c r="I178" s="1611"/>
      <c r="J178" s="1601"/>
      <c r="K178" s="1602"/>
      <c r="L178" s="565" t="s">
        <v>511</v>
      </c>
      <c r="M178" s="1606"/>
      <c r="N178" s="1607"/>
    </row>
    <row r="179" spans="1:17" s="244" customFormat="1" ht="13.5" customHeight="1">
      <c r="A179" s="1608" t="s">
        <v>546</v>
      </c>
      <c r="B179" s="1609"/>
      <c r="C179" s="1609"/>
      <c r="D179" s="1599">
        <f>男子一覧表!$A$7</f>
        <v>0</v>
      </c>
      <c r="E179" s="1600"/>
      <c r="F179" s="1600"/>
      <c r="G179" s="691"/>
      <c r="H179" s="1608" t="s">
        <v>546</v>
      </c>
      <c r="I179" s="1609"/>
      <c r="J179" s="1609"/>
      <c r="K179" s="1599">
        <f>男子一覧表!$A$7</f>
        <v>0</v>
      </c>
      <c r="L179" s="1600"/>
      <c r="M179" s="1600"/>
      <c r="N179" s="691"/>
    </row>
    <row r="180" spans="1:17" s="228" customFormat="1" ht="12" customHeight="1">
      <c r="A180" s="1615" t="s">
        <v>509</v>
      </c>
      <c r="B180" s="1614" t="s">
        <v>550</v>
      </c>
      <c r="C180" s="1614"/>
      <c r="D180" s="1614" t="s">
        <v>551</v>
      </c>
      <c r="E180" s="1614"/>
      <c r="F180" s="1614"/>
      <c r="G180" s="566" t="s">
        <v>545</v>
      </c>
      <c r="H180" s="1618" t="s">
        <v>509</v>
      </c>
      <c r="I180" s="1614" t="s">
        <v>550</v>
      </c>
      <c r="J180" s="1614"/>
      <c r="K180" s="1614" t="s">
        <v>551</v>
      </c>
      <c r="L180" s="1614"/>
      <c r="M180" s="1614"/>
      <c r="N180" s="566" t="s">
        <v>545</v>
      </c>
    </row>
    <row r="181" spans="1:17" s="510" customFormat="1" ht="20.100000000000001" customHeight="1">
      <c r="A181" s="1615"/>
      <c r="B181" s="1613"/>
      <c r="C181" s="1613"/>
      <c r="D181" s="1612" t="str">
        <f>IF(B181="","",VLOOKUP(B181,男子一覧表!$B$13:$C$78,2,FALSE))</f>
        <v/>
      </c>
      <c r="E181" s="1612"/>
      <c r="F181" s="1612"/>
      <c r="G181" s="567" t="str">
        <f>IF(B181="","",VLOOKUP(B181,男子一覧表!$B$13:$E$78,3,FALSE))</f>
        <v/>
      </c>
      <c r="H181" s="1618"/>
      <c r="I181" s="1613"/>
      <c r="J181" s="1613"/>
      <c r="K181" s="1612" t="str">
        <f>IF(I181="","",VLOOKUP(I181,男子一覧表!$B$13:$C$78,2,FALSE))</f>
        <v/>
      </c>
      <c r="L181" s="1612"/>
      <c r="M181" s="1612"/>
      <c r="N181" s="567" t="str">
        <f>IF(I181="","",VLOOKUP(I181,男子一覧表!$B$13:$E$78,3,FALSE))</f>
        <v/>
      </c>
    </row>
    <row r="182" spans="1:17" s="510" customFormat="1" ht="20.100000000000001" customHeight="1">
      <c r="A182" s="1615"/>
      <c r="B182" s="1613"/>
      <c r="C182" s="1613"/>
      <c r="D182" s="1612" t="str">
        <f>IF(B182="","",VLOOKUP(B182,男子一覧表!$B$13:$C$78,2,FALSE))</f>
        <v/>
      </c>
      <c r="E182" s="1612"/>
      <c r="F182" s="1612"/>
      <c r="G182" s="567" t="str">
        <f>IF(B182="","",VLOOKUP(B182,男子一覧表!$B$13:$E$78,3,FALSE))</f>
        <v/>
      </c>
      <c r="H182" s="1618"/>
      <c r="I182" s="1613"/>
      <c r="J182" s="1613"/>
      <c r="K182" s="1612" t="str">
        <f>IF(I182="","",VLOOKUP(I182,男子一覧表!$B$13:$C$78,2,FALSE))</f>
        <v/>
      </c>
      <c r="L182" s="1612"/>
      <c r="M182" s="1612"/>
      <c r="N182" s="567" t="str">
        <f>IF(I182="","",VLOOKUP(I182,男子一覧表!$B$13:$E$78,3,FALSE))</f>
        <v/>
      </c>
    </row>
    <row r="183" spans="1:17" s="510" customFormat="1" ht="20.100000000000001" customHeight="1">
      <c r="A183" s="1615"/>
      <c r="B183" s="1613"/>
      <c r="C183" s="1613"/>
      <c r="D183" s="1612" t="str">
        <f>IF(B183="","",VLOOKUP(B183,男子一覧表!$B$13:$C$78,2,FALSE))</f>
        <v/>
      </c>
      <c r="E183" s="1612"/>
      <c r="F183" s="1612"/>
      <c r="G183" s="567" t="str">
        <f>IF(B183="","",VLOOKUP(B183,男子一覧表!$B$13:$E$78,3,FALSE))</f>
        <v/>
      </c>
      <c r="H183" s="1618"/>
      <c r="I183" s="1613"/>
      <c r="J183" s="1613"/>
      <c r="K183" s="1612" t="str">
        <f>IF(I183="","",VLOOKUP(I183,男子一覧表!$B$13:$C$78,2,FALSE))</f>
        <v/>
      </c>
      <c r="L183" s="1612"/>
      <c r="M183" s="1612"/>
      <c r="N183" s="567" t="str">
        <f>IF(I183="","",VLOOKUP(I183,男子一覧表!$B$13:$E$78,3,FALSE))</f>
        <v/>
      </c>
    </row>
    <row r="184" spans="1:17" s="510" customFormat="1" ht="20.100000000000001" customHeight="1">
      <c r="A184" s="1615"/>
      <c r="B184" s="1613"/>
      <c r="C184" s="1613"/>
      <c r="D184" s="1612" t="str">
        <f>IF(B184="","",VLOOKUP(B184,男子一覧表!$B$13:$C$78,2,FALSE))</f>
        <v/>
      </c>
      <c r="E184" s="1612"/>
      <c r="F184" s="1612"/>
      <c r="G184" s="567" t="str">
        <f>IF(B184="","",VLOOKUP(B184,男子一覧表!$B$13:$E$78,3,FALSE))</f>
        <v/>
      </c>
      <c r="H184" s="1618"/>
      <c r="I184" s="1613"/>
      <c r="J184" s="1613"/>
      <c r="K184" s="1612" t="str">
        <f>IF(I184="","",VLOOKUP(I184,男子一覧表!$B$13:$C$78,2,FALSE))</f>
        <v/>
      </c>
      <c r="L184" s="1612"/>
      <c r="M184" s="1612"/>
      <c r="N184" s="567" t="str">
        <f>IF(I184="","",VLOOKUP(I184,男子一覧表!$B$13:$E$78,3,FALSE))</f>
        <v/>
      </c>
    </row>
    <row r="185" spans="1:17" s="510" customFormat="1" ht="20.100000000000001" customHeight="1">
      <c r="A185" s="1615"/>
      <c r="B185" s="1613"/>
      <c r="C185" s="1613"/>
      <c r="D185" s="1612" t="str">
        <f>IF(B185="","",VLOOKUP(B185,男子一覧表!$B$13:$C$78,2,FALSE))</f>
        <v/>
      </c>
      <c r="E185" s="1612"/>
      <c r="F185" s="1612"/>
      <c r="G185" s="567" t="str">
        <f>IF(B185="","",VLOOKUP(B185,男子一覧表!$B$13:$E$78,3,FALSE))</f>
        <v/>
      </c>
      <c r="H185" s="1618"/>
      <c r="I185" s="1613"/>
      <c r="J185" s="1613"/>
      <c r="K185" s="1612" t="str">
        <f>IF(I185="","",VLOOKUP(I185,男子一覧表!$B$13:$C$78,2,FALSE))</f>
        <v/>
      </c>
      <c r="L185" s="1612"/>
      <c r="M185" s="1612"/>
      <c r="N185" s="567" t="str">
        <f>IF(I185="","",VLOOKUP(I185,男子一覧表!$B$13:$E$78,3,FALSE))</f>
        <v/>
      </c>
    </row>
    <row r="186" spans="1:17" s="510" customFormat="1" ht="20.100000000000001" customHeight="1">
      <c r="A186" s="1616"/>
      <c r="B186" s="1617"/>
      <c r="C186" s="1617"/>
      <c r="D186" s="1620" t="str">
        <f>IF(B186="","",VLOOKUP(B186,男子一覧表!$B$13:$C$78,2,FALSE))</f>
        <v/>
      </c>
      <c r="E186" s="1620"/>
      <c r="F186" s="1620"/>
      <c r="G186" s="568" t="str">
        <f>IF(B186="","",VLOOKUP(B186,男子一覧表!$B$13:$E$78,3,FALSE))</f>
        <v/>
      </c>
      <c r="H186" s="1619"/>
      <c r="I186" s="1617"/>
      <c r="J186" s="1617"/>
      <c r="K186" s="1620" t="str">
        <f>IF(I186="","",VLOOKUP(I186,男子一覧表!$B$13:$C$78,2,FALSE))</f>
        <v/>
      </c>
      <c r="L186" s="1620"/>
      <c r="M186" s="1620"/>
      <c r="N186" s="568" t="str">
        <f>IF(I186="","",VLOOKUP(I186,男子一覧表!$B$13:$E$78,3,FALSE))</f>
        <v/>
      </c>
    </row>
    <row r="187" spans="1:17" s="228" customFormat="1" ht="13.5" customHeight="1">
      <c r="A187" s="1610" t="s">
        <v>501</v>
      </c>
      <c r="B187" s="1611"/>
      <c r="C187" s="1601"/>
      <c r="D187" s="1602"/>
      <c r="E187" s="565" t="s">
        <v>511</v>
      </c>
      <c r="F187" s="1606"/>
      <c r="G187" s="1607"/>
      <c r="H187" s="1610" t="s">
        <v>501</v>
      </c>
      <c r="I187" s="1611"/>
      <c r="J187" s="1601"/>
      <c r="K187" s="1602"/>
      <c r="L187" s="565" t="s">
        <v>511</v>
      </c>
      <c r="M187" s="1606"/>
      <c r="N187" s="1607"/>
      <c r="Q187" s="228" t="s">
        <v>514</v>
      </c>
    </row>
    <row r="188" spans="1:17" s="244" customFormat="1" ht="13.5" customHeight="1">
      <c r="A188" s="1608" t="s">
        <v>546</v>
      </c>
      <c r="B188" s="1609"/>
      <c r="C188" s="1609"/>
      <c r="D188" s="1599">
        <f>男子一覧表!$A$7</f>
        <v>0</v>
      </c>
      <c r="E188" s="1600"/>
      <c r="F188" s="1600"/>
      <c r="G188" s="691"/>
      <c r="H188" s="1608" t="s">
        <v>546</v>
      </c>
      <c r="I188" s="1609"/>
      <c r="J188" s="1609"/>
      <c r="K188" s="1599">
        <f>男子一覧表!$A$7</f>
        <v>0</v>
      </c>
      <c r="L188" s="1600"/>
      <c r="M188" s="1600"/>
      <c r="N188" s="691"/>
      <c r="Q188" s="244" t="s">
        <v>549</v>
      </c>
    </row>
    <row r="189" spans="1:17" s="228" customFormat="1" ht="12" customHeight="1">
      <c r="A189" s="1615"/>
      <c r="B189" s="1614" t="s">
        <v>553</v>
      </c>
      <c r="C189" s="1614"/>
      <c r="D189" s="1614" t="s">
        <v>551</v>
      </c>
      <c r="E189" s="1614"/>
      <c r="F189" s="1614"/>
      <c r="G189" s="566" t="s">
        <v>545</v>
      </c>
      <c r="H189" s="1618"/>
      <c r="I189" s="1614" t="s">
        <v>553</v>
      </c>
      <c r="J189" s="1614"/>
      <c r="K189" s="1614" t="s">
        <v>551</v>
      </c>
      <c r="L189" s="1614"/>
      <c r="M189" s="1614"/>
      <c r="N189" s="566" t="s">
        <v>545</v>
      </c>
      <c r="Q189" s="228" t="s">
        <v>552</v>
      </c>
    </row>
    <row r="190" spans="1:17" s="510" customFormat="1" ht="20.100000000000001" customHeight="1">
      <c r="A190" s="1615"/>
      <c r="B190" s="1613"/>
      <c r="C190" s="1613"/>
      <c r="D190" s="1612" t="str">
        <f>IF(B190="","",VLOOKUP(B190,男子一覧表!$B$13:$C$78,2,FALSE))</f>
        <v/>
      </c>
      <c r="E190" s="1612"/>
      <c r="F190" s="1612"/>
      <c r="G190" s="567" t="str">
        <f>IF(B190="","",VLOOKUP(B190,男子一覧表!$B$13:$E$78,3,FALSE))</f>
        <v/>
      </c>
      <c r="H190" s="1618"/>
      <c r="I190" s="1613"/>
      <c r="J190" s="1613"/>
      <c r="K190" s="1612" t="str">
        <f>IF(I190="","",VLOOKUP(I190,男子一覧表!$B$13:$C$78,2,FALSE))</f>
        <v/>
      </c>
      <c r="L190" s="1612"/>
      <c r="M190" s="1612"/>
      <c r="N190" s="567" t="str">
        <f>IF(I190="","",VLOOKUP(I190,男子一覧表!$B$13:$E$78,3,FALSE))</f>
        <v/>
      </c>
      <c r="Q190" s="510" t="s">
        <v>628</v>
      </c>
    </row>
    <row r="191" spans="1:17" s="510" customFormat="1" ht="20.100000000000001" customHeight="1">
      <c r="A191" s="1615"/>
      <c r="B191" s="1613"/>
      <c r="C191" s="1613"/>
      <c r="D191" s="1612" t="str">
        <f>IF(B191="","",VLOOKUP(B191,男子一覧表!$B$13:$C$78,2,FALSE))</f>
        <v/>
      </c>
      <c r="E191" s="1612"/>
      <c r="F191" s="1612"/>
      <c r="G191" s="567" t="str">
        <f>IF(B191="","",VLOOKUP(B191,男子一覧表!$B$13:$E$78,3,FALSE))</f>
        <v/>
      </c>
      <c r="H191" s="1618"/>
      <c r="I191" s="1613"/>
      <c r="J191" s="1613"/>
      <c r="K191" s="1612" t="str">
        <f>IF(I191="","",VLOOKUP(I191,男子一覧表!$B$13:$C$78,2,FALSE))</f>
        <v/>
      </c>
      <c r="L191" s="1612"/>
      <c r="M191" s="1612"/>
      <c r="N191" s="567" t="str">
        <f>IF(I191="","",VLOOKUP(I191,男子一覧表!$B$13:$E$78,3,FALSE))</f>
        <v/>
      </c>
      <c r="Q191" s="510" t="s">
        <v>629</v>
      </c>
    </row>
    <row r="192" spans="1:17" s="510" customFormat="1" ht="20.100000000000001" customHeight="1">
      <c r="A192" s="1615"/>
      <c r="B192" s="1613"/>
      <c r="C192" s="1613"/>
      <c r="D192" s="1612" t="str">
        <f>IF(B192="","",VLOOKUP(B192,男子一覧表!$B$13:$C$78,2,FALSE))</f>
        <v/>
      </c>
      <c r="E192" s="1612"/>
      <c r="F192" s="1612"/>
      <c r="G192" s="567" t="str">
        <f>IF(B192="","",VLOOKUP(B192,男子一覧表!$B$13:$E$78,3,FALSE))</f>
        <v/>
      </c>
      <c r="H192" s="1618"/>
      <c r="I192" s="1613"/>
      <c r="J192" s="1613"/>
      <c r="K192" s="1612" t="str">
        <f>IF(I192="","",VLOOKUP(I192,男子一覧表!$B$13:$C$78,2,FALSE))</f>
        <v/>
      </c>
      <c r="L192" s="1612"/>
      <c r="M192" s="1612"/>
      <c r="N192" s="567" t="str">
        <f>IF(I192="","",VLOOKUP(I192,男子一覧表!$B$13:$E$78,3,FALSE))</f>
        <v/>
      </c>
    </row>
    <row r="193" spans="1:14" s="510" customFormat="1" ht="20.100000000000001" customHeight="1">
      <c r="A193" s="1615"/>
      <c r="B193" s="1613"/>
      <c r="C193" s="1613"/>
      <c r="D193" s="1612" t="str">
        <f>IF(B193="","",VLOOKUP(B193,男子一覧表!$B$13:$C$78,2,FALSE))</f>
        <v/>
      </c>
      <c r="E193" s="1612"/>
      <c r="F193" s="1612"/>
      <c r="G193" s="567" t="str">
        <f>IF(B193="","",VLOOKUP(B193,男子一覧表!$B$13:$E$78,3,FALSE))</f>
        <v/>
      </c>
      <c r="H193" s="1618"/>
      <c r="I193" s="1613"/>
      <c r="J193" s="1613"/>
      <c r="K193" s="1612" t="str">
        <f>IF(I193="","",VLOOKUP(I193,男子一覧表!$B$13:$C$78,2,FALSE))</f>
        <v/>
      </c>
      <c r="L193" s="1612"/>
      <c r="M193" s="1612"/>
      <c r="N193" s="567" t="str">
        <f>IF(I193="","",VLOOKUP(I193,男子一覧表!$B$13:$E$78,3,FALSE))</f>
        <v/>
      </c>
    </row>
    <row r="194" spans="1:14" s="510" customFormat="1" ht="20.100000000000001" customHeight="1">
      <c r="A194" s="1615"/>
      <c r="B194" s="1613"/>
      <c r="C194" s="1613"/>
      <c r="D194" s="1612" t="str">
        <f>IF(B194="","",VLOOKUP(B194,男子一覧表!$B$13:$C$78,2,FALSE))</f>
        <v/>
      </c>
      <c r="E194" s="1612"/>
      <c r="F194" s="1612"/>
      <c r="G194" s="567" t="str">
        <f>IF(B194="","",VLOOKUP(B194,男子一覧表!$B$13:$E$78,3,FALSE))</f>
        <v/>
      </c>
      <c r="H194" s="1618"/>
      <c r="I194" s="1613"/>
      <c r="J194" s="1613"/>
      <c r="K194" s="1612" t="str">
        <f>IF(I194="","",VLOOKUP(I194,男子一覧表!$B$13:$C$78,2,FALSE))</f>
        <v/>
      </c>
      <c r="L194" s="1612"/>
      <c r="M194" s="1612"/>
      <c r="N194" s="567" t="str">
        <f>IF(I194="","",VLOOKUP(I194,男子一覧表!$B$13:$E$78,3,FALSE))</f>
        <v/>
      </c>
    </row>
    <row r="195" spans="1:14" s="510" customFormat="1" ht="20.100000000000001" customHeight="1">
      <c r="A195" s="1616"/>
      <c r="B195" s="1617"/>
      <c r="C195" s="1617"/>
      <c r="D195" s="1620" t="str">
        <f>IF(B195="","",VLOOKUP(B195,男子一覧表!$B$13:$C$78,2,FALSE))</f>
        <v/>
      </c>
      <c r="E195" s="1620"/>
      <c r="F195" s="1620"/>
      <c r="G195" s="568" t="str">
        <f>IF(B195="","",VLOOKUP(B195,男子一覧表!$B$13:$E$78,3,FALSE))</f>
        <v/>
      </c>
      <c r="H195" s="1619"/>
      <c r="I195" s="1617"/>
      <c r="J195" s="1617"/>
      <c r="K195" s="1620" t="str">
        <f>IF(I195="","",VLOOKUP(I195,男子一覧表!$B$13:$C$78,2,FALSE))</f>
        <v/>
      </c>
      <c r="L195" s="1620"/>
      <c r="M195" s="1620"/>
      <c r="N195" s="568" t="str">
        <f>IF(I195="","",VLOOKUP(I195,男子一覧表!$B$13:$E$78,3,FALSE))</f>
        <v/>
      </c>
    </row>
  </sheetData>
  <sheetProtection sheet="1" objects="1" scenarios="1"/>
  <mergeCells count="867">
    <mergeCell ref="K195:M195"/>
    <mergeCell ref="B193:C193"/>
    <mergeCell ref="D193:F193"/>
    <mergeCell ref="D194:F194"/>
    <mergeCell ref="I191:J191"/>
    <mergeCell ref="I190:J190"/>
    <mergeCell ref="K189:M189"/>
    <mergeCell ref="I193:J193"/>
    <mergeCell ref="K193:M193"/>
    <mergeCell ref="I194:J194"/>
    <mergeCell ref="K194:M194"/>
    <mergeCell ref="I195:J195"/>
    <mergeCell ref="K192:M192"/>
    <mergeCell ref="I189:J189"/>
    <mergeCell ref="K190:M190"/>
    <mergeCell ref="K191:M191"/>
    <mergeCell ref="B195:C195"/>
    <mergeCell ref="D195:F195"/>
    <mergeCell ref="A189:A195"/>
    <mergeCell ref="B189:C189"/>
    <mergeCell ref="D189:F189"/>
    <mergeCell ref="H189:H195"/>
    <mergeCell ref="B190:C190"/>
    <mergeCell ref="D182:F182"/>
    <mergeCell ref="B192:C192"/>
    <mergeCell ref="D192:F192"/>
    <mergeCell ref="B191:C191"/>
    <mergeCell ref="D191:F191"/>
    <mergeCell ref="B194:C194"/>
    <mergeCell ref="B181:C181"/>
    <mergeCell ref="D181:F181"/>
    <mergeCell ref="B185:C185"/>
    <mergeCell ref="D185:F185"/>
    <mergeCell ref="B182:C182"/>
    <mergeCell ref="B186:C186"/>
    <mergeCell ref="H187:I187"/>
    <mergeCell ref="I192:J192"/>
    <mergeCell ref="D188:F188"/>
    <mergeCell ref="H188:J188"/>
    <mergeCell ref="D186:F186"/>
    <mergeCell ref="H180:H186"/>
    <mergeCell ref="D183:F183"/>
    <mergeCell ref="C187:D187"/>
    <mergeCell ref="B183:C183"/>
    <mergeCell ref="I182:J182"/>
    <mergeCell ref="I185:J185"/>
    <mergeCell ref="B184:C184"/>
    <mergeCell ref="D190:F190"/>
    <mergeCell ref="A171:A177"/>
    <mergeCell ref="H171:H177"/>
    <mergeCell ref="M187:N187"/>
    <mergeCell ref="A188:C188"/>
    <mergeCell ref="J187:K187"/>
    <mergeCell ref="A187:B187"/>
    <mergeCell ref="F187:G187"/>
    <mergeCell ref="I183:J183"/>
    <mergeCell ref="I186:J186"/>
    <mergeCell ref="D184:F184"/>
    <mergeCell ref="K186:M186"/>
    <mergeCell ref="K180:M180"/>
    <mergeCell ref="K181:M181"/>
    <mergeCell ref="K185:M185"/>
    <mergeCell ref="K182:M182"/>
    <mergeCell ref="K183:M183"/>
    <mergeCell ref="K184:M184"/>
    <mergeCell ref="I184:J184"/>
    <mergeCell ref="K188:M188"/>
    <mergeCell ref="A180:A186"/>
    <mergeCell ref="B180:C180"/>
    <mergeCell ref="D180:F180"/>
    <mergeCell ref="I180:J180"/>
    <mergeCell ref="I181:J181"/>
    <mergeCell ref="B177:C177"/>
    <mergeCell ref="K176:M176"/>
    <mergeCell ref="K174:M174"/>
    <mergeCell ref="I177:J177"/>
    <mergeCell ref="D173:F173"/>
    <mergeCell ref="I173:J173"/>
    <mergeCell ref="I174:J174"/>
    <mergeCell ref="I176:J176"/>
    <mergeCell ref="D176:F176"/>
    <mergeCell ref="K172:M172"/>
    <mergeCell ref="K171:M171"/>
    <mergeCell ref="K173:M173"/>
    <mergeCell ref="B173:C173"/>
    <mergeCell ref="K177:M177"/>
    <mergeCell ref="J178:K178"/>
    <mergeCell ref="H170:J170"/>
    <mergeCell ref="H179:J179"/>
    <mergeCell ref="A179:C179"/>
    <mergeCell ref="D179:F179"/>
    <mergeCell ref="B176:C176"/>
    <mergeCell ref="B174:C174"/>
    <mergeCell ref="D174:F174"/>
    <mergeCell ref="B175:C175"/>
    <mergeCell ref="D170:F170"/>
    <mergeCell ref="A170:C170"/>
    <mergeCell ref="K179:M179"/>
    <mergeCell ref="M178:N178"/>
    <mergeCell ref="K175:M175"/>
    <mergeCell ref="A178:B178"/>
    <mergeCell ref="C178:D178"/>
    <mergeCell ref="F178:G178"/>
    <mergeCell ref="H178:I178"/>
    <mergeCell ref="D177:F177"/>
    <mergeCell ref="B172:C172"/>
    <mergeCell ref="D175:F175"/>
    <mergeCell ref="B171:C171"/>
    <mergeCell ref="D171:F171"/>
    <mergeCell ref="D172:F172"/>
    <mergeCell ref="I171:J171"/>
    <mergeCell ref="I175:J175"/>
    <mergeCell ref="D168:F168"/>
    <mergeCell ref="I168:J168"/>
    <mergeCell ref="I172:J172"/>
    <mergeCell ref="K168:M168"/>
    <mergeCell ref="B166:C166"/>
    <mergeCell ref="D166:F166"/>
    <mergeCell ref="H169:I169"/>
    <mergeCell ref="B165:C165"/>
    <mergeCell ref="K162:M162"/>
    <mergeCell ref="I167:J167"/>
    <mergeCell ref="K167:M167"/>
    <mergeCell ref="D165:F165"/>
    <mergeCell ref="K163:M163"/>
    <mergeCell ref="I163:J163"/>
    <mergeCell ref="M169:N169"/>
    <mergeCell ref="B167:C167"/>
    <mergeCell ref="B162:C162"/>
    <mergeCell ref="K170:M170"/>
    <mergeCell ref="K164:M164"/>
    <mergeCell ref="I165:J165"/>
    <mergeCell ref="K165:M165"/>
    <mergeCell ref="K166:M166"/>
    <mergeCell ref="I164:J164"/>
    <mergeCell ref="D162:F162"/>
    <mergeCell ref="B156:C156"/>
    <mergeCell ref="D156:E156"/>
    <mergeCell ref="A169:B169"/>
    <mergeCell ref="C169:D169"/>
    <mergeCell ref="A162:A168"/>
    <mergeCell ref="D164:F164"/>
    <mergeCell ref="D163:F163"/>
    <mergeCell ref="B163:C163"/>
    <mergeCell ref="B164:C164"/>
    <mergeCell ref="A161:C161"/>
    <mergeCell ref="F169:G169"/>
    <mergeCell ref="B168:C168"/>
    <mergeCell ref="D167:F167"/>
    <mergeCell ref="I162:J162"/>
    <mergeCell ref="J169:K169"/>
    <mergeCell ref="H162:H168"/>
    <mergeCell ref="I166:J166"/>
    <mergeCell ref="D161:F161"/>
    <mergeCell ref="J160:K160"/>
    <mergeCell ref="K161:M161"/>
    <mergeCell ref="F160:G160"/>
    <mergeCell ref="A158:N158"/>
    <mergeCell ref="M160:N160"/>
    <mergeCell ref="H161:J161"/>
    <mergeCell ref="A160:B160"/>
    <mergeCell ref="C160:D160"/>
    <mergeCell ref="H160:I160"/>
    <mergeCell ref="K156:L156"/>
    <mergeCell ref="I156:J156"/>
    <mergeCell ref="B153:C153"/>
    <mergeCell ref="C148:D148"/>
    <mergeCell ref="F148:G148"/>
    <mergeCell ref="H148:I148"/>
    <mergeCell ref="J148:K148"/>
    <mergeCell ref="D155:E155"/>
    <mergeCell ref="I155:J155"/>
    <mergeCell ref="K155:L155"/>
    <mergeCell ref="C154:D154"/>
    <mergeCell ref="F154:G154"/>
    <mergeCell ref="H154:I154"/>
    <mergeCell ref="B155:C155"/>
    <mergeCell ref="J151:K151"/>
    <mergeCell ref="M154:N154"/>
    <mergeCell ref="B152:C152"/>
    <mergeCell ref="D152:E152"/>
    <mergeCell ref="I152:J152"/>
    <mergeCell ref="K152:L152"/>
    <mergeCell ref="M148:N148"/>
    <mergeCell ref="J154:K154"/>
    <mergeCell ref="K153:L153"/>
    <mergeCell ref="A154:B154"/>
    <mergeCell ref="M151:N151"/>
    <mergeCell ref="B149:C149"/>
    <mergeCell ref="D149:E149"/>
    <mergeCell ref="I149:J149"/>
    <mergeCell ref="K149:L149"/>
    <mergeCell ref="B150:C150"/>
    <mergeCell ref="D150:E150"/>
    <mergeCell ref="I150:J150"/>
    <mergeCell ref="D153:E153"/>
    <mergeCell ref="I153:J153"/>
    <mergeCell ref="D146:E146"/>
    <mergeCell ref="I146:J146"/>
    <mergeCell ref="K146:L146"/>
    <mergeCell ref="A145:B145"/>
    <mergeCell ref="B146:C146"/>
    <mergeCell ref="K150:L150"/>
    <mergeCell ref="A151:B151"/>
    <mergeCell ref="C151:D151"/>
    <mergeCell ref="F151:G151"/>
    <mergeCell ref="H151:I151"/>
    <mergeCell ref="A148:B148"/>
    <mergeCell ref="I147:J147"/>
    <mergeCell ref="K147:L147"/>
    <mergeCell ref="B147:C147"/>
    <mergeCell ref="D147:E147"/>
    <mergeCell ref="M145:N145"/>
    <mergeCell ref="J145:K145"/>
    <mergeCell ref="F145:G145"/>
    <mergeCell ref="H145:I145"/>
    <mergeCell ref="B144:C144"/>
    <mergeCell ref="D144:E144"/>
    <mergeCell ref="I144:J144"/>
    <mergeCell ref="K144:L144"/>
    <mergeCell ref="A142:B142"/>
    <mergeCell ref="C142:D142"/>
    <mergeCell ref="F142:G142"/>
    <mergeCell ref="H142:I142"/>
    <mergeCell ref="J142:K142"/>
    <mergeCell ref="M142:N142"/>
    <mergeCell ref="B143:C143"/>
    <mergeCell ref="D143:E143"/>
    <mergeCell ref="I143:J143"/>
    <mergeCell ref="K143:L143"/>
    <mergeCell ref="C145:D145"/>
    <mergeCell ref="M133:N133"/>
    <mergeCell ref="B140:C140"/>
    <mergeCell ref="D140:E140"/>
    <mergeCell ref="I140:J140"/>
    <mergeCell ref="K140:L140"/>
    <mergeCell ref="B141:C141"/>
    <mergeCell ref="D141:E141"/>
    <mergeCell ref="I141:J141"/>
    <mergeCell ref="K141:L141"/>
    <mergeCell ref="H139:I139"/>
    <mergeCell ref="J139:K139"/>
    <mergeCell ref="A139:B139"/>
    <mergeCell ref="M136:N136"/>
    <mergeCell ref="B134:C134"/>
    <mergeCell ref="A136:B136"/>
    <mergeCell ref="C136:D136"/>
    <mergeCell ref="F136:G136"/>
    <mergeCell ref="B135:C135"/>
    <mergeCell ref="I138:J138"/>
    <mergeCell ref="K138:L138"/>
    <mergeCell ref="C139:D139"/>
    <mergeCell ref="F139:G139"/>
    <mergeCell ref="K134:L134"/>
    <mergeCell ref="M139:N139"/>
    <mergeCell ref="B137:C137"/>
    <mergeCell ref="D137:E137"/>
    <mergeCell ref="I137:J137"/>
    <mergeCell ref="K137:L137"/>
    <mergeCell ref="B138:C138"/>
    <mergeCell ref="D138:E138"/>
    <mergeCell ref="J136:K136"/>
    <mergeCell ref="D135:E135"/>
    <mergeCell ref="I135:J135"/>
    <mergeCell ref="K135:L135"/>
    <mergeCell ref="D134:E134"/>
    <mergeCell ref="I134:J134"/>
    <mergeCell ref="H136:I136"/>
    <mergeCell ref="C130:D130"/>
    <mergeCell ref="F130:G130"/>
    <mergeCell ref="H130:I130"/>
    <mergeCell ref="B129:C129"/>
    <mergeCell ref="D129:E129"/>
    <mergeCell ref="I129:J129"/>
    <mergeCell ref="B131:C131"/>
    <mergeCell ref="D131:E131"/>
    <mergeCell ref="I131:J131"/>
    <mergeCell ref="M124:N124"/>
    <mergeCell ref="B122:C122"/>
    <mergeCell ref="J130:K130"/>
    <mergeCell ref="M130:N130"/>
    <mergeCell ref="B128:C128"/>
    <mergeCell ref="D128:E128"/>
    <mergeCell ref="I128:J128"/>
    <mergeCell ref="K128:L128"/>
    <mergeCell ref="A130:B130"/>
    <mergeCell ref="A124:B124"/>
    <mergeCell ref="A127:B127"/>
    <mergeCell ref="M127:N127"/>
    <mergeCell ref="K125:L125"/>
    <mergeCell ref="B126:C126"/>
    <mergeCell ref="D126:E126"/>
    <mergeCell ref="I126:J126"/>
    <mergeCell ref="K129:L129"/>
    <mergeCell ref="C127:D127"/>
    <mergeCell ref="F127:G127"/>
    <mergeCell ref="H127:I127"/>
    <mergeCell ref="J127:K127"/>
    <mergeCell ref="K131:L131"/>
    <mergeCell ref="B132:C132"/>
    <mergeCell ref="D132:E132"/>
    <mergeCell ref="I132:J132"/>
    <mergeCell ref="F133:G133"/>
    <mergeCell ref="H133:I133"/>
    <mergeCell ref="K132:L132"/>
    <mergeCell ref="A133:B133"/>
    <mergeCell ref="C133:D133"/>
    <mergeCell ref="J133:K133"/>
    <mergeCell ref="C121:D121"/>
    <mergeCell ref="D122:E122"/>
    <mergeCell ref="I122:J122"/>
    <mergeCell ref="J124:K124"/>
    <mergeCell ref="D123:E123"/>
    <mergeCell ref="I123:J123"/>
    <mergeCell ref="K123:L123"/>
    <mergeCell ref="K126:L126"/>
    <mergeCell ref="C124:D124"/>
    <mergeCell ref="F124:G124"/>
    <mergeCell ref="H124:I124"/>
    <mergeCell ref="B123:C123"/>
    <mergeCell ref="K122:L122"/>
    <mergeCell ref="J121:K121"/>
    <mergeCell ref="B125:C125"/>
    <mergeCell ref="D125:E125"/>
    <mergeCell ref="I125:J125"/>
    <mergeCell ref="M112:N112"/>
    <mergeCell ref="B110:C110"/>
    <mergeCell ref="A112:B112"/>
    <mergeCell ref="C112:D112"/>
    <mergeCell ref="F112:G112"/>
    <mergeCell ref="H112:I112"/>
    <mergeCell ref="B111:C111"/>
    <mergeCell ref="J112:K112"/>
    <mergeCell ref="M121:N121"/>
    <mergeCell ref="B119:C119"/>
    <mergeCell ref="D119:E119"/>
    <mergeCell ref="I119:J119"/>
    <mergeCell ref="K119:L119"/>
    <mergeCell ref="B120:C120"/>
    <mergeCell ref="D120:E120"/>
    <mergeCell ref="I120:J120"/>
    <mergeCell ref="K120:L120"/>
    <mergeCell ref="A121:B121"/>
    <mergeCell ref="F121:G121"/>
    <mergeCell ref="H121:I121"/>
    <mergeCell ref="M118:N118"/>
    <mergeCell ref="B116:C116"/>
    <mergeCell ref="D116:E116"/>
    <mergeCell ref="I116:J116"/>
    <mergeCell ref="M115:N115"/>
    <mergeCell ref="B113:C113"/>
    <mergeCell ref="D113:E113"/>
    <mergeCell ref="I113:J113"/>
    <mergeCell ref="K113:L113"/>
    <mergeCell ref="B114:C114"/>
    <mergeCell ref="D114:E114"/>
    <mergeCell ref="I114:J114"/>
    <mergeCell ref="C115:D115"/>
    <mergeCell ref="F115:G115"/>
    <mergeCell ref="K114:L114"/>
    <mergeCell ref="J115:K115"/>
    <mergeCell ref="F109:G109"/>
    <mergeCell ref="H109:I109"/>
    <mergeCell ref="A115:B115"/>
    <mergeCell ref="J118:K118"/>
    <mergeCell ref="D117:E117"/>
    <mergeCell ref="I117:J117"/>
    <mergeCell ref="K117:L117"/>
    <mergeCell ref="H115:I115"/>
    <mergeCell ref="C109:D109"/>
    <mergeCell ref="D111:E111"/>
    <mergeCell ref="I111:J111"/>
    <mergeCell ref="K111:L111"/>
    <mergeCell ref="D110:E110"/>
    <mergeCell ref="I110:J110"/>
    <mergeCell ref="K110:L110"/>
    <mergeCell ref="K116:L116"/>
    <mergeCell ref="A118:B118"/>
    <mergeCell ref="C118:D118"/>
    <mergeCell ref="F118:G118"/>
    <mergeCell ref="H118:I118"/>
    <mergeCell ref="B117:C117"/>
    <mergeCell ref="M106:N106"/>
    <mergeCell ref="B104:C104"/>
    <mergeCell ref="D104:E104"/>
    <mergeCell ref="I104:J104"/>
    <mergeCell ref="K104:L104"/>
    <mergeCell ref="A106:B106"/>
    <mergeCell ref="M109:N109"/>
    <mergeCell ref="B107:C107"/>
    <mergeCell ref="D107:E107"/>
    <mergeCell ref="I107:J107"/>
    <mergeCell ref="K107:L107"/>
    <mergeCell ref="B108:C108"/>
    <mergeCell ref="D108:E108"/>
    <mergeCell ref="I108:J108"/>
    <mergeCell ref="K108:L108"/>
    <mergeCell ref="F106:G106"/>
    <mergeCell ref="H106:I106"/>
    <mergeCell ref="B105:C105"/>
    <mergeCell ref="D105:E105"/>
    <mergeCell ref="I105:J105"/>
    <mergeCell ref="C106:D106"/>
    <mergeCell ref="K105:L105"/>
    <mergeCell ref="J106:K106"/>
    <mergeCell ref="J109:K109"/>
    <mergeCell ref="M103:N103"/>
    <mergeCell ref="B101:C101"/>
    <mergeCell ref="D101:E101"/>
    <mergeCell ref="I101:J101"/>
    <mergeCell ref="K101:L101"/>
    <mergeCell ref="B102:C102"/>
    <mergeCell ref="D102:E102"/>
    <mergeCell ref="I102:J102"/>
    <mergeCell ref="K96:L96"/>
    <mergeCell ref="B96:C96"/>
    <mergeCell ref="D96:E96"/>
    <mergeCell ref="I96:J96"/>
    <mergeCell ref="F97:G97"/>
    <mergeCell ref="H97:I97"/>
    <mergeCell ref="A97:B97"/>
    <mergeCell ref="C97:D97"/>
    <mergeCell ref="B98:C98"/>
    <mergeCell ref="D98:E98"/>
    <mergeCell ref="I98:J98"/>
    <mergeCell ref="K98:L98"/>
    <mergeCell ref="A100:B100"/>
    <mergeCell ref="C100:D100"/>
    <mergeCell ref="F100:G100"/>
    <mergeCell ref="H100:I100"/>
    <mergeCell ref="B99:C99"/>
    <mergeCell ref="J100:K100"/>
    <mergeCell ref="K99:L99"/>
    <mergeCell ref="J97:K97"/>
    <mergeCell ref="D99:E99"/>
    <mergeCell ref="I99:J99"/>
    <mergeCell ref="M100:N100"/>
    <mergeCell ref="M97:N97"/>
    <mergeCell ref="B92:C92"/>
    <mergeCell ref="D92:E92"/>
    <mergeCell ref="I92:J92"/>
    <mergeCell ref="K92:L92"/>
    <mergeCell ref="B95:C95"/>
    <mergeCell ref="D95:E95"/>
    <mergeCell ref="I95:J95"/>
    <mergeCell ref="J94:K94"/>
    <mergeCell ref="C94:D94"/>
    <mergeCell ref="F94:G94"/>
    <mergeCell ref="H94:I94"/>
    <mergeCell ref="K95:L95"/>
    <mergeCell ref="I90:J90"/>
    <mergeCell ref="F85:G85"/>
    <mergeCell ref="H88:I88"/>
    <mergeCell ref="D89:E89"/>
    <mergeCell ref="I89:J89"/>
    <mergeCell ref="K93:L93"/>
    <mergeCell ref="D86:E86"/>
    <mergeCell ref="I86:J86"/>
    <mergeCell ref="B90:C90"/>
    <mergeCell ref="D90:E90"/>
    <mergeCell ref="K89:L89"/>
    <mergeCell ref="K90:L90"/>
    <mergeCell ref="K87:L87"/>
    <mergeCell ref="C88:D88"/>
    <mergeCell ref="F88:G88"/>
    <mergeCell ref="J88:K88"/>
    <mergeCell ref="B87:C87"/>
    <mergeCell ref="I87:J87"/>
    <mergeCell ref="A88:B88"/>
    <mergeCell ref="K86:L86"/>
    <mergeCell ref="M23:N23"/>
    <mergeCell ref="K19:L19"/>
    <mergeCell ref="I18:J18"/>
    <mergeCell ref="K18:L18"/>
    <mergeCell ref="I19:J19"/>
    <mergeCell ref="M11:N11"/>
    <mergeCell ref="B7:C7"/>
    <mergeCell ref="B22:C22"/>
    <mergeCell ref="A8:B8"/>
    <mergeCell ref="B9:C9"/>
    <mergeCell ref="B19:C19"/>
    <mergeCell ref="B12:C12"/>
    <mergeCell ref="B21:C21"/>
    <mergeCell ref="A17:B17"/>
    <mergeCell ref="A20:B20"/>
    <mergeCell ref="M20:N20"/>
    <mergeCell ref="C20:D20"/>
    <mergeCell ref="F20:G20"/>
    <mergeCell ref="M17:N17"/>
    <mergeCell ref="K21:L21"/>
    <mergeCell ref="K15:L15"/>
    <mergeCell ref="I15:J15"/>
    <mergeCell ref="B15:C15"/>
    <mergeCell ref="B16:C16"/>
    <mergeCell ref="D16:E16"/>
    <mergeCell ref="A4:G4"/>
    <mergeCell ref="A5:B5"/>
    <mergeCell ref="C5:D5"/>
    <mergeCell ref="F5:G5"/>
    <mergeCell ref="I12:J12"/>
    <mergeCell ref="K12:L12"/>
    <mergeCell ref="D6:E6"/>
    <mergeCell ref="D7:E7"/>
    <mergeCell ref="I7:J7"/>
    <mergeCell ref="K7:L7"/>
    <mergeCell ref="C8:D8"/>
    <mergeCell ref="F8:G8"/>
    <mergeCell ref="I10:J10"/>
    <mergeCell ref="B10:C10"/>
    <mergeCell ref="K13:L13"/>
    <mergeCell ref="C14:D14"/>
    <mergeCell ref="H14:I14"/>
    <mergeCell ref="A11:B11"/>
    <mergeCell ref="F11:G11"/>
    <mergeCell ref="H11:I11"/>
    <mergeCell ref="A14:B14"/>
    <mergeCell ref="F14:G14"/>
    <mergeCell ref="B13:C13"/>
    <mergeCell ref="M32:N32"/>
    <mergeCell ref="B33:C33"/>
    <mergeCell ref="D33:E33"/>
    <mergeCell ref="I33:J33"/>
    <mergeCell ref="K33:L33"/>
    <mergeCell ref="A32:B32"/>
    <mergeCell ref="J32:K32"/>
    <mergeCell ref="C32:D32"/>
    <mergeCell ref="F32:G32"/>
    <mergeCell ref="H32:I32"/>
    <mergeCell ref="M35:N35"/>
    <mergeCell ref="B36:C36"/>
    <mergeCell ref="D36:E36"/>
    <mergeCell ref="B43:C43"/>
    <mergeCell ref="D43:E43"/>
    <mergeCell ref="I46:J46"/>
    <mergeCell ref="B45:C45"/>
    <mergeCell ref="C44:D44"/>
    <mergeCell ref="A35:B35"/>
    <mergeCell ref="I39:J39"/>
    <mergeCell ref="K39:L39"/>
    <mergeCell ref="H38:I38"/>
    <mergeCell ref="A38:B38"/>
    <mergeCell ref="C38:D38"/>
    <mergeCell ref="K36:L36"/>
    <mergeCell ref="J35:K35"/>
    <mergeCell ref="H35:I35"/>
    <mergeCell ref="I36:J36"/>
    <mergeCell ref="M38:N38"/>
    <mergeCell ref="B46:C46"/>
    <mergeCell ref="J44:K44"/>
    <mergeCell ref="K46:L46"/>
    <mergeCell ref="J38:K38"/>
    <mergeCell ref="M41:N41"/>
    <mergeCell ref="A53:B53"/>
    <mergeCell ref="D55:E55"/>
    <mergeCell ref="C53:D53"/>
    <mergeCell ref="F53:G53"/>
    <mergeCell ref="B52:C52"/>
    <mergeCell ref="M44:N44"/>
    <mergeCell ref="K49:L49"/>
    <mergeCell ref="M47:N47"/>
    <mergeCell ref="K45:L45"/>
    <mergeCell ref="K48:L48"/>
    <mergeCell ref="H44:I44"/>
    <mergeCell ref="A50:B50"/>
    <mergeCell ref="D51:E51"/>
    <mergeCell ref="D42:E42"/>
    <mergeCell ref="M50:N50"/>
    <mergeCell ref="B51:C51"/>
    <mergeCell ref="C50:D50"/>
    <mergeCell ref="I48:J48"/>
    <mergeCell ref="I49:J49"/>
    <mergeCell ref="D48:E48"/>
    <mergeCell ref="H17:I17"/>
    <mergeCell ref="J17:K17"/>
    <mergeCell ref="B39:C39"/>
    <mergeCell ref="D39:E39"/>
    <mergeCell ref="K27:L27"/>
    <mergeCell ref="A29:B29"/>
    <mergeCell ref="F29:G29"/>
    <mergeCell ref="H29:I29"/>
    <mergeCell ref="I28:J28"/>
    <mergeCell ref="I27:J27"/>
    <mergeCell ref="C29:D29"/>
    <mergeCell ref="B27:C27"/>
    <mergeCell ref="I30:J30"/>
    <mergeCell ref="J23:K23"/>
    <mergeCell ref="B24:C24"/>
    <mergeCell ref="B25:C25"/>
    <mergeCell ref="K25:L25"/>
    <mergeCell ref="D25:E25"/>
    <mergeCell ref="J20:K20"/>
    <mergeCell ref="K22:L22"/>
    <mergeCell ref="D19:E19"/>
    <mergeCell ref="I21:J21"/>
    <mergeCell ref="A23:B23"/>
    <mergeCell ref="H23:I23"/>
    <mergeCell ref="H20:I20"/>
    <mergeCell ref="D21:E21"/>
    <mergeCell ref="I24:J24"/>
    <mergeCell ref="K24:L24"/>
    <mergeCell ref="D24:E24"/>
    <mergeCell ref="D22:E22"/>
    <mergeCell ref="I22:J22"/>
    <mergeCell ref="B58:C58"/>
    <mergeCell ref="K30:L30"/>
    <mergeCell ref="B34:C34"/>
    <mergeCell ref="D34:E34"/>
    <mergeCell ref="K34:L34"/>
    <mergeCell ref="B31:C31"/>
    <mergeCell ref="D31:E31"/>
    <mergeCell ref="B28:C28"/>
    <mergeCell ref="D28:E28"/>
    <mergeCell ref="K28:L28"/>
    <mergeCell ref="I31:J31"/>
    <mergeCell ref="K31:L31"/>
    <mergeCell ref="J29:K29"/>
    <mergeCell ref="A56:B56"/>
    <mergeCell ref="C56:D56"/>
    <mergeCell ref="D54:E54"/>
    <mergeCell ref="B49:C49"/>
    <mergeCell ref="B48:C48"/>
    <mergeCell ref="D45:E45"/>
    <mergeCell ref="B54:C54"/>
    <mergeCell ref="C47:D47"/>
    <mergeCell ref="D46:E46"/>
    <mergeCell ref="D49:E49"/>
    <mergeCell ref="K42:L42"/>
    <mergeCell ref="M74:N74"/>
    <mergeCell ref="M65:N65"/>
    <mergeCell ref="D70:E70"/>
    <mergeCell ref="I58:J58"/>
    <mergeCell ref="H59:I59"/>
    <mergeCell ref="I63:J63"/>
    <mergeCell ref="H62:I62"/>
    <mergeCell ref="M68:N68"/>
    <mergeCell ref="J41:K41"/>
    <mergeCell ref="H41:I41"/>
    <mergeCell ref="J50:K50"/>
    <mergeCell ref="K43:L43"/>
    <mergeCell ref="M62:N62"/>
    <mergeCell ref="K69:L69"/>
    <mergeCell ref="I70:J70"/>
    <mergeCell ref="K70:L70"/>
    <mergeCell ref="M71:N71"/>
    <mergeCell ref="I42:J42"/>
    <mergeCell ref="K52:L52"/>
    <mergeCell ref="D52:E52"/>
    <mergeCell ref="I52:J52"/>
    <mergeCell ref="J62:K62"/>
    <mergeCell ref="D60:E60"/>
    <mergeCell ref="M53:N53"/>
    <mergeCell ref="J11:K11"/>
    <mergeCell ref="F17:G17"/>
    <mergeCell ref="J14:K14"/>
    <mergeCell ref="C11:D11"/>
    <mergeCell ref="C26:D26"/>
    <mergeCell ref="J26:K26"/>
    <mergeCell ref="H26:I26"/>
    <mergeCell ref="M29:N29"/>
    <mergeCell ref="D13:E13"/>
    <mergeCell ref="D15:E15"/>
    <mergeCell ref="C17:D17"/>
    <mergeCell ref="F26:G26"/>
    <mergeCell ref="D12:E12"/>
    <mergeCell ref="D18:E18"/>
    <mergeCell ref="B18:C18"/>
    <mergeCell ref="D27:E27"/>
    <mergeCell ref="M14:N14"/>
    <mergeCell ref="K16:L16"/>
    <mergeCell ref="I16:J16"/>
    <mergeCell ref="M26:N26"/>
    <mergeCell ref="I13:J13"/>
    <mergeCell ref="C23:D23"/>
    <mergeCell ref="F23:G23"/>
    <mergeCell ref="I25:J25"/>
    <mergeCell ref="A3:N3"/>
    <mergeCell ref="M8:N8"/>
    <mergeCell ref="I6:J6"/>
    <mergeCell ref="K6:L6"/>
    <mergeCell ref="H8:I8"/>
    <mergeCell ref="H4:N4"/>
    <mergeCell ref="H5:I5"/>
    <mergeCell ref="J5:K5"/>
    <mergeCell ref="K9:L9"/>
    <mergeCell ref="D9:E9"/>
    <mergeCell ref="I9:J9"/>
    <mergeCell ref="D10:E10"/>
    <mergeCell ref="M5:N5"/>
    <mergeCell ref="A26:B26"/>
    <mergeCell ref="B6:C6"/>
    <mergeCell ref="J8:K8"/>
    <mergeCell ref="K10:L10"/>
    <mergeCell ref="K60:L60"/>
    <mergeCell ref="B57:C57"/>
    <mergeCell ref="D57:E57"/>
    <mergeCell ref="B55:C55"/>
    <mergeCell ref="D58:E58"/>
    <mergeCell ref="J53:K53"/>
    <mergeCell ref="K55:L55"/>
    <mergeCell ref="F56:G56"/>
    <mergeCell ref="I57:J57"/>
    <mergeCell ref="K58:L58"/>
    <mergeCell ref="J59:K59"/>
    <mergeCell ref="K57:L57"/>
    <mergeCell ref="K51:L51"/>
    <mergeCell ref="K37:L37"/>
    <mergeCell ref="I34:J34"/>
    <mergeCell ref="B37:C37"/>
    <mergeCell ref="D37:E37"/>
    <mergeCell ref="I37:J37"/>
    <mergeCell ref="C35:D35"/>
    <mergeCell ref="F35:G35"/>
    <mergeCell ref="B30:C30"/>
    <mergeCell ref="D30:E30"/>
    <mergeCell ref="I51:J51"/>
    <mergeCell ref="H50:I50"/>
    <mergeCell ref="F50:G50"/>
    <mergeCell ref="H47:I47"/>
    <mergeCell ref="I45:J45"/>
    <mergeCell ref="I43:J43"/>
    <mergeCell ref="F44:G44"/>
    <mergeCell ref="J47:K47"/>
    <mergeCell ref="A47:B47"/>
    <mergeCell ref="B42:C42"/>
    <mergeCell ref="F47:G47"/>
    <mergeCell ref="A44:B44"/>
    <mergeCell ref="F38:G38"/>
    <mergeCell ref="A41:B41"/>
    <mergeCell ref="F41:G41"/>
    <mergeCell ref="C41:D41"/>
    <mergeCell ref="B40:C40"/>
    <mergeCell ref="D40:E40"/>
    <mergeCell ref="I40:J40"/>
    <mergeCell ref="K40:L40"/>
    <mergeCell ref="B61:C61"/>
    <mergeCell ref="A62:B62"/>
    <mergeCell ref="C62:D62"/>
    <mergeCell ref="I61:J61"/>
    <mergeCell ref="D69:E69"/>
    <mergeCell ref="I69:J69"/>
    <mergeCell ref="J71:K71"/>
    <mergeCell ref="B69:C69"/>
    <mergeCell ref="D66:E66"/>
    <mergeCell ref="I66:J66"/>
    <mergeCell ref="K66:L66"/>
    <mergeCell ref="A68:B68"/>
    <mergeCell ref="C68:D68"/>
    <mergeCell ref="F68:G68"/>
    <mergeCell ref="H68:I68"/>
    <mergeCell ref="J68:K68"/>
    <mergeCell ref="B70:C70"/>
    <mergeCell ref="A59:B59"/>
    <mergeCell ref="C59:D59"/>
    <mergeCell ref="K61:L61"/>
    <mergeCell ref="I60:J60"/>
    <mergeCell ref="D61:E61"/>
    <mergeCell ref="B60:C60"/>
    <mergeCell ref="H65:I65"/>
    <mergeCell ref="I64:J64"/>
    <mergeCell ref="B67:C67"/>
    <mergeCell ref="F62:G62"/>
    <mergeCell ref="D64:E64"/>
    <mergeCell ref="A65:B65"/>
    <mergeCell ref="C65:D65"/>
    <mergeCell ref="B64:C64"/>
    <mergeCell ref="K63:L63"/>
    <mergeCell ref="D63:E63"/>
    <mergeCell ref="K64:L64"/>
    <mergeCell ref="J65:K65"/>
    <mergeCell ref="F65:G65"/>
    <mergeCell ref="B63:C63"/>
    <mergeCell ref="K67:L67"/>
    <mergeCell ref="D67:E67"/>
    <mergeCell ref="I67:J67"/>
    <mergeCell ref="B66:C66"/>
    <mergeCell ref="J56:K56"/>
    <mergeCell ref="F59:G59"/>
    <mergeCell ref="I55:J55"/>
    <mergeCell ref="H56:I56"/>
    <mergeCell ref="I54:J54"/>
    <mergeCell ref="K54:L54"/>
    <mergeCell ref="H53:I53"/>
    <mergeCell ref="M59:N59"/>
    <mergeCell ref="M56:N56"/>
    <mergeCell ref="A77:B77"/>
    <mergeCell ref="C77:D77"/>
    <mergeCell ref="J74:K74"/>
    <mergeCell ref="F74:G74"/>
    <mergeCell ref="B72:C72"/>
    <mergeCell ref="D72:E72"/>
    <mergeCell ref="I72:J72"/>
    <mergeCell ref="K72:L72"/>
    <mergeCell ref="C71:D71"/>
    <mergeCell ref="A71:B71"/>
    <mergeCell ref="F71:G71"/>
    <mergeCell ref="H74:I74"/>
    <mergeCell ref="A74:B74"/>
    <mergeCell ref="C74:D74"/>
    <mergeCell ref="H71:I71"/>
    <mergeCell ref="D73:E73"/>
    <mergeCell ref="B73:C73"/>
    <mergeCell ref="K73:L73"/>
    <mergeCell ref="I73:J73"/>
    <mergeCell ref="K75:L75"/>
    <mergeCell ref="I75:J75"/>
    <mergeCell ref="B75:C75"/>
    <mergeCell ref="D75:E75"/>
    <mergeCell ref="B78:C78"/>
    <mergeCell ref="D78:E78"/>
    <mergeCell ref="K78:L78"/>
    <mergeCell ref="F77:G77"/>
    <mergeCell ref="H85:I85"/>
    <mergeCell ref="I84:J84"/>
    <mergeCell ref="A82:B82"/>
    <mergeCell ref="A85:B85"/>
    <mergeCell ref="B76:C76"/>
    <mergeCell ref="D76:E76"/>
    <mergeCell ref="B84:C84"/>
    <mergeCell ref="D84:E84"/>
    <mergeCell ref="C85:D85"/>
    <mergeCell ref="B79:C79"/>
    <mergeCell ref="K83:L83"/>
    <mergeCell ref="H81:N81"/>
    <mergeCell ref="M77:N77"/>
    <mergeCell ref="J77:K77"/>
    <mergeCell ref="I76:J76"/>
    <mergeCell ref="K76:L76"/>
    <mergeCell ref="H77:I77"/>
    <mergeCell ref="J85:K85"/>
    <mergeCell ref="A81:G81"/>
    <mergeCell ref="B83:C83"/>
    <mergeCell ref="J82:K82"/>
    <mergeCell ref="D79:E79"/>
    <mergeCell ref="I83:J83"/>
    <mergeCell ref="H82:I82"/>
    <mergeCell ref="A80:N80"/>
    <mergeCell ref="C82:D82"/>
    <mergeCell ref="M85:N85"/>
    <mergeCell ref="K79:L79"/>
    <mergeCell ref="D83:E83"/>
    <mergeCell ref="I79:J79"/>
    <mergeCell ref="M82:N82"/>
    <mergeCell ref="F82:G82"/>
    <mergeCell ref="K102:L102"/>
    <mergeCell ref="A103:B103"/>
    <mergeCell ref="C103:D103"/>
    <mergeCell ref="F103:G103"/>
    <mergeCell ref="H103:I103"/>
    <mergeCell ref="J103:K103"/>
    <mergeCell ref="A109:B109"/>
    <mergeCell ref="I78:J78"/>
    <mergeCell ref="M88:N88"/>
    <mergeCell ref="A94:B94"/>
    <mergeCell ref="B89:C89"/>
    <mergeCell ref="M94:N94"/>
    <mergeCell ref="K84:L84"/>
    <mergeCell ref="C91:D91"/>
    <mergeCell ref="F91:G91"/>
    <mergeCell ref="H91:I91"/>
    <mergeCell ref="D87:E87"/>
    <mergeCell ref="B86:C86"/>
    <mergeCell ref="A91:B91"/>
    <mergeCell ref="J91:K91"/>
    <mergeCell ref="M91:N91"/>
    <mergeCell ref="B93:C93"/>
    <mergeCell ref="D93:E93"/>
    <mergeCell ref="I93:J93"/>
  </mergeCells>
  <phoneticPr fontId="22"/>
  <dataValidations count="5">
    <dataValidation imeMode="disabled" allowBlank="1" showInputMessage="1" showErrorMessage="1" sqref="I190:J195 B190:C195 B181:C186 I181:J186 B172:C177 I172:J177 B163:C168 I163:J168"/>
    <dataValidation type="list" errorStyle="information" imeMode="disabled" allowBlank="1" showInputMessage="1" showErrorMessage="1" sqref="G188 N188">
      <formula1>$Q$160:$Q$164</formula1>
    </dataValidation>
    <dataValidation imeMode="off" allowBlank="1" showInputMessage="1" showErrorMessage="1" sqref="F109 M154 M26 F26 F23 M23 M20 F20 F17 M17 M14 F14 F11 M11 M8 F5 F32 M5 F77 F8 M29 F29 M32 F65 M59 F59 F56 M56 M53 F53 F50 M50 M47 F47 F44 M44 M41 F41 F38 M38 M35 F35 M62 F62 M65 F74 M68 F68 M71 F71 M74 M151 F148 M148 F145 M145 F151 M142 F139 M139 F112 M112 M115 F115 F118 M118 M121 F121 F124 M124 M127 F127 F130 M130 M133 F133 F136 M136 F142 M109 F106 M106 M77 F154 M82 F82 F85 M85 M88 F88 F91 M91 M94 F94 F97 M97 M100 F100 F103 M103"/>
    <dataValidation type="list" allowBlank="1" showInputMessage="1" showErrorMessage="1" sqref="G161 N161 G170 N170 G179 N179">
      <formula1>$Q$160:$Q$164</formula1>
    </dataValidation>
    <dataValidation type="list" allowBlank="1" showInputMessage="1" showErrorMessage="1" sqref="C160:D160 J160:K160 J169:K169 C169:D169 C178:D178 J178:K178 C187:D187 J187:K187">
      <formula1>$X$160:$X$162</formula1>
    </dataValidation>
  </dataValidations>
  <printOptions horizontalCentered="1"/>
  <pageMargins left="0.98425196850393704" right="0.98425196850393704" top="0.59055118110236227" bottom="0.59055118110236227" header="0.51181102362204722" footer="0.51181102362204722"/>
  <pageSetup paperSize="9" orientation="portrait" horizontalDpi="300" verticalDpi="300" r:id="rId1"/>
  <headerFooter alignWithMargins="0"/>
  <rowBreaks count="3" manualBreakCount="3">
    <brk id="49" max="16383" man="1"/>
    <brk id="99" max="16383" man="1"/>
    <brk id="147" max="16383" man="1"/>
  </rowBreaks>
  <drawing r:id="rId2"/>
</worksheet>
</file>

<file path=xl/worksheets/sheet19.xml><?xml version="1.0" encoding="utf-8"?>
<worksheet xmlns="http://schemas.openxmlformats.org/spreadsheetml/2006/main" xmlns:r="http://schemas.openxmlformats.org/officeDocument/2006/relationships">
  <sheetPr codeName="Sheet25" enableFormatConditionsCalculation="0">
    <tabColor indexed="35"/>
    <pageSetUpPr fitToPage="1"/>
  </sheetPr>
  <dimension ref="A1:AD85"/>
  <sheetViews>
    <sheetView showGridLines="0" showRowColHeaders="0" showZeros="0" zoomScale="90" zoomScaleNormal="90" workbookViewId="0">
      <selection activeCell="F3" sqref="F3"/>
    </sheetView>
  </sheetViews>
  <sheetFormatPr defaultColWidth="7" defaultRowHeight="12"/>
  <cols>
    <col min="1" max="1" width="3.625" style="225" customWidth="1"/>
    <col min="2" max="2" width="8.875" style="225" customWidth="1"/>
    <col min="3" max="3" width="15.5" style="225" customWidth="1"/>
    <col min="4" max="5" width="1.25" style="225" customWidth="1"/>
    <col min="6" max="6" width="13.5" style="225" customWidth="1"/>
    <col min="7" max="7" width="2.875" style="225" customWidth="1"/>
    <col min="8" max="8" width="7.375" style="225" customWidth="1"/>
    <col min="9" max="9" width="9.125" style="225" customWidth="1"/>
    <col min="10" max="10" width="7.5" style="225" customWidth="1"/>
    <col min="11" max="11" width="7.375" style="225" customWidth="1"/>
    <col min="12" max="12" width="9.125" style="225" customWidth="1"/>
    <col min="13" max="13" width="7.5" style="225" customWidth="1"/>
    <col min="14" max="14" width="12.5" style="225" customWidth="1"/>
    <col min="15" max="15" width="3.125" style="225" customWidth="1"/>
    <col min="16" max="16" width="3.25" style="215" hidden="1" customWidth="1"/>
    <col min="17" max="17" width="3.75" style="215" hidden="1" customWidth="1"/>
    <col min="18" max="18" width="6.75" style="215" customWidth="1"/>
    <col min="19" max="19" width="6" style="215" hidden="1" customWidth="1"/>
    <col min="20" max="20" width="5" style="215" hidden="1" customWidth="1"/>
    <col min="21" max="21" width="5" style="215" customWidth="1"/>
    <col min="22" max="22" width="4.375" style="215" customWidth="1"/>
    <col min="23" max="23" width="7" style="215" customWidth="1"/>
    <col min="24" max="24" width="6.625" style="215" customWidth="1"/>
    <col min="25" max="25" width="10.25" style="215" hidden="1" customWidth="1"/>
    <col min="26" max="26" width="7" style="215" hidden="1" customWidth="1"/>
    <col min="27" max="27" width="9.25" style="563" hidden="1" customWidth="1"/>
    <col min="28" max="29" width="8.375" style="563" hidden="1" customWidth="1"/>
    <col min="30" max="30" width="8.375" style="215" customWidth="1"/>
    <col min="31" max="31" width="10.25" style="215" customWidth="1"/>
    <col min="32" max="16384" width="7" style="215"/>
  </cols>
  <sheetData>
    <row r="1" spans="1:30" ht="18" thickBot="1">
      <c r="A1" s="437"/>
      <c r="B1" s="438"/>
      <c r="C1" s="438"/>
      <c r="D1" s="438"/>
      <c r="E1" s="438"/>
      <c r="F1" s="439" t="s">
        <v>480</v>
      </c>
      <c r="G1" s="438"/>
      <c r="H1" s="438"/>
      <c r="I1" s="438"/>
      <c r="J1" s="438"/>
      <c r="K1" s="438"/>
      <c r="L1" s="438"/>
      <c r="M1" s="438"/>
      <c r="N1" s="440" t="s">
        <v>554</v>
      </c>
      <c r="O1" s="441"/>
      <c r="P1" s="442"/>
      <c r="Q1" s="442"/>
      <c r="R1" s="442"/>
      <c r="S1" s="442"/>
      <c r="T1" s="442"/>
      <c r="U1" s="442"/>
      <c r="V1" s="442"/>
      <c r="W1" s="442"/>
      <c r="X1" s="442"/>
      <c r="Y1" s="442"/>
      <c r="Z1" s="442"/>
      <c r="AA1" s="562" t="s">
        <v>567</v>
      </c>
      <c r="AB1" s="562"/>
      <c r="AC1" s="562"/>
      <c r="AD1" s="442"/>
    </row>
    <row r="2" spans="1:30" ht="18" thickBot="1">
      <c r="A2" s="1508" t="s">
        <v>554</v>
      </c>
      <c r="B2" s="1508"/>
      <c r="C2" s="443"/>
      <c r="D2" s="443"/>
      <c r="E2" s="443"/>
      <c r="F2" s="438"/>
      <c r="G2" s="438"/>
      <c r="H2" s="438"/>
      <c r="I2" s="444"/>
      <c r="J2" s="443"/>
      <c r="K2" s="443"/>
      <c r="L2" s="490" t="s">
        <v>482</v>
      </c>
      <c r="M2" s="491"/>
      <c r="N2" s="492" t="s">
        <v>483</v>
      </c>
      <c r="O2" s="441"/>
      <c r="P2" s="442"/>
      <c r="Q2" s="442"/>
      <c r="R2" s="442"/>
      <c r="S2" s="442"/>
      <c r="T2" s="442"/>
      <c r="U2" s="442"/>
      <c r="V2" s="442"/>
      <c r="W2" s="442"/>
      <c r="X2" s="442"/>
      <c r="Y2" s="442"/>
      <c r="Z2" s="442"/>
      <c r="AA2" s="562" t="s">
        <v>568</v>
      </c>
      <c r="AB2" s="562"/>
      <c r="AC2" s="562"/>
      <c r="AD2" s="442"/>
    </row>
    <row r="3" spans="1:30" ht="30" customHeight="1">
      <c r="A3" s="1639" t="s">
        <v>555</v>
      </c>
      <c r="B3" s="1517"/>
      <c r="C3" s="437"/>
      <c r="D3" s="445"/>
      <c r="E3" s="445"/>
      <c r="F3" s="445"/>
      <c r="G3" s="445"/>
      <c r="H3" s="445"/>
      <c r="I3" s="445" t="s">
        <v>278</v>
      </c>
      <c r="J3" s="1621"/>
      <c r="K3" s="1621"/>
      <c r="L3" s="1621"/>
      <c r="M3" s="1621"/>
      <c r="N3" s="1621"/>
      <c r="O3" s="446"/>
      <c r="P3" s="442"/>
      <c r="Q3" s="442"/>
      <c r="R3" s="442"/>
      <c r="S3" s="442"/>
      <c r="T3" s="442"/>
      <c r="U3" s="442"/>
      <c r="V3" s="442"/>
      <c r="W3" s="442"/>
      <c r="X3" s="442"/>
      <c r="Y3" s="442"/>
      <c r="Z3" s="442"/>
      <c r="AA3" s="562" t="s">
        <v>569</v>
      </c>
      <c r="AB3" s="562"/>
      <c r="AC3" s="562"/>
      <c r="AD3" s="442"/>
    </row>
    <row r="4" spans="1:30" ht="12.75">
      <c r="A4" s="1509" t="s">
        <v>556</v>
      </c>
      <c r="B4" s="1509"/>
      <c r="C4" s="1509"/>
      <c r="D4" s="1510"/>
      <c r="E4" s="1510"/>
      <c r="F4" s="1510"/>
      <c r="G4" s="1510"/>
      <c r="H4" s="1510"/>
      <c r="I4" s="1510"/>
      <c r="J4" s="437"/>
      <c r="K4" s="437"/>
      <c r="L4" s="437"/>
      <c r="M4" s="437"/>
      <c r="N4" s="437"/>
      <c r="O4" s="447"/>
      <c r="P4" s="442"/>
      <c r="Q4" s="442"/>
      <c r="R4" s="442"/>
      <c r="S4" s="442"/>
      <c r="T4" s="442"/>
      <c r="U4" s="442"/>
      <c r="V4" s="442"/>
      <c r="W4" s="442"/>
      <c r="X4" s="442"/>
      <c r="Y4" s="442"/>
      <c r="Z4" s="442"/>
      <c r="AA4" s="562" t="s">
        <v>570</v>
      </c>
      <c r="AB4" s="562"/>
      <c r="AC4" s="562"/>
      <c r="AD4" s="442"/>
    </row>
    <row r="5" spans="1:30" ht="11.25" customHeight="1">
      <c r="A5" s="1511" t="s">
        <v>486</v>
      </c>
      <c r="B5" s="1512"/>
      <c r="C5" s="1512"/>
      <c r="D5" s="1511" t="s">
        <v>487</v>
      </c>
      <c r="E5" s="1512"/>
      <c r="F5" s="1512"/>
      <c r="G5" s="1512"/>
      <c r="H5" s="1552"/>
      <c r="I5" s="1515" t="s">
        <v>488</v>
      </c>
      <c r="J5" s="1543">
        <f>名簿!$D$1</f>
        <v>0</v>
      </c>
      <c r="K5" s="1559"/>
      <c r="L5" s="1544"/>
      <c r="M5" s="1563" t="s">
        <v>489</v>
      </c>
      <c r="N5" s="1563">
        <f>名簿!C4</f>
        <v>0</v>
      </c>
      <c r="O5" s="442"/>
      <c r="P5" s="442"/>
      <c r="Q5" s="442"/>
      <c r="R5" s="442"/>
      <c r="S5" s="442"/>
      <c r="T5" s="442"/>
      <c r="U5" s="442"/>
      <c r="V5" s="442"/>
      <c r="W5" s="442"/>
      <c r="X5" s="442"/>
      <c r="Y5" s="442"/>
      <c r="Z5" s="442"/>
      <c r="AA5" s="562" t="s">
        <v>571</v>
      </c>
      <c r="AB5" s="562"/>
      <c r="AC5" s="562"/>
      <c r="AD5" s="442"/>
    </row>
    <row r="6" spans="1:30">
      <c r="A6" s="1513"/>
      <c r="B6" s="1514"/>
      <c r="C6" s="1514"/>
      <c r="D6" s="1513"/>
      <c r="E6" s="1514"/>
      <c r="F6" s="1514"/>
      <c r="G6" s="1514"/>
      <c r="H6" s="1553"/>
      <c r="I6" s="1516"/>
      <c r="J6" s="1560"/>
      <c r="K6" s="1561"/>
      <c r="L6" s="1562"/>
      <c r="M6" s="1564"/>
      <c r="N6" s="1564"/>
      <c r="O6" s="442"/>
      <c r="P6" s="442"/>
      <c r="Q6" s="442"/>
      <c r="R6" s="442"/>
      <c r="S6" s="442"/>
      <c r="T6" s="442"/>
      <c r="U6" s="442"/>
      <c r="V6" s="442"/>
      <c r="W6" s="442"/>
      <c r="X6" s="442"/>
      <c r="Y6" s="442"/>
      <c r="Z6" s="442"/>
      <c r="AA6" s="562"/>
      <c r="AB6" s="562"/>
      <c r="AC6" s="562"/>
      <c r="AD6" s="442"/>
    </row>
    <row r="7" spans="1:30" ht="17.25" customHeight="1">
      <c r="A7" s="1624">
        <f>名簿!$O$4</f>
        <v>0</v>
      </c>
      <c r="B7" s="1625"/>
      <c r="C7" s="1626"/>
      <c r="D7" s="1630"/>
      <c r="E7" s="1631"/>
      <c r="F7" s="1631"/>
      <c r="G7" s="1631"/>
      <c r="H7" s="1636" t="s">
        <v>490</v>
      </c>
      <c r="I7" s="449" t="s">
        <v>491</v>
      </c>
      <c r="J7" s="1573">
        <f>名簿!$I$1</f>
        <v>0</v>
      </c>
      <c r="K7" s="1567"/>
      <c r="L7" s="1567"/>
      <c r="M7" s="452" t="s">
        <v>492</v>
      </c>
      <c r="N7" s="453"/>
      <c r="O7" s="442"/>
      <c r="P7" s="442"/>
      <c r="Q7" s="442"/>
      <c r="R7" s="442"/>
      <c r="S7" s="442"/>
      <c r="T7" s="442"/>
      <c r="U7" s="442"/>
      <c r="V7" s="442"/>
      <c r="W7" s="442"/>
      <c r="X7" s="442"/>
      <c r="Y7" s="442"/>
      <c r="Z7" s="442"/>
      <c r="AA7" s="562"/>
      <c r="AB7" s="562"/>
      <c r="AC7" s="562"/>
      <c r="AD7" s="442"/>
    </row>
    <row r="8" spans="1:30" ht="16.5" customHeight="1">
      <c r="A8" s="1627"/>
      <c r="B8" s="1628"/>
      <c r="C8" s="1629"/>
      <c r="D8" s="1632"/>
      <c r="E8" s="1633"/>
      <c r="F8" s="1633"/>
      <c r="G8" s="1633"/>
      <c r="H8" s="1637"/>
      <c r="I8" s="449" t="s">
        <v>493</v>
      </c>
      <c r="J8" s="1573">
        <f>J7</f>
        <v>0</v>
      </c>
      <c r="K8" s="1574"/>
      <c r="L8" s="1574"/>
      <c r="M8" s="1574"/>
      <c r="N8" s="1575"/>
      <c r="O8" s="442"/>
      <c r="P8" s="442"/>
      <c r="Q8" s="442"/>
      <c r="R8" s="442"/>
      <c r="S8" s="442"/>
      <c r="T8" s="442"/>
      <c r="U8" s="442"/>
      <c r="V8" s="442"/>
      <c r="W8" s="442"/>
      <c r="X8" s="442"/>
      <c r="Y8" s="442"/>
      <c r="Z8" s="442"/>
      <c r="AA8" s="562"/>
      <c r="AB8" s="562"/>
      <c r="AC8" s="562"/>
      <c r="AD8" s="442"/>
    </row>
    <row r="9" spans="1:30" ht="16.5" customHeight="1">
      <c r="A9" s="1536" t="s">
        <v>494</v>
      </c>
      <c r="B9" s="1537"/>
      <c r="C9" s="1538"/>
      <c r="D9" s="1634"/>
      <c r="E9" s="1635"/>
      <c r="F9" s="1635"/>
      <c r="G9" s="1635"/>
      <c r="H9" s="1638"/>
      <c r="I9" s="454" t="s">
        <v>495</v>
      </c>
      <c r="J9" s="1521"/>
      <c r="K9" s="1522"/>
      <c r="L9" s="1522"/>
      <c r="M9" s="1522"/>
      <c r="N9" s="1523"/>
      <c r="O9" s="442"/>
      <c r="P9" s="442"/>
      <c r="Q9" s="442"/>
      <c r="R9" s="442"/>
      <c r="S9" s="442"/>
      <c r="T9" s="442"/>
      <c r="U9" s="442"/>
      <c r="V9" s="442"/>
      <c r="W9" s="442"/>
      <c r="X9" s="442"/>
      <c r="Y9" s="442"/>
      <c r="Z9" s="442"/>
      <c r="AA9" s="562"/>
      <c r="AB9" s="562"/>
      <c r="AC9" s="562"/>
      <c r="AD9" s="442"/>
    </row>
    <row r="10" spans="1:30" ht="11.25" customHeight="1">
      <c r="A10" s="1539"/>
      <c r="B10" s="1541" t="s">
        <v>496</v>
      </c>
      <c r="C10" s="1541" t="s">
        <v>497</v>
      </c>
      <c r="D10" s="1543" t="s">
        <v>498</v>
      </c>
      <c r="E10" s="1544"/>
      <c r="F10" s="1541" t="s">
        <v>499</v>
      </c>
      <c r="G10" s="1541" t="s">
        <v>500</v>
      </c>
      <c r="H10" s="448"/>
      <c r="I10" s="1565" t="s">
        <v>501</v>
      </c>
      <c r="J10" s="1565"/>
      <c r="K10" s="1565"/>
      <c r="L10" s="1565"/>
      <c r="M10" s="1565"/>
      <c r="N10" s="455" t="s">
        <v>557</v>
      </c>
      <c r="O10" s="442"/>
      <c r="P10" s="442"/>
      <c r="Q10" s="442"/>
      <c r="R10" s="442"/>
      <c r="S10" s="442"/>
      <c r="T10" s="442"/>
      <c r="U10" s="442"/>
      <c r="V10" s="442"/>
      <c r="W10" s="442"/>
      <c r="X10" s="442"/>
      <c r="Y10" s="442"/>
      <c r="Z10" s="442"/>
      <c r="AA10" s="562" t="s">
        <v>645</v>
      </c>
      <c r="AB10" s="562"/>
      <c r="AC10" s="562" t="s">
        <v>646</v>
      </c>
      <c r="AD10" s="442"/>
    </row>
    <row r="11" spans="1:30" ht="11.25" customHeight="1" thickBot="1">
      <c r="A11" s="1540"/>
      <c r="B11" s="1511"/>
      <c r="C11" s="1515"/>
      <c r="D11" s="1545"/>
      <c r="E11" s="1546"/>
      <c r="F11" s="1515"/>
      <c r="G11" s="1515"/>
      <c r="H11" s="1518" t="s">
        <v>503</v>
      </c>
      <c r="I11" s="1519"/>
      <c r="J11" s="1520"/>
      <c r="K11" s="1518" t="s">
        <v>504</v>
      </c>
      <c r="L11" s="1519"/>
      <c r="M11" s="1520"/>
      <c r="N11" s="456"/>
      <c r="O11" s="442"/>
      <c r="P11" s="442"/>
      <c r="Q11" s="442"/>
      <c r="R11" s="442"/>
      <c r="S11" s="442"/>
      <c r="T11" s="442"/>
      <c r="U11" s="442"/>
      <c r="V11" s="442"/>
      <c r="W11" s="442"/>
      <c r="X11" s="442"/>
      <c r="Y11" s="442"/>
      <c r="Z11" s="442"/>
      <c r="AA11" s="562" t="s">
        <v>647</v>
      </c>
      <c r="AB11" s="562"/>
      <c r="AC11" s="562" t="s">
        <v>648</v>
      </c>
      <c r="AD11" s="442"/>
    </row>
    <row r="12" spans="1:30" s="219" customFormat="1" ht="12.75" customHeight="1" thickBot="1">
      <c r="A12" s="483" t="s">
        <v>505</v>
      </c>
      <c r="B12" s="483" t="s">
        <v>506</v>
      </c>
      <c r="C12" s="483" t="s">
        <v>604</v>
      </c>
      <c r="D12" s="1622">
        <v>3</v>
      </c>
      <c r="E12" s="1623"/>
      <c r="F12" s="484" t="s">
        <v>508</v>
      </c>
      <c r="G12" s="483" t="s">
        <v>603</v>
      </c>
      <c r="H12" s="484" t="s">
        <v>587</v>
      </c>
      <c r="I12" s="485" t="s">
        <v>558</v>
      </c>
      <c r="J12" s="486" t="s">
        <v>511</v>
      </c>
      <c r="K12" s="484" t="s">
        <v>587</v>
      </c>
      <c r="L12" s="487" t="s">
        <v>559</v>
      </c>
      <c r="M12" s="488" t="s">
        <v>511</v>
      </c>
      <c r="N12" s="489" t="s">
        <v>512</v>
      </c>
      <c r="O12" s="464"/>
      <c r="P12" s="464"/>
      <c r="Q12" s="464"/>
      <c r="R12" s="464"/>
      <c r="S12" s="464"/>
      <c r="T12" s="464"/>
      <c r="U12" s="464"/>
      <c r="V12" s="464"/>
      <c r="W12" s="464"/>
      <c r="X12" s="464"/>
      <c r="Y12" s="464"/>
      <c r="Z12" s="464"/>
      <c r="AA12" s="562" t="s">
        <v>649</v>
      </c>
      <c r="AB12" s="562"/>
      <c r="AC12" s="562" t="s">
        <v>650</v>
      </c>
      <c r="AD12" s="464"/>
    </row>
    <row r="13" spans="1:30" ht="30" customHeight="1">
      <c r="A13" s="465">
        <v>1</v>
      </c>
      <c r="B13" s="493"/>
      <c r="C13" s="756" t="str">
        <f>IF(B13="","",VLOOKUP(B13,名簿!$E$4:$J$184,3,FALSE))</f>
        <v/>
      </c>
      <c r="D13" s="1557" t="str">
        <f>IF(B13="","",VLOOKUP(B13,名簿!$E$4:$J$184,5,FALSE))</f>
        <v/>
      </c>
      <c r="E13" s="1558"/>
      <c r="F13" s="1099" t="str">
        <f>IF(B13="","",VLOOKUP(B13,名簿!$E$4:$W$184,4,FALSE))</f>
        <v/>
      </c>
      <c r="G13" s="757" t="str">
        <f>IF(B13="","",VLOOKUP(B13,名簿!$E$4:$J$184,6,FALSE))</f>
        <v/>
      </c>
      <c r="H13" s="760"/>
      <c r="I13" s="494"/>
      <c r="J13" s="495"/>
      <c r="K13" s="494"/>
      <c r="L13" s="494"/>
      <c r="M13" s="495"/>
      <c r="N13" s="496"/>
      <c r="O13" s="442"/>
      <c r="P13" s="442"/>
      <c r="Q13" s="442"/>
      <c r="R13" s="442"/>
      <c r="S13" s="442" t="s">
        <v>513</v>
      </c>
      <c r="T13" s="442" t="s">
        <v>514</v>
      </c>
      <c r="U13" s="442"/>
      <c r="V13" s="442"/>
      <c r="W13" s="442"/>
      <c r="X13" s="442"/>
      <c r="Y13" s="442" t="str">
        <f t="shared" ref="Y13:Y37" si="0">CONCATENATE(H13,I13)</f>
        <v/>
      </c>
      <c r="Z13" s="442" t="str">
        <f t="shared" ref="Z13:Z37" si="1">CONCATENATE(K13,L13)</f>
        <v/>
      </c>
      <c r="AA13" s="562" t="s">
        <v>651</v>
      </c>
      <c r="AB13" s="562"/>
      <c r="AC13" s="562" t="s">
        <v>652</v>
      </c>
      <c r="AD13" s="442"/>
    </row>
    <row r="14" spans="1:30" ht="30" customHeight="1">
      <c r="A14" s="466">
        <v>2</v>
      </c>
      <c r="B14" s="493"/>
      <c r="C14" s="758" t="str">
        <f>IF(B14="","",VLOOKUP(B14,名簿!$E$4:$J$184,3,FALSE))</f>
        <v/>
      </c>
      <c r="D14" s="1547" t="str">
        <f>IF(B14="","",VLOOKUP(B14,名簿!$E$4:$J$184,5,FALSE))</f>
        <v/>
      </c>
      <c r="E14" s="1548"/>
      <c r="F14" s="564" t="str">
        <f>IF(B14="","",VLOOKUP(B14,名簿!$E$4:$W$184,4,FALSE))</f>
        <v/>
      </c>
      <c r="G14" s="759" t="str">
        <f>IF(B14="","",VLOOKUP(B14,名簿!$E$4:$J$184,6,FALSE))</f>
        <v/>
      </c>
      <c r="H14" s="760"/>
      <c r="I14" s="497"/>
      <c r="J14" s="498"/>
      <c r="K14" s="497"/>
      <c r="L14" s="497"/>
      <c r="M14" s="498"/>
      <c r="N14" s="496"/>
      <c r="O14" s="442"/>
      <c r="P14" s="442"/>
      <c r="Q14" s="442"/>
      <c r="R14" s="442"/>
      <c r="S14" s="442" t="s">
        <v>515</v>
      </c>
      <c r="T14" s="442" t="s">
        <v>516</v>
      </c>
      <c r="U14" s="442"/>
      <c r="V14" s="442"/>
      <c r="W14" s="442"/>
      <c r="X14" s="442"/>
      <c r="Y14" s="442" t="str">
        <f t="shared" si="0"/>
        <v/>
      </c>
      <c r="Z14" s="442" t="str">
        <f t="shared" si="1"/>
        <v/>
      </c>
      <c r="AA14" s="562" t="s">
        <v>653</v>
      </c>
      <c r="AB14" s="562"/>
      <c r="AC14" s="562" t="s">
        <v>596</v>
      </c>
      <c r="AD14" s="442"/>
    </row>
    <row r="15" spans="1:30" ht="30" customHeight="1">
      <c r="A15" s="466">
        <v>3</v>
      </c>
      <c r="B15" s="493"/>
      <c r="C15" s="758" t="str">
        <f>IF(B15="","",VLOOKUP(B15,名簿!$E$4:$J$184,3,FALSE))</f>
        <v/>
      </c>
      <c r="D15" s="1547" t="str">
        <f>IF(B15="","",VLOOKUP(B15,名簿!$E$4:$J$184,5,FALSE))</f>
        <v/>
      </c>
      <c r="E15" s="1548"/>
      <c r="F15" s="564" t="str">
        <f>IF(B15="","",VLOOKUP(B15,名簿!$E$4:$W$184,4,FALSE))</f>
        <v/>
      </c>
      <c r="G15" s="759" t="str">
        <f>IF(B15="","",VLOOKUP(B15,名簿!$E$4:$J$184,6,FALSE))</f>
        <v/>
      </c>
      <c r="H15" s="760"/>
      <c r="I15" s="497"/>
      <c r="J15" s="498"/>
      <c r="K15" s="497"/>
      <c r="L15" s="497"/>
      <c r="M15" s="498"/>
      <c r="N15" s="496"/>
      <c r="O15" s="442"/>
      <c r="P15" s="442"/>
      <c r="Q15" s="442"/>
      <c r="R15" s="442"/>
      <c r="S15" s="442" t="s">
        <v>517</v>
      </c>
      <c r="T15" s="442" t="s">
        <v>518</v>
      </c>
      <c r="U15" s="442"/>
      <c r="V15" s="442"/>
      <c r="W15" s="442"/>
      <c r="X15" s="442"/>
      <c r="Y15" s="442" t="str">
        <f t="shared" si="0"/>
        <v/>
      </c>
      <c r="Z15" s="442" t="str">
        <f t="shared" si="1"/>
        <v/>
      </c>
      <c r="AA15" s="562" t="s">
        <v>654</v>
      </c>
      <c r="AB15" s="562"/>
      <c r="AC15" s="562" t="s">
        <v>597</v>
      </c>
      <c r="AD15" s="442"/>
    </row>
    <row r="16" spans="1:30" ht="30" customHeight="1">
      <c r="A16" s="466">
        <v>4</v>
      </c>
      <c r="B16" s="493"/>
      <c r="C16" s="758" t="str">
        <f>IF(B16="","",VLOOKUP(B16,名簿!$E$4:$J$184,3,FALSE))</f>
        <v/>
      </c>
      <c r="D16" s="1547" t="str">
        <f>IF(B16="","",VLOOKUP(B16,名簿!$E$4:$J$184,5,FALSE))</f>
        <v/>
      </c>
      <c r="E16" s="1548"/>
      <c r="F16" s="564" t="str">
        <f>IF(B16="","",VLOOKUP(B16,名簿!$E$4:$W$184,4,FALSE))</f>
        <v/>
      </c>
      <c r="G16" s="759" t="str">
        <f>IF(B16="","",VLOOKUP(B16,名簿!$E$4:$J$184,6,FALSE))</f>
        <v/>
      </c>
      <c r="H16" s="760"/>
      <c r="I16" s="497"/>
      <c r="J16" s="498"/>
      <c r="K16" s="497"/>
      <c r="L16" s="497"/>
      <c r="M16" s="498"/>
      <c r="N16" s="496"/>
      <c r="O16" s="442"/>
      <c r="P16" s="442"/>
      <c r="Q16" s="442"/>
      <c r="R16" s="442"/>
      <c r="S16" s="442" t="s">
        <v>519</v>
      </c>
      <c r="T16" s="442" t="s">
        <v>520</v>
      </c>
      <c r="U16" s="442"/>
      <c r="V16" s="442"/>
      <c r="W16" s="442"/>
      <c r="X16" s="442"/>
      <c r="Y16" s="442" t="str">
        <f t="shared" si="0"/>
        <v/>
      </c>
      <c r="Z16" s="442" t="str">
        <f t="shared" si="1"/>
        <v/>
      </c>
      <c r="AA16" s="562" t="s">
        <v>655</v>
      </c>
      <c r="AB16" s="562"/>
      <c r="AC16" s="562" t="s">
        <v>598</v>
      </c>
      <c r="AD16" s="442"/>
    </row>
    <row r="17" spans="1:30" ht="30" customHeight="1">
      <c r="A17" s="466">
        <v>5</v>
      </c>
      <c r="B17" s="493"/>
      <c r="C17" s="758" t="str">
        <f>IF(B17="","",VLOOKUP(B17,名簿!$E$4:$J$184,3,FALSE))</f>
        <v/>
      </c>
      <c r="D17" s="1547" t="str">
        <f>IF(B17="","",VLOOKUP(B17,名簿!$E$4:$J$184,5,FALSE))</f>
        <v/>
      </c>
      <c r="E17" s="1548"/>
      <c r="F17" s="564" t="str">
        <f>IF(B17="","",VLOOKUP(B17,名簿!$E$4:$W$184,4,FALSE))</f>
        <v/>
      </c>
      <c r="G17" s="759" t="str">
        <f>IF(B17="","",VLOOKUP(B17,名簿!$E$4:$J$184,6,FALSE))</f>
        <v/>
      </c>
      <c r="H17" s="760"/>
      <c r="I17" s="497"/>
      <c r="J17" s="498"/>
      <c r="K17" s="497"/>
      <c r="L17" s="497"/>
      <c r="M17" s="498"/>
      <c r="N17" s="496"/>
      <c r="O17" s="442"/>
      <c r="P17" s="442"/>
      <c r="Q17" s="442"/>
      <c r="R17" s="442"/>
      <c r="S17" s="442" t="s">
        <v>521</v>
      </c>
      <c r="T17" s="442" t="s">
        <v>522</v>
      </c>
      <c r="U17" s="442"/>
      <c r="V17" s="442"/>
      <c r="W17" s="442"/>
      <c r="X17" s="442"/>
      <c r="Y17" s="442" t="str">
        <f t="shared" si="0"/>
        <v/>
      </c>
      <c r="Z17" s="442" t="str">
        <f t="shared" si="1"/>
        <v/>
      </c>
      <c r="AA17" s="562" t="s">
        <v>656</v>
      </c>
      <c r="AB17" s="562"/>
      <c r="AC17" s="562" t="s">
        <v>599</v>
      </c>
      <c r="AD17" s="442"/>
    </row>
    <row r="18" spans="1:30" ht="30" customHeight="1">
      <c r="A18" s="466">
        <v>6</v>
      </c>
      <c r="B18" s="493"/>
      <c r="C18" s="758" t="str">
        <f>IF(B18="","",VLOOKUP(B18,名簿!$E$4:$J$184,3,FALSE))</f>
        <v/>
      </c>
      <c r="D18" s="1547" t="str">
        <f>IF(B18="","",VLOOKUP(B18,名簿!$E$4:$J$184,5,FALSE))</f>
        <v/>
      </c>
      <c r="E18" s="1548"/>
      <c r="F18" s="564" t="str">
        <f>IF(B18="","",VLOOKUP(B18,名簿!$E$4:$W$184,4,FALSE))</f>
        <v/>
      </c>
      <c r="G18" s="759" t="str">
        <f>IF(B18="","",VLOOKUP(B18,名簿!$E$4:$J$184,6,FALSE))</f>
        <v/>
      </c>
      <c r="H18" s="760"/>
      <c r="I18" s="497"/>
      <c r="J18" s="498"/>
      <c r="K18" s="497"/>
      <c r="L18" s="497"/>
      <c r="M18" s="498"/>
      <c r="N18" s="496"/>
      <c r="O18" s="442"/>
      <c r="P18" s="442"/>
      <c r="Q18" s="442"/>
      <c r="R18" s="442"/>
      <c r="S18" s="442" t="s">
        <v>523</v>
      </c>
      <c r="T18" s="442" t="s">
        <v>524</v>
      </c>
      <c r="U18" s="442"/>
      <c r="V18" s="442"/>
      <c r="W18" s="442"/>
      <c r="X18" s="442"/>
      <c r="Y18" s="442" t="str">
        <f t="shared" si="0"/>
        <v/>
      </c>
      <c r="Z18" s="442" t="str">
        <f t="shared" si="1"/>
        <v/>
      </c>
      <c r="AA18" s="562" t="s">
        <v>657</v>
      </c>
      <c r="AB18" s="562"/>
      <c r="AC18" s="562"/>
      <c r="AD18" s="442"/>
    </row>
    <row r="19" spans="1:30" ht="30" customHeight="1">
      <c r="A19" s="466">
        <v>7</v>
      </c>
      <c r="B19" s="493"/>
      <c r="C19" s="758" t="str">
        <f>IF(B19="","",VLOOKUP(B19,名簿!$E$4:$J$184,3,FALSE))</f>
        <v/>
      </c>
      <c r="D19" s="1547" t="str">
        <f>IF(B19="","",VLOOKUP(B19,名簿!$E$4:$J$184,5,FALSE))</f>
        <v/>
      </c>
      <c r="E19" s="1548"/>
      <c r="F19" s="564" t="str">
        <f>IF(B19="","",VLOOKUP(B19,名簿!$E$4:$W$184,4,FALSE))</f>
        <v/>
      </c>
      <c r="G19" s="759" t="str">
        <f>IF(B19="","",VLOOKUP(B19,名簿!$E$4:$J$184,6,FALSE))</f>
        <v/>
      </c>
      <c r="H19" s="760"/>
      <c r="I19" s="497"/>
      <c r="J19" s="498"/>
      <c r="K19" s="497"/>
      <c r="L19" s="497"/>
      <c r="M19" s="498"/>
      <c r="N19" s="496"/>
      <c r="O19" s="442"/>
      <c r="P19" s="442"/>
      <c r="Q19" s="442"/>
      <c r="R19" s="442"/>
      <c r="S19" s="442" t="s">
        <v>525</v>
      </c>
      <c r="T19" s="442" t="s">
        <v>526</v>
      </c>
      <c r="U19" s="442"/>
      <c r="V19" s="442"/>
      <c r="W19" s="442"/>
      <c r="X19" s="442"/>
      <c r="Y19" s="442" t="str">
        <f t="shared" si="0"/>
        <v/>
      </c>
      <c r="Z19" s="442" t="str">
        <f t="shared" si="1"/>
        <v/>
      </c>
      <c r="AA19" s="562" t="s">
        <v>525</v>
      </c>
      <c r="AB19" s="562"/>
      <c r="AC19" s="562"/>
      <c r="AD19" s="442"/>
    </row>
    <row r="20" spans="1:30" ht="30" customHeight="1">
      <c r="A20" s="466">
        <v>8</v>
      </c>
      <c r="B20" s="493"/>
      <c r="C20" s="758" t="str">
        <f>IF(B20="","",VLOOKUP(B20,名簿!$E$4:$J$184,3,FALSE))</f>
        <v/>
      </c>
      <c r="D20" s="1547" t="str">
        <f>IF(B20="","",VLOOKUP(B20,名簿!$E$4:$J$184,5,FALSE))</f>
        <v/>
      </c>
      <c r="E20" s="1548"/>
      <c r="F20" s="564" t="str">
        <f>IF(B20="","",VLOOKUP(B20,名簿!$E$4:$W$184,4,FALSE))</f>
        <v/>
      </c>
      <c r="G20" s="759" t="str">
        <f>IF(B20="","",VLOOKUP(B20,名簿!$E$4:$J$184,6,FALSE))</f>
        <v/>
      </c>
      <c r="H20" s="760"/>
      <c r="I20" s="497"/>
      <c r="J20" s="498"/>
      <c r="K20" s="497"/>
      <c r="L20" s="497"/>
      <c r="M20" s="498"/>
      <c r="N20" s="496"/>
      <c r="O20" s="442"/>
      <c r="P20" s="442"/>
      <c r="Q20" s="442"/>
      <c r="R20" s="442"/>
      <c r="S20" s="442" t="s">
        <v>527</v>
      </c>
      <c r="T20" s="442" t="s">
        <v>528</v>
      </c>
      <c r="U20" s="442"/>
      <c r="V20" s="442"/>
      <c r="W20" s="442"/>
      <c r="X20" s="442"/>
      <c r="Y20" s="442" t="str">
        <f t="shared" si="0"/>
        <v/>
      </c>
      <c r="Z20" s="442" t="str">
        <f t="shared" si="1"/>
        <v/>
      </c>
      <c r="AA20" s="562" t="s">
        <v>582</v>
      </c>
      <c r="AB20" s="562"/>
      <c r="AC20" s="562"/>
      <c r="AD20" s="442"/>
    </row>
    <row r="21" spans="1:30" ht="30" customHeight="1">
      <c r="A21" s="466">
        <v>9</v>
      </c>
      <c r="B21" s="493"/>
      <c r="C21" s="758" t="str">
        <f>IF(B21="","",VLOOKUP(B21,名簿!$E$4:$J$184,3,FALSE))</f>
        <v/>
      </c>
      <c r="D21" s="1547" t="str">
        <f>IF(B21="","",VLOOKUP(B21,名簿!$E$4:$J$184,5,FALSE))</f>
        <v/>
      </c>
      <c r="E21" s="1548"/>
      <c r="F21" s="564" t="str">
        <f>IF(B21="","",VLOOKUP(B21,名簿!$E$4:$W$184,4,FALSE))</f>
        <v/>
      </c>
      <c r="G21" s="759" t="str">
        <f>IF(B21="","",VLOOKUP(B21,名簿!$E$4:$J$184,6,FALSE))</f>
        <v/>
      </c>
      <c r="H21" s="760"/>
      <c r="I21" s="497"/>
      <c r="J21" s="498"/>
      <c r="K21" s="497"/>
      <c r="L21" s="497"/>
      <c r="M21" s="498"/>
      <c r="N21" s="496"/>
      <c r="O21" s="442"/>
      <c r="P21" s="442"/>
      <c r="Q21" s="442"/>
      <c r="R21" s="442"/>
      <c r="S21" s="442" t="s">
        <v>529</v>
      </c>
      <c r="T21" s="442" t="s">
        <v>530</v>
      </c>
      <c r="U21" s="442"/>
      <c r="V21" s="442"/>
      <c r="W21" s="442"/>
      <c r="X21" s="442"/>
      <c r="Y21" s="442" t="str">
        <f t="shared" si="0"/>
        <v/>
      </c>
      <c r="Z21" s="442" t="str">
        <f t="shared" si="1"/>
        <v/>
      </c>
      <c r="AA21" s="562" t="s">
        <v>527</v>
      </c>
      <c r="AB21" s="562"/>
      <c r="AC21" s="562"/>
      <c r="AD21" s="442"/>
    </row>
    <row r="22" spans="1:30" ht="30" customHeight="1">
      <c r="A22" s="466">
        <v>10</v>
      </c>
      <c r="B22" s="493"/>
      <c r="C22" s="758" t="str">
        <f>IF(B22="","",VLOOKUP(B22,名簿!$E$4:$J$184,3,FALSE))</f>
        <v/>
      </c>
      <c r="D22" s="1547" t="str">
        <f>IF(B22="","",VLOOKUP(B22,名簿!$E$4:$J$184,5,FALSE))</f>
        <v/>
      </c>
      <c r="E22" s="1548"/>
      <c r="F22" s="564" t="str">
        <f>IF(B22="","",VLOOKUP(B22,名簿!$E$4:$W$184,4,FALSE))</f>
        <v/>
      </c>
      <c r="G22" s="759" t="str">
        <f>IF(B22="","",VLOOKUP(B22,名簿!$E$4:$J$184,6,FALSE))</f>
        <v/>
      </c>
      <c r="H22" s="760"/>
      <c r="I22" s="497"/>
      <c r="J22" s="498"/>
      <c r="K22" s="497"/>
      <c r="L22" s="497"/>
      <c r="M22" s="498"/>
      <c r="N22" s="496"/>
      <c r="O22" s="442"/>
      <c r="P22" s="442"/>
      <c r="Q22" s="442"/>
      <c r="R22" s="442"/>
      <c r="S22" s="442"/>
      <c r="T22" s="442" t="s">
        <v>531</v>
      </c>
      <c r="U22" s="442"/>
      <c r="V22" s="442"/>
      <c r="W22" s="442"/>
      <c r="X22" s="442"/>
      <c r="Y22" s="442" t="str">
        <f t="shared" si="0"/>
        <v/>
      </c>
      <c r="Z22" s="442" t="str">
        <f t="shared" si="1"/>
        <v/>
      </c>
      <c r="AA22" s="562" t="s">
        <v>583</v>
      </c>
      <c r="AB22" s="562"/>
      <c r="AC22" s="562"/>
      <c r="AD22" s="442"/>
    </row>
    <row r="23" spans="1:30" ht="30" customHeight="1">
      <c r="A23" s="466">
        <v>11</v>
      </c>
      <c r="B23" s="493"/>
      <c r="C23" s="758" t="str">
        <f>IF(B23="","",VLOOKUP(B23,名簿!$E$4:$J$184,3,FALSE))</f>
        <v/>
      </c>
      <c r="D23" s="1547" t="str">
        <f>IF(B23="","",VLOOKUP(B23,名簿!$E$4:$J$184,5,FALSE))</f>
        <v/>
      </c>
      <c r="E23" s="1548"/>
      <c r="F23" s="564" t="str">
        <f>IF(B23="","",VLOOKUP(B23,名簿!$E$4:$W$184,4,FALSE))</f>
        <v/>
      </c>
      <c r="G23" s="759" t="str">
        <f>IF(B23="","",VLOOKUP(B23,名簿!$E$4:$J$184,6,FALSE))</f>
        <v/>
      </c>
      <c r="H23" s="760"/>
      <c r="I23" s="497"/>
      <c r="J23" s="498"/>
      <c r="K23" s="497"/>
      <c r="L23" s="497"/>
      <c r="M23" s="498"/>
      <c r="N23" s="496"/>
      <c r="O23" s="442"/>
      <c r="P23" s="442"/>
      <c r="Q23" s="442"/>
      <c r="R23" s="442"/>
      <c r="S23" s="442"/>
      <c r="T23" s="442"/>
      <c r="U23" s="442"/>
      <c r="V23" s="442"/>
      <c r="W23" s="442"/>
      <c r="X23" s="442"/>
      <c r="Y23" s="442" t="str">
        <f t="shared" si="0"/>
        <v/>
      </c>
      <c r="Z23" s="442" t="str">
        <f t="shared" si="1"/>
        <v/>
      </c>
      <c r="AA23" s="562" t="s">
        <v>584</v>
      </c>
      <c r="AB23" s="562"/>
      <c r="AC23" s="562"/>
      <c r="AD23" s="442"/>
    </row>
    <row r="24" spans="1:30" ht="30" customHeight="1">
      <c r="A24" s="466">
        <v>12</v>
      </c>
      <c r="B24" s="493"/>
      <c r="C24" s="758" t="str">
        <f>IF(B24="","",VLOOKUP(B24,名簿!$E$4:$J$184,3,FALSE))</f>
        <v/>
      </c>
      <c r="D24" s="1547" t="str">
        <f>IF(B24="","",VLOOKUP(B24,名簿!$E$4:$J$184,5,FALSE))</f>
        <v/>
      </c>
      <c r="E24" s="1548"/>
      <c r="F24" s="564" t="str">
        <f>IF(B24="","",VLOOKUP(B24,名簿!$E$4:$W$184,4,FALSE))</f>
        <v/>
      </c>
      <c r="G24" s="759" t="str">
        <f>IF(B24="","",VLOOKUP(B24,名簿!$E$4:$J$184,6,FALSE))</f>
        <v/>
      </c>
      <c r="H24" s="760"/>
      <c r="I24" s="497"/>
      <c r="J24" s="498"/>
      <c r="K24" s="497"/>
      <c r="L24" s="497"/>
      <c r="M24" s="498"/>
      <c r="N24" s="496"/>
      <c r="O24" s="442"/>
      <c r="P24" s="442"/>
      <c r="Q24" s="442"/>
      <c r="R24" s="442"/>
      <c r="S24" s="442"/>
      <c r="T24" s="442"/>
      <c r="U24" s="442"/>
      <c r="V24" s="442"/>
      <c r="W24" s="442"/>
      <c r="X24" s="442"/>
      <c r="Y24" s="442" t="str">
        <f t="shared" si="0"/>
        <v/>
      </c>
      <c r="Z24" s="442" t="str">
        <f t="shared" si="1"/>
        <v/>
      </c>
      <c r="AA24" s="562" t="s">
        <v>585</v>
      </c>
      <c r="AB24" s="562"/>
      <c r="AC24" s="562"/>
      <c r="AD24" s="442"/>
    </row>
    <row r="25" spans="1:30" ht="30" customHeight="1">
      <c r="A25" s="466">
        <v>13</v>
      </c>
      <c r="B25" s="493"/>
      <c r="C25" s="758" t="str">
        <f>IF(B25="","",VLOOKUP(B25,名簿!$E$4:$J$184,3,FALSE))</f>
        <v/>
      </c>
      <c r="D25" s="1547" t="str">
        <f>IF(B25="","",VLOOKUP(B25,名簿!$E$4:$J$184,5,FALSE))</f>
        <v/>
      </c>
      <c r="E25" s="1548"/>
      <c r="F25" s="564" t="str">
        <f>IF(B25="","",VLOOKUP(B25,名簿!$E$4:$W$184,4,FALSE))</f>
        <v/>
      </c>
      <c r="G25" s="759" t="str">
        <f>IF(B25="","",VLOOKUP(B25,名簿!$E$4:$J$184,6,FALSE))</f>
        <v/>
      </c>
      <c r="H25" s="760"/>
      <c r="I25" s="497"/>
      <c r="J25" s="498"/>
      <c r="K25" s="497"/>
      <c r="L25" s="497"/>
      <c r="M25" s="498"/>
      <c r="N25" s="496"/>
      <c r="O25" s="442"/>
      <c r="P25" s="442"/>
      <c r="Q25" s="442"/>
      <c r="R25" s="442"/>
      <c r="S25" s="442"/>
      <c r="T25" s="442"/>
      <c r="U25" s="442"/>
      <c r="V25" s="442"/>
      <c r="W25" s="442"/>
      <c r="X25" s="442"/>
      <c r="Y25" s="442" t="str">
        <f t="shared" si="0"/>
        <v/>
      </c>
      <c r="Z25" s="442" t="str">
        <f t="shared" si="1"/>
        <v/>
      </c>
      <c r="AA25" s="562" t="s">
        <v>658</v>
      </c>
      <c r="AB25" s="562"/>
      <c r="AC25" s="562"/>
      <c r="AD25" s="442"/>
    </row>
    <row r="26" spans="1:30" ht="30" customHeight="1">
      <c r="A26" s="466">
        <v>14</v>
      </c>
      <c r="B26" s="493"/>
      <c r="C26" s="758" t="str">
        <f>IF(B26="","",VLOOKUP(B26,名簿!$E$4:$J$184,3,FALSE))</f>
        <v/>
      </c>
      <c r="D26" s="1547" t="str">
        <f>IF(B26="","",VLOOKUP(B26,名簿!$E$4:$J$184,5,FALSE))</f>
        <v/>
      </c>
      <c r="E26" s="1548"/>
      <c r="F26" s="564" t="str">
        <f>IF(B26="","",VLOOKUP(B26,名簿!$E$4:$W$184,4,FALSE))</f>
        <v/>
      </c>
      <c r="G26" s="759" t="str">
        <f>IF(B26="","",VLOOKUP(B26,名簿!$E$4:$J$184,6,FALSE))</f>
        <v/>
      </c>
      <c r="H26" s="760"/>
      <c r="I26" s="497"/>
      <c r="J26" s="498"/>
      <c r="K26" s="497"/>
      <c r="L26" s="497"/>
      <c r="M26" s="498"/>
      <c r="N26" s="496"/>
      <c r="O26" s="442"/>
      <c r="P26" s="442"/>
      <c r="Q26" s="442"/>
      <c r="R26" s="442"/>
      <c r="S26" s="442"/>
      <c r="T26" s="442"/>
      <c r="U26" s="442"/>
      <c r="V26" s="442"/>
      <c r="W26" s="442"/>
      <c r="X26" s="442"/>
      <c r="Y26" s="442" t="str">
        <f t="shared" si="0"/>
        <v/>
      </c>
      <c r="Z26" s="442" t="str">
        <f t="shared" si="1"/>
        <v/>
      </c>
      <c r="AA26" s="562" t="s">
        <v>607</v>
      </c>
      <c r="AB26" s="562"/>
      <c r="AC26" s="562"/>
      <c r="AD26" s="442"/>
    </row>
    <row r="27" spans="1:30" ht="30" customHeight="1">
      <c r="A27" s="466">
        <v>15</v>
      </c>
      <c r="B27" s="493"/>
      <c r="C27" s="758" t="str">
        <f>IF(B27="","",VLOOKUP(B27,名簿!$E$4:$J$184,3,FALSE))</f>
        <v/>
      </c>
      <c r="D27" s="1547" t="str">
        <f>IF(B27="","",VLOOKUP(B27,名簿!$E$4:$J$184,5,FALSE))</f>
        <v/>
      </c>
      <c r="E27" s="1548"/>
      <c r="F27" s="564" t="str">
        <f>IF(B27="","",VLOOKUP(B27,名簿!$E$4:$W$184,4,FALSE))</f>
        <v/>
      </c>
      <c r="G27" s="759" t="str">
        <f>IF(B27="","",VLOOKUP(B27,名簿!$E$4:$J$184,6,FALSE))</f>
        <v/>
      </c>
      <c r="H27" s="760"/>
      <c r="I27" s="497"/>
      <c r="J27" s="498"/>
      <c r="K27" s="497"/>
      <c r="L27" s="497"/>
      <c r="M27" s="498"/>
      <c r="N27" s="496"/>
      <c r="O27" s="442"/>
      <c r="P27" s="442"/>
      <c r="Q27" s="442"/>
      <c r="R27" s="442"/>
      <c r="S27" s="442"/>
      <c r="T27" s="442"/>
      <c r="U27" s="442"/>
      <c r="V27" s="442"/>
      <c r="W27" s="442"/>
      <c r="X27" s="442"/>
      <c r="Y27" s="442" t="str">
        <f t="shared" si="0"/>
        <v/>
      </c>
      <c r="Z27" s="442" t="str">
        <f t="shared" si="1"/>
        <v/>
      </c>
      <c r="AA27" s="562"/>
      <c r="AB27" s="562"/>
      <c r="AC27" s="562"/>
      <c r="AD27" s="442"/>
    </row>
    <row r="28" spans="1:30" ht="30" customHeight="1">
      <c r="A28" s="466">
        <v>16</v>
      </c>
      <c r="B28" s="493"/>
      <c r="C28" s="758" t="str">
        <f>IF(B28="","",VLOOKUP(B28,名簿!$E$4:$J$184,3,FALSE))</f>
        <v/>
      </c>
      <c r="D28" s="1547" t="str">
        <f>IF(B28="","",VLOOKUP(B28,名簿!$E$4:$J$184,5,FALSE))</f>
        <v/>
      </c>
      <c r="E28" s="1548"/>
      <c r="F28" s="564" t="str">
        <f>IF(B28="","",VLOOKUP(B28,名簿!$E$4:$W$184,4,FALSE))</f>
        <v/>
      </c>
      <c r="G28" s="759" t="str">
        <f>IF(B28="","",VLOOKUP(B28,名簿!$E$4:$J$184,6,FALSE))</f>
        <v/>
      </c>
      <c r="H28" s="760"/>
      <c r="I28" s="497"/>
      <c r="J28" s="498"/>
      <c r="K28" s="497"/>
      <c r="L28" s="497"/>
      <c r="M28" s="498"/>
      <c r="N28" s="496"/>
      <c r="O28" s="442"/>
      <c r="P28" s="442"/>
      <c r="Q28" s="442"/>
      <c r="R28" s="442"/>
      <c r="S28" s="442"/>
      <c r="T28" s="442"/>
      <c r="U28" s="442"/>
      <c r="V28" s="442"/>
      <c r="W28" s="442"/>
      <c r="X28" s="442"/>
      <c r="Y28" s="442" t="str">
        <f t="shared" si="0"/>
        <v/>
      </c>
      <c r="Z28" s="442" t="str">
        <f t="shared" si="1"/>
        <v/>
      </c>
      <c r="AA28" s="562"/>
      <c r="AB28" s="562"/>
      <c r="AC28" s="562"/>
      <c r="AD28" s="442"/>
    </row>
    <row r="29" spans="1:30" ht="30" customHeight="1">
      <c r="A29" s="466">
        <v>17</v>
      </c>
      <c r="B29" s="493"/>
      <c r="C29" s="758" t="str">
        <f>IF(B29="","",VLOOKUP(B29,名簿!$E$4:$J$184,3,FALSE))</f>
        <v/>
      </c>
      <c r="D29" s="1547" t="str">
        <f>IF(B29="","",VLOOKUP(B29,名簿!$E$4:$J$184,5,FALSE))</f>
        <v/>
      </c>
      <c r="E29" s="1548"/>
      <c r="F29" s="564" t="str">
        <f>IF(B29="","",VLOOKUP(B29,名簿!$E$4:$W$184,4,FALSE))</f>
        <v/>
      </c>
      <c r="G29" s="759" t="str">
        <f>IF(B29="","",VLOOKUP(B29,名簿!$E$4:$J$184,6,FALSE))</f>
        <v/>
      </c>
      <c r="H29" s="760"/>
      <c r="I29" s="497"/>
      <c r="J29" s="498"/>
      <c r="K29" s="497"/>
      <c r="L29" s="497"/>
      <c r="M29" s="498"/>
      <c r="N29" s="496"/>
      <c r="O29" s="442"/>
      <c r="P29" s="442"/>
      <c r="Q29" s="442"/>
      <c r="R29" s="442"/>
      <c r="S29" s="442"/>
      <c r="T29" s="442"/>
      <c r="U29" s="442"/>
      <c r="V29" s="442"/>
      <c r="W29" s="442"/>
      <c r="X29" s="442"/>
      <c r="Y29" s="442" t="str">
        <f t="shared" si="0"/>
        <v/>
      </c>
      <c r="Z29" s="442" t="str">
        <f t="shared" si="1"/>
        <v/>
      </c>
      <c r="AA29" s="562"/>
      <c r="AB29" s="562"/>
      <c r="AC29" s="562"/>
      <c r="AD29" s="442"/>
    </row>
    <row r="30" spans="1:30" ht="30" customHeight="1">
      <c r="A30" s="466">
        <v>18</v>
      </c>
      <c r="B30" s="493"/>
      <c r="C30" s="758" t="str">
        <f>IF(B30="","",VLOOKUP(B30,名簿!$E$4:$J$184,3,FALSE))</f>
        <v/>
      </c>
      <c r="D30" s="1547" t="str">
        <f>IF(B30="","",VLOOKUP(B30,名簿!$E$4:$J$184,5,FALSE))</f>
        <v/>
      </c>
      <c r="E30" s="1548"/>
      <c r="F30" s="564" t="str">
        <f>IF(B30="","",VLOOKUP(B30,名簿!$E$4:$W$184,4,FALSE))</f>
        <v/>
      </c>
      <c r="G30" s="759" t="str">
        <f>IF(B30="","",VLOOKUP(B30,名簿!$E$4:$J$184,6,FALSE))</f>
        <v/>
      </c>
      <c r="H30" s="760"/>
      <c r="I30" s="497"/>
      <c r="J30" s="498"/>
      <c r="K30" s="497"/>
      <c r="L30" s="497"/>
      <c r="M30" s="498"/>
      <c r="N30" s="496"/>
      <c r="O30" s="442"/>
      <c r="P30" s="442"/>
      <c r="Q30" s="442"/>
      <c r="R30" s="442"/>
      <c r="S30" s="442"/>
      <c r="T30" s="442"/>
      <c r="U30" s="442"/>
      <c r="V30" s="442"/>
      <c r="W30" s="442"/>
      <c r="X30" s="442"/>
      <c r="Y30" s="442" t="str">
        <f t="shared" si="0"/>
        <v/>
      </c>
      <c r="Z30" s="442" t="str">
        <f t="shared" si="1"/>
        <v/>
      </c>
      <c r="AA30" s="562"/>
      <c r="AB30" s="562"/>
      <c r="AC30" s="562"/>
      <c r="AD30" s="442"/>
    </row>
    <row r="31" spans="1:30" ht="30" customHeight="1">
      <c r="A31" s="466">
        <v>19</v>
      </c>
      <c r="B31" s="493"/>
      <c r="C31" s="758" t="str">
        <f>IF(B31="","",VLOOKUP(B31,名簿!$E$4:$J$184,3,FALSE))</f>
        <v/>
      </c>
      <c r="D31" s="1547" t="str">
        <f>IF(B31="","",VLOOKUP(B31,名簿!$E$4:$J$184,5,FALSE))</f>
        <v/>
      </c>
      <c r="E31" s="1548"/>
      <c r="F31" s="564" t="str">
        <f>IF(B31="","",VLOOKUP(B31,名簿!$E$4:$W$184,4,FALSE))</f>
        <v/>
      </c>
      <c r="G31" s="759" t="str">
        <f>IF(B31="","",VLOOKUP(B31,名簿!$E$4:$J$184,6,FALSE))</f>
        <v/>
      </c>
      <c r="H31" s="760"/>
      <c r="I31" s="497"/>
      <c r="J31" s="498"/>
      <c r="K31" s="497"/>
      <c r="L31" s="497"/>
      <c r="M31" s="498"/>
      <c r="N31" s="496"/>
      <c r="O31" s="442"/>
      <c r="P31" s="442"/>
      <c r="Q31" s="442"/>
      <c r="R31" s="442"/>
      <c r="S31" s="442"/>
      <c r="T31" s="442"/>
      <c r="U31" s="442"/>
      <c r="V31" s="442"/>
      <c r="W31" s="442"/>
      <c r="X31" s="442"/>
      <c r="Y31" s="442" t="str">
        <f t="shared" si="0"/>
        <v/>
      </c>
      <c r="Z31" s="442" t="str">
        <f t="shared" si="1"/>
        <v/>
      </c>
      <c r="AA31" s="562"/>
      <c r="AB31" s="562"/>
      <c r="AC31" s="562"/>
      <c r="AD31" s="442"/>
    </row>
    <row r="32" spans="1:30" ht="30" customHeight="1">
      <c r="A32" s="466">
        <v>20</v>
      </c>
      <c r="B32" s="493"/>
      <c r="C32" s="758" t="str">
        <f>IF(B32="","",VLOOKUP(B32,名簿!$E$4:$J$184,3,FALSE))</f>
        <v/>
      </c>
      <c r="D32" s="1547" t="str">
        <f>IF(B32="","",VLOOKUP(B32,名簿!$E$4:$J$184,5,FALSE))</f>
        <v/>
      </c>
      <c r="E32" s="1548"/>
      <c r="F32" s="564" t="str">
        <f>IF(B32="","",VLOOKUP(B32,名簿!$E$4:$W$184,4,FALSE))</f>
        <v/>
      </c>
      <c r="G32" s="759" t="str">
        <f>IF(B32="","",VLOOKUP(B32,名簿!$E$4:$J$184,6,FALSE))</f>
        <v/>
      </c>
      <c r="H32" s="760"/>
      <c r="I32" s="497"/>
      <c r="J32" s="498"/>
      <c r="K32" s="497"/>
      <c r="L32" s="497"/>
      <c r="M32" s="498"/>
      <c r="N32" s="496"/>
      <c r="O32" s="442"/>
      <c r="P32" s="442"/>
      <c r="Q32" s="442"/>
      <c r="R32" s="442"/>
      <c r="S32" s="442"/>
      <c r="T32" s="442"/>
      <c r="U32" s="442"/>
      <c r="V32" s="442"/>
      <c r="W32" s="442"/>
      <c r="X32" s="442"/>
      <c r="Y32" s="442" t="str">
        <f t="shared" si="0"/>
        <v/>
      </c>
      <c r="Z32" s="442" t="str">
        <f t="shared" si="1"/>
        <v/>
      </c>
      <c r="AA32" s="562"/>
      <c r="AB32" s="562"/>
      <c r="AC32" s="562"/>
      <c r="AD32" s="442"/>
    </row>
    <row r="33" spans="1:30" ht="30" customHeight="1">
      <c r="A33" s="466">
        <v>21</v>
      </c>
      <c r="B33" s="493"/>
      <c r="C33" s="758" t="str">
        <f>IF(B33="","",VLOOKUP(B33,名簿!$E$4:$J$184,3,FALSE))</f>
        <v/>
      </c>
      <c r="D33" s="1547" t="str">
        <f>IF(B33="","",VLOOKUP(B33,名簿!$E$4:$J$184,5,FALSE))</f>
        <v/>
      </c>
      <c r="E33" s="1548"/>
      <c r="F33" s="564" t="str">
        <f>IF(B33="","",VLOOKUP(B33,名簿!$E$4:$W$184,4,FALSE))</f>
        <v/>
      </c>
      <c r="G33" s="759" t="str">
        <f>IF(B33="","",VLOOKUP(B33,名簿!$E$4:$J$184,6,FALSE))</f>
        <v/>
      </c>
      <c r="H33" s="760"/>
      <c r="I33" s="497"/>
      <c r="J33" s="498"/>
      <c r="K33" s="497"/>
      <c r="L33" s="497"/>
      <c r="M33" s="498"/>
      <c r="N33" s="496"/>
      <c r="O33" s="442"/>
      <c r="P33" s="442"/>
      <c r="Q33" s="442"/>
      <c r="R33" s="442"/>
      <c r="S33" s="442"/>
      <c r="T33" s="442"/>
      <c r="U33" s="442"/>
      <c r="V33" s="442"/>
      <c r="W33" s="442"/>
      <c r="X33" s="442"/>
      <c r="Y33" s="442" t="str">
        <f t="shared" si="0"/>
        <v/>
      </c>
      <c r="Z33" s="442" t="str">
        <f t="shared" si="1"/>
        <v/>
      </c>
      <c r="AA33" s="562"/>
      <c r="AB33" s="562"/>
      <c r="AC33" s="562"/>
      <c r="AD33" s="442"/>
    </row>
    <row r="34" spans="1:30" ht="30" customHeight="1">
      <c r="A34" s="466">
        <v>22</v>
      </c>
      <c r="B34" s="493"/>
      <c r="C34" s="758" t="str">
        <f>IF(B34="","",VLOOKUP(B34,名簿!$E$4:$J$184,3,FALSE))</f>
        <v/>
      </c>
      <c r="D34" s="1547" t="str">
        <f>IF(B34="","",VLOOKUP(B34,名簿!$E$4:$J$184,5,FALSE))</f>
        <v/>
      </c>
      <c r="E34" s="1548"/>
      <c r="F34" s="564" t="str">
        <f>IF(B34="","",VLOOKUP(B34,名簿!$E$4:$W$184,4,FALSE))</f>
        <v/>
      </c>
      <c r="G34" s="759" t="str">
        <f>IF(B34="","",VLOOKUP(B34,名簿!$E$4:$J$184,6,FALSE))</f>
        <v/>
      </c>
      <c r="H34" s="760"/>
      <c r="I34" s="497"/>
      <c r="J34" s="498"/>
      <c r="K34" s="497"/>
      <c r="L34" s="497"/>
      <c r="M34" s="498"/>
      <c r="N34" s="496"/>
      <c r="O34" s="442"/>
      <c r="P34" s="442"/>
      <c r="Q34" s="442"/>
      <c r="R34" s="442"/>
      <c r="S34" s="442"/>
      <c r="T34" s="442"/>
      <c r="U34" s="442"/>
      <c r="V34" s="442"/>
      <c r="W34" s="442"/>
      <c r="X34" s="442"/>
      <c r="Y34" s="442" t="str">
        <f t="shared" si="0"/>
        <v/>
      </c>
      <c r="Z34" s="442" t="str">
        <f t="shared" si="1"/>
        <v/>
      </c>
      <c r="AA34" s="562"/>
      <c r="AB34" s="562"/>
      <c r="AC34" s="562"/>
      <c r="AD34" s="442"/>
    </row>
    <row r="35" spans="1:30" ht="30" customHeight="1">
      <c r="A35" s="466">
        <v>23</v>
      </c>
      <c r="B35" s="493"/>
      <c r="C35" s="758" t="str">
        <f>IF(B35="","",VLOOKUP(B35,名簿!$E$4:$J$184,3,FALSE))</f>
        <v/>
      </c>
      <c r="D35" s="1547" t="str">
        <f>IF(B35="","",VLOOKUP(B35,名簿!$E$4:$J$184,5,FALSE))</f>
        <v/>
      </c>
      <c r="E35" s="1548"/>
      <c r="F35" s="564" t="str">
        <f>IF(B35="","",VLOOKUP(B35,名簿!$E$4:$W$184,4,FALSE))</f>
        <v/>
      </c>
      <c r="G35" s="759" t="str">
        <f>IF(B35="","",VLOOKUP(B35,名簿!$E$4:$J$184,6,FALSE))</f>
        <v/>
      </c>
      <c r="H35" s="760"/>
      <c r="I35" s="497"/>
      <c r="J35" s="498"/>
      <c r="K35" s="497"/>
      <c r="L35" s="497"/>
      <c r="M35" s="498"/>
      <c r="N35" s="496"/>
      <c r="O35" s="442"/>
      <c r="P35" s="442"/>
      <c r="Q35" s="442"/>
      <c r="R35" s="442"/>
      <c r="S35" s="442"/>
      <c r="T35" s="442"/>
      <c r="U35" s="442"/>
      <c r="V35" s="442"/>
      <c r="W35" s="442"/>
      <c r="X35" s="442"/>
      <c r="Y35" s="442" t="str">
        <f t="shared" si="0"/>
        <v/>
      </c>
      <c r="Z35" s="442" t="str">
        <f t="shared" si="1"/>
        <v/>
      </c>
      <c r="AA35" s="562"/>
      <c r="AB35" s="562"/>
      <c r="AC35" s="562"/>
      <c r="AD35" s="442"/>
    </row>
    <row r="36" spans="1:30" ht="30" customHeight="1">
      <c r="A36" s="466">
        <v>24</v>
      </c>
      <c r="B36" s="493"/>
      <c r="C36" s="758" t="str">
        <f>IF(B36="","",VLOOKUP(B36,名簿!$E$4:$J$184,3,FALSE))</f>
        <v/>
      </c>
      <c r="D36" s="1547" t="str">
        <f>IF(B36="","",VLOOKUP(B36,名簿!$E$4:$J$184,5,FALSE))</f>
        <v/>
      </c>
      <c r="E36" s="1548"/>
      <c r="F36" s="564" t="str">
        <f>IF(B36="","",VLOOKUP(B36,名簿!$E$4:$W$184,4,FALSE))</f>
        <v/>
      </c>
      <c r="G36" s="759" t="str">
        <f>IF(B36="","",VLOOKUP(B36,名簿!$E$4:$J$184,6,FALSE))</f>
        <v/>
      </c>
      <c r="H36" s="760"/>
      <c r="I36" s="497"/>
      <c r="J36" s="498"/>
      <c r="K36" s="497"/>
      <c r="L36" s="497"/>
      <c r="M36" s="498"/>
      <c r="N36" s="496"/>
      <c r="O36" s="442"/>
      <c r="P36" s="442"/>
      <c r="Q36" s="442"/>
      <c r="R36" s="442"/>
      <c r="S36" s="442"/>
      <c r="T36" s="442"/>
      <c r="U36" s="442"/>
      <c r="V36" s="442"/>
      <c r="W36" s="442"/>
      <c r="X36" s="442"/>
      <c r="Y36" s="442" t="str">
        <f t="shared" si="0"/>
        <v/>
      </c>
      <c r="Z36" s="442" t="str">
        <f t="shared" si="1"/>
        <v/>
      </c>
      <c r="AA36" s="562"/>
      <c r="AB36" s="562"/>
      <c r="AC36" s="562"/>
      <c r="AD36" s="442"/>
    </row>
    <row r="37" spans="1:30" ht="30" customHeight="1">
      <c r="A37" s="467">
        <v>25</v>
      </c>
      <c r="B37" s="499"/>
      <c r="C37" s="1101" t="str">
        <f>IF(B37="","",VLOOKUP(B37,名簿!$E$4:$J$184,3,FALSE))</f>
        <v/>
      </c>
      <c r="D37" s="1569" t="str">
        <f>IF(B37="","",VLOOKUP(B37,名簿!$E$4:$J$184,5,FALSE))</f>
        <v/>
      </c>
      <c r="E37" s="1570"/>
      <c r="F37" s="1104" t="str">
        <f>IF(B37="","",VLOOKUP(B37,名簿!$E$4:$W$184,4,FALSE))</f>
        <v/>
      </c>
      <c r="G37" s="1103" t="str">
        <f>IF(B37="","",VLOOKUP(B37,名簿!$E$4:$J$184,6,FALSE))</f>
        <v/>
      </c>
      <c r="H37" s="761"/>
      <c r="I37" s="500"/>
      <c r="J37" s="501"/>
      <c r="K37" s="500"/>
      <c r="L37" s="500"/>
      <c r="M37" s="501"/>
      <c r="N37" s="502"/>
      <c r="O37" s="442"/>
      <c r="P37" s="442"/>
      <c r="Q37" s="442"/>
      <c r="R37" s="442"/>
      <c r="S37" s="442"/>
      <c r="T37" s="442"/>
      <c r="U37" s="442"/>
      <c r="V37" s="442"/>
      <c r="W37" s="442"/>
      <c r="X37" s="442"/>
      <c r="Y37" s="442" t="str">
        <f t="shared" si="0"/>
        <v/>
      </c>
      <c r="Z37" s="442" t="str">
        <f t="shared" si="1"/>
        <v/>
      </c>
      <c r="AA37" s="562"/>
      <c r="AB37" s="562"/>
      <c r="AC37" s="562"/>
      <c r="AD37" s="442"/>
    </row>
    <row r="38" spans="1:30">
      <c r="A38" s="442"/>
      <c r="B38" s="442"/>
      <c r="C38" s="442"/>
      <c r="D38" s="468"/>
      <c r="E38" s="468"/>
      <c r="F38" s="468"/>
      <c r="G38" s="442"/>
      <c r="H38" s="442"/>
      <c r="I38" s="442"/>
      <c r="J38" s="469"/>
      <c r="K38" s="469"/>
      <c r="L38" s="1572" t="s">
        <v>479</v>
      </c>
      <c r="M38" s="1572"/>
      <c r="N38" s="1572"/>
      <c r="O38" s="469"/>
      <c r="P38" s="469"/>
      <c r="Q38" s="469"/>
      <c r="R38" s="442"/>
      <c r="S38" s="442"/>
      <c r="T38" s="442"/>
      <c r="U38" s="442"/>
      <c r="V38" s="442"/>
      <c r="W38" s="442"/>
      <c r="X38" s="442"/>
      <c r="Y38" s="442"/>
      <c r="Z38" s="442"/>
      <c r="AA38" s="562"/>
      <c r="AB38" s="562"/>
      <c r="AC38" s="562"/>
      <c r="AD38" s="442"/>
    </row>
    <row r="39" spans="1:30" ht="11.25" customHeight="1">
      <c r="A39" s="442"/>
      <c r="B39" s="471"/>
      <c r="C39" s="471"/>
      <c r="D39" s="471"/>
      <c r="E39" s="471"/>
      <c r="F39" s="471"/>
      <c r="G39" s="472"/>
      <c r="H39" s="472"/>
      <c r="I39" s="472"/>
      <c r="J39" s="472"/>
      <c r="K39" s="472"/>
      <c r="L39" s="472"/>
      <c r="M39" s="472"/>
      <c r="N39" s="470"/>
      <c r="O39" s="469"/>
      <c r="P39" s="442"/>
      <c r="Q39" s="442"/>
      <c r="R39" s="442"/>
      <c r="S39" s="442"/>
      <c r="T39" s="442"/>
      <c r="U39" s="442"/>
      <c r="V39" s="442"/>
      <c r="W39" s="442"/>
      <c r="X39" s="442"/>
      <c r="Y39" s="442"/>
      <c r="Z39" s="442"/>
      <c r="AA39" s="562"/>
      <c r="AB39" s="562"/>
      <c r="AC39" s="562"/>
      <c r="AD39" s="442"/>
    </row>
    <row r="40" spans="1:30">
      <c r="A40" s="442"/>
      <c r="B40" s="442"/>
      <c r="C40" s="442"/>
      <c r="D40" s="442"/>
      <c r="E40" s="442"/>
      <c r="F40" s="442"/>
      <c r="G40" s="442"/>
      <c r="H40" s="442"/>
      <c r="I40" s="442"/>
      <c r="J40" s="442"/>
      <c r="K40" s="442"/>
      <c r="L40" s="442"/>
      <c r="M40" s="1571" t="s">
        <v>532</v>
      </c>
      <c r="N40" s="1571"/>
      <c r="O40" s="442"/>
      <c r="P40" s="442"/>
      <c r="Q40" s="442"/>
      <c r="R40" s="442"/>
      <c r="S40" s="442"/>
      <c r="T40" s="442"/>
      <c r="U40" s="442"/>
      <c r="V40" s="442"/>
      <c r="W40" s="442"/>
      <c r="X40" s="442"/>
      <c r="Y40" s="442"/>
      <c r="Z40" s="442"/>
      <c r="AA40" s="562"/>
      <c r="AB40" s="562"/>
      <c r="AC40" s="562"/>
      <c r="AD40" s="442"/>
    </row>
    <row r="41" spans="1:30">
      <c r="A41" s="442"/>
      <c r="B41" s="442"/>
      <c r="C41" s="442"/>
      <c r="D41" s="442"/>
      <c r="E41" s="442"/>
      <c r="F41" s="442"/>
      <c r="G41" s="442"/>
      <c r="H41" s="442"/>
      <c r="I41" s="473"/>
      <c r="J41" s="473"/>
      <c r="K41" s="473"/>
      <c r="L41" s="474">
        <f>(O38+P38+Q38)*1000+(O40+P40)*2000</f>
        <v>0</v>
      </c>
      <c r="M41" s="442"/>
      <c r="N41" s="442"/>
      <c r="O41" s="442"/>
      <c r="P41" s="442"/>
      <c r="Q41" s="442"/>
      <c r="R41" s="442"/>
      <c r="S41" s="442"/>
      <c r="T41" s="442"/>
      <c r="U41" s="442"/>
      <c r="V41" s="442"/>
      <c r="W41" s="442"/>
      <c r="X41" s="442"/>
      <c r="Y41" s="442"/>
      <c r="Z41" s="442"/>
      <c r="AA41" s="562"/>
      <c r="AB41" s="562"/>
      <c r="AC41" s="562"/>
      <c r="AD41" s="442"/>
    </row>
    <row r="42" spans="1:30" ht="18" thickBot="1">
      <c r="A42" s="437"/>
      <c r="B42" s="438"/>
      <c r="C42" s="438"/>
      <c r="D42" s="438"/>
      <c r="E42" s="438"/>
      <c r="F42" s="439" t="s">
        <v>480</v>
      </c>
      <c r="G42" s="438"/>
      <c r="H42" s="438"/>
      <c r="I42" s="438"/>
      <c r="J42" s="438"/>
      <c r="K42" s="438"/>
      <c r="L42" s="438"/>
      <c r="M42" s="438"/>
      <c r="N42" s="440" t="s">
        <v>554</v>
      </c>
      <c r="O42" s="441"/>
      <c r="P42" s="442"/>
      <c r="Q42" s="442"/>
      <c r="R42" s="442"/>
      <c r="S42" s="442"/>
      <c r="T42" s="442"/>
      <c r="U42" s="442"/>
      <c r="V42" s="442"/>
      <c r="W42" s="442"/>
      <c r="X42" s="442"/>
      <c r="Y42" s="442"/>
      <c r="Z42" s="442"/>
      <c r="AA42" s="562"/>
      <c r="AB42" s="562"/>
      <c r="AC42" s="562"/>
      <c r="AD42" s="442"/>
    </row>
    <row r="43" spans="1:30" ht="18" thickBot="1">
      <c r="A43" s="1508" t="s">
        <v>554</v>
      </c>
      <c r="B43" s="1508"/>
      <c r="C43" s="443"/>
      <c r="D43" s="443"/>
      <c r="E43" s="443"/>
      <c r="F43" s="438"/>
      <c r="G43" s="438"/>
      <c r="H43" s="438"/>
      <c r="I43" s="444"/>
      <c r="J43" s="443"/>
      <c r="K43" s="443"/>
      <c r="L43" s="490" t="s">
        <v>482</v>
      </c>
      <c r="M43" s="491"/>
      <c r="N43" s="492" t="s">
        <v>483</v>
      </c>
      <c r="O43" s="441"/>
      <c r="P43" s="442"/>
      <c r="Q43" s="442"/>
      <c r="R43" s="442"/>
      <c r="S43" s="442"/>
      <c r="T43" s="442"/>
      <c r="U43" s="442"/>
      <c r="V43" s="442"/>
      <c r="W43" s="442"/>
      <c r="X43" s="442"/>
      <c r="Y43" s="442"/>
      <c r="Z43" s="442"/>
      <c r="AA43" s="562"/>
      <c r="AB43" s="562"/>
      <c r="AC43" s="562"/>
      <c r="AD43" s="442"/>
    </row>
    <row r="44" spans="1:30" ht="30" customHeight="1">
      <c r="A44" s="1639" t="s">
        <v>555</v>
      </c>
      <c r="B44" s="1517"/>
      <c r="C44" s="437"/>
      <c r="D44" s="445"/>
      <c r="E44" s="445"/>
      <c r="F44" s="445"/>
      <c r="G44" s="445"/>
      <c r="H44" s="445"/>
      <c r="I44" s="445" t="s">
        <v>278</v>
      </c>
      <c r="J44" s="1621"/>
      <c r="K44" s="1621"/>
      <c r="L44" s="1621"/>
      <c r="M44" s="1621"/>
      <c r="N44" s="1621"/>
      <c r="O44" s="446"/>
      <c r="P44" s="442"/>
      <c r="Q44" s="442"/>
      <c r="R44" s="442"/>
      <c r="S44" s="442"/>
      <c r="T44" s="442"/>
      <c r="U44" s="442"/>
      <c r="V44" s="442"/>
      <c r="W44" s="442"/>
      <c r="X44" s="442"/>
      <c r="Y44" s="442"/>
      <c r="Z44" s="442"/>
      <c r="AA44" s="562"/>
      <c r="AB44" s="562"/>
      <c r="AC44" s="562"/>
      <c r="AD44" s="442"/>
    </row>
    <row r="45" spans="1:30" ht="12.75">
      <c r="A45" s="1509" t="s">
        <v>556</v>
      </c>
      <c r="B45" s="1509"/>
      <c r="C45" s="1509"/>
      <c r="D45" s="1510"/>
      <c r="E45" s="1510"/>
      <c r="F45" s="1510"/>
      <c r="G45" s="1510"/>
      <c r="H45" s="1510"/>
      <c r="I45" s="1510"/>
      <c r="J45" s="437"/>
      <c r="K45" s="437"/>
      <c r="L45" s="437"/>
      <c r="M45" s="437"/>
      <c r="N45" s="437"/>
      <c r="O45" s="447"/>
      <c r="P45" s="442"/>
      <c r="Q45" s="442"/>
      <c r="R45" s="442"/>
      <c r="S45" s="442"/>
      <c r="T45" s="442"/>
      <c r="U45" s="442"/>
      <c r="V45" s="442"/>
      <c r="W45" s="442"/>
      <c r="X45" s="442"/>
      <c r="Y45" s="442"/>
      <c r="Z45" s="442"/>
      <c r="AA45" s="562"/>
      <c r="AB45" s="562"/>
      <c r="AC45" s="562"/>
      <c r="AD45" s="442"/>
    </row>
    <row r="46" spans="1:30" ht="11.25" customHeight="1">
      <c r="A46" s="1511" t="s">
        <v>486</v>
      </c>
      <c r="B46" s="1512"/>
      <c r="C46" s="1512"/>
      <c r="D46" s="1511" t="s">
        <v>487</v>
      </c>
      <c r="E46" s="1512"/>
      <c r="F46" s="1512"/>
      <c r="G46" s="1512"/>
      <c r="H46" s="1552"/>
      <c r="I46" s="1515" t="s">
        <v>488</v>
      </c>
      <c r="J46" s="1543">
        <f>名簿!$Q$1</f>
        <v>0</v>
      </c>
      <c r="K46" s="1559"/>
      <c r="L46" s="1544"/>
      <c r="M46" s="1563" t="s">
        <v>489</v>
      </c>
      <c r="N46" s="1563">
        <f>名簿!C4</f>
        <v>0</v>
      </c>
      <c r="O46" s="442"/>
      <c r="P46" s="442"/>
      <c r="Q46" s="442"/>
      <c r="R46" s="442"/>
      <c r="S46" s="442"/>
      <c r="T46" s="442"/>
      <c r="U46" s="442"/>
      <c r="V46" s="442"/>
      <c r="W46" s="442"/>
      <c r="X46" s="442"/>
      <c r="Y46" s="442"/>
      <c r="Z46" s="442"/>
      <c r="AA46" s="562"/>
      <c r="AB46" s="562"/>
      <c r="AC46" s="562"/>
      <c r="AD46" s="442"/>
    </row>
    <row r="47" spans="1:30">
      <c r="A47" s="1513"/>
      <c r="B47" s="1514"/>
      <c r="C47" s="1514"/>
      <c r="D47" s="1513"/>
      <c r="E47" s="1514"/>
      <c r="F47" s="1514"/>
      <c r="G47" s="1514"/>
      <c r="H47" s="1553"/>
      <c r="I47" s="1516"/>
      <c r="J47" s="1560"/>
      <c r="K47" s="1561"/>
      <c r="L47" s="1562"/>
      <c r="M47" s="1564"/>
      <c r="N47" s="1564"/>
      <c r="O47" s="442"/>
      <c r="P47" s="442"/>
      <c r="Q47" s="442"/>
      <c r="R47" s="442"/>
      <c r="S47" s="442"/>
      <c r="T47" s="442"/>
      <c r="U47" s="442"/>
      <c r="V47" s="442"/>
      <c r="W47" s="442"/>
      <c r="X47" s="442"/>
      <c r="Y47" s="442"/>
      <c r="Z47" s="442"/>
      <c r="AA47" s="562"/>
      <c r="AB47" s="562"/>
      <c r="AC47" s="562"/>
      <c r="AD47" s="442"/>
    </row>
    <row r="48" spans="1:30" ht="17.25" customHeight="1">
      <c r="A48" s="1624">
        <f>名簿!$O$4</f>
        <v>0</v>
      </c>
      <c r="B48" s="1625"/>
      <c r="C48" s="1626"/>
      <c r="D48" s="1630"/>
      <c r="E48" s="1631"/>
      <c r="F48" s="1631"/>
      <c r="G48" s="1631"/>
      <c r="H48" s="1636" t="s">
        <v>490</v>
      </c>
      <c r="I48" s="449" t="s">
        <v>491</v>
      </c>
      <c r="J48" s="1573">
        <f>名簿!$I$1</f>
        <v>0</v>
      </c>
      <c r="K48" s="1567"/>
      <c r="L48" s="1567"/>
      <c r="M48" s="452" t="s">
        <v>492</v>
      </c>
      <c r="N48" s="453"/>
      <c r="O48" s="442"/>
      <c r="P48" s="442"/>
      <c r="Q48" s="442"/>
      <c r="R48" s="442"/>
      <c r="S48" s="442"/>
      <c r="T48" s="442"/>
      <c r="U48" s="442"/>
      <c r="V48" s="442"/>
      <c r="W48" s="442"/>
      <c r="X48" s="442"/>
      <c r="Y48" s="442"/>
      <c r="Z48" s="442"/>
      <c r="AA48" s="562"/>
      <c r="AB48" s="562"/>
      <c r="AC48" s="562"/>
      <c r="AD48" s="442"/>
    </row>
    <row r="49" spans="1:30" ht="16.5" customHeight="1">
      <c r="A49" s="1627"/>
      <c r="B49" s="1628"/>
      <c r="C49" s="1629"/>
      <c r="D49" s="1632"/>
      <c r="E49" s="1633"/>
      <c r="F49" s="1633"/>
      <c r="G49" s="1633"/>
      <c r="H49" s="1637"/>
      <c r="I49" s="449" t="s">
        <v>493</v>
      </c>
      <c r="J49" s="1573">
        <f>J48</f>
        <v>0</v>
      </c>
      <c r="K49" s="1574"/>
      <c r="L49" s="1574"/>
      <c r="M49" s="1574"/>
      <c r="N49" s="1575"/>
      <c r="O49" s="442"/>
      <c r="P49" s="442"/>
      <c r="Q49" s="442"/>
      <c r="R49" s="442"/>
      <c r="S49" s="442"/>
      <c r="T49" s="442"/>
      <c r="U49" s="442"/>
      <c r="V49" s="442"/>
      <c r="W49" s="442"/>
      <c r="X49" s="442"/>
      <c r="Y49" s="442"/>
      <c r="Z49" s="442"/>
      <c r="AA49" s="562"/>
      <c r="AB49" s="562"/>
      <c r="AC49" s="562"/>
      <c r="AD49" s="442"/>
    </row>
    <row r="50" spans="1:30" ht="16.5" customHeight="1">
      <c r="A50" s="1536" t="s">
        <v>494</v>
      </c>
      <c r="B50" s="1537"/>
      <c r="C50" s="1538"/>
      <c r="D50" s="1634"/>
      <c r="E50" s="1635"/>
      <c r="F50" s="1635"/>
      <c r="G50" s="1635"/>
      <c r="H50" s="1638"/>
      <c r="I50" s="454" t="s">
        <v>495</v>
      </c>
      <c r="J50" s="1521"/>
      <c r="K50" s="1522"/>
      <c r="L50" s="1522"/>
      <c r="M50" s="1522"/>
      <c r="N50" s="1523"/>
      <c r="O50" s="442"/>
      <c r="P50" s="442"/>
      <c r="Q50" s="442"/>
      <c r="R50" s="442"/>
      <c r="S50" s="442"/>
      <c r="T50" s="442"/>
      <c r="U50" s="442"/>
      <c r="V50" s="442"/>
      <c r="W50" s="442"/>
      <c r="X50" s="442"/>
      <c r="Y50" s="442"/>
      <c r="Z50" s="442"/>
      <c r="AA50" s="562"/>
      <c r="AB50" s="562"/>
      <c r="AC50" s="562"/>
      <c r="AD50" s="442"/>
    </row>
    <row r="51" spans="1:30" ht="11.25" customHeight="1">
      <c r="A51" s="1539"/>
      <c r="B51" s="1541" t="s">
        <v>496</v>
      </c>
      <c r="C51" s="1541" t="s">
        <v>497</v>
      </c>
      <c r="D51" s="1543" t="s">
        <v>498</v>
      </c>
      <c r="E51" s="1544"/>
      <c r="F51" s="1541" t="s">
        <v>499</v>
      </c>
      <c r="G51" s="1541" t="s">
        <v>500</v>
      </c>
      <c r="H51" s="448"/>
      <c r="I51" s="1565" t="s">
        <v>501</v>
      </c>
      <c r="J51" s="1565"/>
      <c r="K51" s="1565"/>
      <c r="L51" s="1565"/>
      <c r="M51" s="1565"/>
      <c r="N51" s="455" t="s">
        <v>560</v>
      </c>
      <c r="O51" s="442"/>
      <c r="P51" s="442"/>
      <c r="Q51" s="442"/>
      <c r="R51" s="442"/>
      <c r="S51" s="442"/>
      <c r="T51" s="442"/>
      <c r="U51" s="442"/>
      <c r="V51" s="442"/>
      <c r="W51" s="442"/>
      <c r="X51" s="442"/>
      <c r="Y51" s="442"/>
      <c r="Z51" s="442"/>
      <c r="AA51" s="562"/>
      <c r="AB51" s="562"/>
      <c r="AC51" s="562"/>
      <c r="AD51" s="442"/>
    </row>
    <row r="52" spans="1:30" ht="11.25" customHeight="1" thickBot="1">
      <c r="A52" s="1540"/>
      <c r="B52" s="1511"/>
      <c r="C52" s="1515"/>
      <c r="D52" s="1545"/>
      <c r="E52" s="1546"/>
      <c r="F52" s="1515"/>
      <c r="G52" s="1515"/>
      <c r="H52" s="1518" t="s">
        <v>503</v>
      </c>
      <c r="I52" s="1519"/>
      <c r="J52" s="1520"/>
      <c r="K52" s="1518" t="s">
        <v>504</v>
      </c>
      <c r="L52" s="1519"/>
      <c r="M52" s="1520"/>
      <c r="N52" s="456"/>
      <c r="O52" s="442"/>
      <c r="P52" s="442"/>
      <c r="Q52" s="442"/>
      <c r="R52" s="442"/>
      <c r="S52" s="442"/>
      <c r="T52" s="442"/>
      <c r="U52" s="442"/>
      <c r="V52" s="442"/>
      <c r="W52" s="442"/>
      <c r="X52" s="442"/>
      <c r="Y52" s="442"/>
      <c r="Z52" s="442"/>
      <c r="AA52" s="562"/>
      <c r="AB52" s="562"/>
      <c r="AC52" s="562"/>
      <c r="AD52" s="442"/>
    </row>
    <row r="53" spans="1:30" s="219" customFormat="1" ht="12.75" customHeight="1" thickBot="1">
      <c r="A53" s="483" t="s">
        <v>505</v>
      </c>
      <c r="B53" s="483" t="s">
        <v>506</v>
      </c>
      <c r="C53" s="483" t="s">
        <v>604</v>
      </c>
      <c r="D53" s="1622">
        <v>3</v>
      </c>
      <c r="E53" s="1623"/>
      <c r="F53" s="484" t="s">
        <v>508</v>
      </c>
      <c r="G53" s="483" t="s">
        <v>603</v>
      </c>
      <c r="H53" s="484" t="s">
        <v>587</v>
      </c>
      <c r="I53" s="485" t="s">
        <v>558</v>
      </c>
      <c r="J53" s="486" t="s">
        <v>511</v>
      </c>
      <c r="K53" s="484" t="s">
        <v>587</v>
      </c>
      <c r="L53" s="487" t="s">
        <v>559</v>
      </c>
      <c r="M53" s="488" t="s">
        <v>511</v>
      </c>
      <c r="N53" s="489" t="s">
        <v>512</v>
      </c>
      <c r="O53" s="464"/>
      <c r="P53" s="464"/>
      <c r="Q53" s="464"/>
      <c r="R53" s="464"/>
      <c r="S53" s="464"/>
      <c r="T53" s="464"/>
      <c r="U53" s="464"/>
      <c r="V53" s="464"/>
      <c r="W53" s="464"/>
      <c r="X53" s="464"/>
      <c r="Y53" s="464"/>
      <c r="Z53" s="464"/>
      <c r="AA53" s="562"/>
      <c r="AB53" s="562"/>
      <c r="AC53" s="562"/>
      <c r="AD53" s="464"/>
    </row>
    <row r="54" spans="1:30" ht="30" customHeight="1">
      <c r="A54" s="475">
        <v>26</v>
      </c>
      <c r="B54" s="493"/>
      <c r="C54" s="756" t="str">
        <f>IF(B54="","",VLOOKUP(B54,名簿!$E$4:$J$184,3,FALSE))</f>
        <v/>
      </c>
      <c r="D54" s="1557" t="str">
        <f>IF(B54="","",VLOOKUP(B54,名簿!$E$4:$J$184,5,FALSE))</f>
        <v/>
      </c>
      <c r="E54" s="1558"/>
      <c r="F54" s="1099" t="str">
        <f>IF(B54="","",VLOOKUP(B54,名簿!$E$4:$W$184,4,FALSE))</f>
        <v/>
      </c>
      <c r="G54" s="757" t="str">
        <f>IF(B54="","",VLOOKUP(B54,名簿!$E$4:$J$184,6,FALSE))</f>
        <v/>
      </c>
      <c r="H54" s="493"/>
      <c r="I54" s="494"/>
      <c r="J54" s="495"/>
      <c r="K54" s="494"/>
      <c r="L54" s="494"/>
      <c r="M54" s="495"/>
      <c r="N54" s="496"/>
      <c r="O54" s="442"/>
      <c r="P54" s="442"/>
      <c r="Q54" s="442"/>
      <c r="R54" s="442"/>
      <c r="S54" s="442" t="s">
        <v>513</v>
      </c>
      <c r="T54" s="442" t="s">
        <v>514</v>
      </c>
      <c r="U54" s="442"/>
      <c r="V54" s="442"/>
      <c r="W54" s="442"/>
      <c r="X54" s="442"/>
      <c r="Y54" s="442" t="str">
        <f t="shared" ref="Y54:Y78" si="2">CONCATENATE(H54,I54)</f>
        <v/>
      </c>
      <c r="Z54" s="442" t="str">
        <f t="shared" ref="Z54:Z78" si="3">CONCATENATE(K54,L54)</f>
        <v/>
      </c>
      <c r="AA54" s="562"/>
      <c r="AB54" s="562"/>
      <c r="AC54" s="562"/>
      <c r="AD54" s="442"/>
    </row>
    <row r="55" spans="1:30" ht="30" customHeight="1">
      <c r="A55" s="466">
        <v>27</v>
      </c>
      <c r="B55" s="493"/>
      <c r="C55" s="758" t="str">
        <f>IF(B55="","",VLOOKUP(B55,名簿!$E$4:$J$184,3,FALSE))</f>
        <v/>
      </c>
      <c r="D55" s="1547" t="str">
        <f>IF(B55="","",VLOOKUP(B55,名簿!$E$4:$J$184,5,FALSE))</f>
        <v/>
      </c>
      <c r="E55" s="1548"/>
      <c r="F55" s="564" t="str">
        <f>IF(B55="","",VLOOKUP(B55,名簿!$E$4:$W$184,4,FALSE))</f>
        <v/>
      </c>
      <c r="G55" s="759" t="str">
        <f>IF(B55="","",VLOOKUP(B55,名簿!$E$4:$J$184,6,FALSE))</f>
        <v/>
      </c>
      <c r="H55" s="493"/>
      <c r="I55" s="497"/>
      <c r="J55" s="498"/>
      <c r="K55" s="497"/>
      <c r="L55" s="497"/>
      <c r="M55" s="498"/>
      <c r="N55" s="496"/>
      <c r="O55" s="442"/>
      <c r="P55" s="442"/>
      <c r="Q55" s="442"/>
      <c r="R55" s="442"/>
      <c r="S55" s="442" t="s">
        <v>515</v>
      </c>
      <c r="T55" s="442" t="s">
        <v>516</v>
      </c>
      <c r="U55" s="442"/>
      <c r="V55" s="442"/>
      <c r="W55" s="442"/>
      <c r="X55" s="442"/>
      <c r="Y55" s="442" t="str">
        <f t="shared" si="2"/>
        <v/>
      </c>
      <c r="Z55" s="442" t="str">
        <f t="shared" si="3"/>
        <v/>
      </c>
      <c r="AA55" s="562"/>
      <c r="AB55" s="562"/>
      <c r="AC55" s="562"/>
      <c r="AD55" s="442"/>
    </row>
    <row r="56" spans="1:30" ht="30" customHeight="1">
      <c r="A56" s="466">
        <v>28</v>
      </c>
      <c r="B56" s="493"/>
      <c r="C56" s="758" t="str">
        <f>IF(B56="","",VLOOKUP(B56,名簿!$E$4:$J$184,3,FALSE))</f>
        <v/>
      </c>
      <c r="D56" s="1547" t="str">
        <f>IF(B56="","",VLOOKUP(B56,名簿!$E$4:$J$184,5,FALSE))</f>
        <v/>
      </c>
      <c r="E56" s="1548"/>
      <c r="F56" s="564" t="str">
        <f>IF(B56="","",VLOOKUP(B56,名簿!$E$4:$W$184,4,FALSE))</f>
        <v/>
      </c>
      <c r="G56" s="759" t="str">
        <f>IF(B56="","",VLOOKUP(B56,名簿!$E$4:$J$184,6,FALSE))</f>
        <v/>
      </c>
      <c r="H56" s="493"/>
      <c r="I56" s="497"/>
      <c r="J56" s="498"/>
      <c r="K56" s="497"/>
      <c r="L56" s="497"/>
      <c r="M56" s="498"/>
      <c r="N56" s="496"/>
      <c r="O56" s="442"/>
      <c r="P56" s="442"/>
      <c r="Q56" s="442"/>
      <c r="R56" s="442"/>
      <c r="S56" s="442" t="s">
        <v>517</v>
      </c>
      <c r="T56" s="442" t="s">
        <v>518</v>
      </c>
      <c r="U56" s="442"/>
      <c r="V56" s="442"/>
      <c r="W56" s="442"/>
      <c r="X56" s="442"/>
      <c r="Y56" s="442" t="str">
        <f t="shared" si="2"/>
        <v/>
      </c>
      <c r="Z56" s="442" t="str">
        <f t="shared" si="3"/>
        <v/>
      </c>
      <c r="AA56" s="562"/>
      <c r="AB56" s="562"/>
      <c r="AC56" s="562"/>
      <c r="AD56" s="442"/>
    </row>
    <row r="57" spans="1:30" ht="30" customHeight="1">
      <c r="A57" s="466">
        <v>29</v>
      </c>
      <c r="B57" s="493"/>
      <c r="C57" s="758" t="str">
        <f>IF(B57="","",VLOOKUP(B57,名簿!$E$4:$J$184,3,FALSE))</f>
        <v/>
      </c>
      <c r="D57" s="1547" t="str">
        <f>IF(B57="","",VLOOKUP(B57,名簿!$E$4:$J$184,5,FALSE))</f>
        <v/>
      </c>
      <c r="E57" s="1548"/>
      <c r="F57" s="564" t="str">
        <f>IF(B57="","",VLOOKUP(B57,名簿!$E$4:$W$184,4,FALSE))</f>
        <v/>
      </c>
      <c r="G57" s="759" t="str">
        <f>IF(B57="","",VLOOKUP(B57,名簿!$E$4:$J$184,6,FALSE))</f>
        <v/>
      </c>
      <c r="H57" s="493"/>
      <c r="I57" s="497"/>
      <c r="J57" s="498"/>
      <c r="K57" s="497"/>
      <c r="L57" s="497"/>
      <c r="M57" s="498"/>
      <c r="N57" s="496"/>
      <c r="O57" s="442"/>
      <c r="P57" s="442"/>
      <c r="Q57" s="442"/>
      <c r="R57" s="442"/>
      <c r="S57" s="442" t="s">
        <v>519</v>
      </c>
      <c r="T57" s="442" t="s">
        <v>520</v>
      </c>
      <c r="U57" s="442"/>
      <c r="V57" s="442"/>
      <c r="W57" s="442"/>
      <c r="X57" s="442"/>
      <c r="Y57" s="442" t="str">
        <f t="shared" si="2"/>
        <v/>
      </c>
      <c r="Z57" s="442" t="str">
        <f t="shared" si="3"/>
        <v/>
      </c>
      <c r="AA57" s="562"/>
      <c r="AB57" s="562"/>
      <c r="AC57" s="562"/>
      <c r="AD57" s="442"/>
    </row>
    <row r="58" spans="1:30" ht="30" customHeight="1">
      <c r="A58" s="466">
        <v>30</v>
      </c>
      <c r="B58" s="493"/>
      <c r="C58" s="758" t="str">
        <f>IF(B58="","",VLOOKUP(B58,名簿!$E$4:$J$184,3,FALSE))</f>
        <v/>
      </c>
      <c r="D58" s="1547" t="str">
        <f>IF(B58="","",VLOOKUP(B58,名簿!$E$4:$J$184,5,FALSE))</f>
        <v/>
      </c>
      <c r="E58" s="1548"/>
      <c r="F58" s="564" t="str">
        <f>IF(B58="","",VLOOKUP(B58,名簿!$E$4:$W$184,4,FALSE))</f>
        <v/>
      </c>
      <c r="G58" s="759" t="str">
        <f>IF(B58="","",VLOOKUP(B58,名簿!$E$4:$J$184,6,FALSE))</f>
        <v/>
      </c>
      <c r="H58" s="493"/>
      <c r="I58" s="497"/>
      <c r="J58" s="498"/>
      <c r="K58" s="497"/>
      <c r="L58" s="497"/>
      <c r="M58" s="498"/>
      <c r="N58" s="496"/>
      <c r="O58" s="442"/>
      <c r="P58" s="442"/>
      <c r="Q58" s="442"/>
      <c r="R58" s="442"/>
      <c r="S58" s="442" t="s">
        <v>523</v>
      </c>
      <c r="T58" s="442" t="s">
        <v>522</v>
      </c>
      <c r="U58" s="442"/>
      <c r="V58" s="442"/>
      <c r="W58" s="442"/>
      <c r="X58" s="442"/>
      <c r="Y58" s="442" t="str">
        <f t="shared" si="2"/>
        <v/>
      </c>
      <c r="Z58" s="442" t="str">
        <f t="shared" si="3"/>
        <v/>
      </c>
      <c r="AA58" s="562"/>
      <c r="AB58" s="562"/>
      <c r="AC58" s="562"/>
      <c r="AD58" s="442"/>
    </row>
    <row r="59" spans="1:30" ht="30" customHeight="1">
      <c r="A59" s="466">
        <v>31</v>
      </c>
      <c r="B59" s="493"/>
      <c r="C59" s="758" t="str">
        <f>IF(B59="","",VLOOKUP(B59,名簿!$E$4:$J$184,3,FALSE))</f>
        <v/>
      </c>
      <c r="D59" s="1547" t="str">
        <f>IF(B59="","",VLOOKUP(B59,名簿!$E$4:$J$184,5,FALSE))</f>
        <v/>
      </c>
      <c r="E59" s="1548"/>
      <c r="F59" s="564" t="str">
        <f>IF(B59="","",VLOOKUP(B59,名簿!$E$4:$W$184,4,FALSE))</f>
        <v/>
      </c>
      <c r="G59" s="759" t="str">
        <f>IF(B59="","",VLOOKUP(B59,名簿!$E$4:$J$184,6,FALSE))</f>
        <v/>
      </c>
      <c r="H59" s="493"/>
      <c r="I59" s="497"/>
      <c r="J59" s="498"/>
      <c r="K59" s="497"/>
      <c r="L59" s="497"/>
      <c r="M59" s="498"/>
      <c r="N59" s="496"/>
      <c r="O59" s="442"/>
      <c r="P59" s="442"/>
      <c r="Q59" s="442"/>
      <c r="R59" s="442"/>
      <c r="S59" s="442" t="s">
        <v>525</v>
      </c>
      <c r="T59" s="442" t="s">
        <v>524</v>
      </c>
      <c r="U59" s="442"/>
      <c r="V59" s="442"/>
      <c r="W59" s="442"/>
      <c r="X59" s="442"/>
      <c r="Y59" s="442" t="str">
        <f t="shared" si="2"/>
        <v/>
      </c>
      <c r="Z59" s="442" t="str">
        <f t="shared" si="3"/>
        <v/>
      </c>
      <c r="AA59" s="562"/>
      <c r="AB59" s="562"/>
      <c r="AC59" s="562"/>
      <c r="AD59" s="442"/>
    </row>
    <row r="60" spans="1:30" ht="30" customHeight="1">
      <c r="A60" s="466">
        <v>32</v>
      </c>
      <c r="B60" s="493"/>
      <c r="C60" s="758" t="str">
        <f>IF(B60="","",VLOOKUP(B60,名簿!$E$4:$J$184,3,FALSE))</f>
        <v/>
      </c>
      <c r="D60" s="1547" t="str">
        <f>IF(B60="","",VLOOKUP(B60,名簿!$E$4:$J$184,5,FALSE))</f>
        <v/>
      </c>
      <c r="E60" s="1548"/>
      <c r="F60" s="564" t="str">
        <f>IF(B60="","",VLOOKUP(B60,名簿!$E$4:$W$184,4,FALSE))</f>
        <v/>
      </c>
      <c r="G60" s="759" t="str">
        <f>IF(B60="","",VLOOKUP(B60,名簿!$E$4:$J$184,6,FALSE))</f>
        <v/>
      </c>
      <c r="H60" s="493"/>
      <c r="I60" s="497"/>
      <c r="J60" s="498"/>
      <c r="K60" s="497"/>
      <c r="L60" s="497"/>
      <c r="M60" s="498"/>
      <c r="N60" s="496"/>
      <c r="O60" s="442"/>
      <c r="P60" s="442"/>
      <c r="Q60" s="442"/>
      <c r="R60" s="442"/>
      <c r="S60" s="442" t="s">
        <v>527</v>
      </c>
      <c r="T60" s="442" t="s">
        <v>526</v>
      </c>
      <c r="U60" s="442"/>
      <c r="V60" s="442"/>
      <c r="W60" s="442"/>
      <c r="X60" s="442"/>
      <c r="Y60" s="442" t="str">
        <f t="shared" si="2"/>
        <v/>
      </c>
      <c r="Z60" s="442" t="str">
        <f t="shared" si="3"/>
        <v/>
      </c>
      <c r="AA60" s="562"/>
      <c r="AB60" s="562"/>
      <c r="AC60" s="562"/>
      <c r="AD60" s="442"/>
    </row>
    <row r="61" spans="1:30" ht="30" customHeight="1">
      <c r="A61" s="466">
        <v>33</v>
      </c>
      <c r="B61" s="493"/>
      <c r="C61" s="758" t="str">
        <f>IF(B61="","",VLOOKUP(B61,名簿!$E$4:$J$184,3,FALSE))</f>
        <v/>
      </c>
      <c r="D61" s="1547" t="str">
        <f>IF(B61="","",VLOOKUP(B61,名簿!$E$4:$J$184,5,FALSE))</f>
        <v/>
      </c>
      <c r="E61" s="1548"/>
      <c r="F61" s="564" t="str">
        <f>IF(B61="","",VLOOKUP(B61,名簿!$E$4:$W$184,4,FALSE))</f>
        <v/>
      </c>
      <c r="G61" s="759" t="str">
        <f>IF(B61="","",VLOOKUP(B61,名簿!$E$4:$J$184,6,FALSE))</f>
        <v/>
      </c>
      <c r="H61" s="493"/>
      <c r="I61" s="497"/>
      <c r="J61" s="498"/>
      <c r="K61" s="497"/>
      <c r="L61" s="497"/>
      <c r="M61" s="498"/>
      <c r="N61" s="496"/>
      <c r="O61" s="442"/>
      <c r="P61" s="442"/>
      <c r="Q61" s="442"/>
      <c r="R61" s="442"/>
      <c r="S61" s="442" t="s">
        <v>529</v>
      </c>
      <c r="T61" s="442" t="s">
        <v>528</v>
      </c>
      <c r="U61" s="442"/>
      <c r="V61" s="442"/>
      <c r="W61" s="442"/>
      <c r="X61" s="442"/>
      <c r="Y61" s="442" t="str">
        <f t="shared" si="2"/>
        <v/>
      </c>
      <c r="Z61" s="442" t="str">
        <f t="shared" si="3"/>
        <v/>
      </c>
      <c r="AA61" s="562"/>
      <c r="AB61" s="562"/>
      <c r="AC61" s="562"/>
      <c r="AD61" s="442"/>
    </row>
    <row r="62" spans="1:30" ht="30" customHeight="1">
      <c r="A62" s="466">
        <v>34</v>
      </c>
      <c r="B62" s="493"/>
      <c r="C62" s="758" t="str">
        <f>IF(B62="","",VLOOKUP(B62,名簿!$E$4:$J$184,3,FALSE))</f>
        <v/>
      </c>
      <c r="D62" s="1547" t="str">
        <f>IF(B62="","",VLOOKUP(B62,名簿!$E$4:$J$184,5,FALSE))</f>
        <v/>
      </c>
      <c r="E62" s="1548"/>
      <c r="F62" s="564" t="str">
        <f>IF(B62="","",VLOOKUP(B62,名簿!$E$4:$W$184,4,FALSE))</f>
        <v/>
      </c>
      <c r="G62" s="759" t="str">
        <f>IF(B62="","",VLOOKUP(B62,名簿!$E$4:$J$184,6,FALSE))</f>
        <v/>
      </c>
      <c r="H62" s="493"/>
      <c r="I62" s="497"/>
      <c r="J62" s="498"/>
      <c r="K62" s="497"/>
      <c r="L62" s="497"/>
      <c r="M62" s="498"/>
      <c r="N62" s="496"/>
      <c r="O62" s="442"/>
      <c r="P62" s="442"/>
      <c r="Q62" s="442"/>
      <c r="R62" s="442"/>
      <c r="S62" s="442"/>
      <c r="T62" s="442" t="s">
        <v>530</v>
      </c>
      <c r="U62" s="442"/>
      <c r="V62" s="442"/>
      <c r="W62" s="442"/>
      <c r="X62" s="442"/>
      <c r="Y62" s="442" t="str">
        <f t="shared" si="2"/>
        <v/>
      </c>
      <c r="Z62" s="442" t="str">
        <f t="shared" si="3"/>
        <v/>
      </c>
      <c r="AA62" s="562"/>
      <c r="AB62" s="562"/>
      <c r="AC62" s="562"/>
      <c r="AD62" s="442"/>
    </row>
    <row r="63" spans="1:30" ht="30" customHeight="1">
      <c r="A63" s="466">
        <v>35</v>
      </c>
      <c r="B63" s="493"/>
      <c r="C63" s="758" t="str">
        <f>IF(B63="","",VLOOKUP(B63,名簿!$E$4:$J$184,3,FALSE))</f>
        <v/>
      </c>
      <c r="D63" s="1547" t="str">
        <f>IF(B63="","",VLOOKUP(B63,名簿!$E$4:$J$184,5,FALSE))</f>
        <v/>
      </c>
      <c r="E63" s="1548"/>
      <c r="F63" s="564" t="str">
        <f>IF(B63="","",VLOOKUP(B63,名簿!$E$4:$W$184,4,FALSE))</f>
        <v/>
      </c>
      <c r="G63" s="759" t="str">
        <f>IF(B63="","",VLOOKUP(B63,名簿!$E$4:$J$184,6,FALSE))</f>
        <v/>
      </c>
      <c r="H63" s="493"/>
      <c r="I63" s="497"/>
      <c r="J63" s="498"/>
      <c r="K63" s="497"/>
      <c r="L63" s="497"/>
      <c r="M63" s="498"/>
      <c r="N63" s="496"/>
      <c r="O63" s="442"/>
      <c r="P63" s="442"/>
      <c r="Q63" s="442"/>
      <c r="R63" s="442"/>
      <c r="S63" s="442"/>
      <c r="T63" s="442" t="s">
        <v>531</v>
      </c>
      <c r="U63" s="442"/>
      <c r="V63" s="442"/>
      <c r="W63" s="442"/>
      <c r="X63" s="442"/>
      <c r="Y63" s="442" t="str">
        <f t="shared" si="2"/>
        <v/>
      </c>
      <c r="Z63" s="442" t="str">
        <f t="shared" si="3"/>
        <v/>
      </c>
      <c r="AA63" s="562"/>
      <c r="AB63" s="562"/>
      <c r="AC63" s="562"/>
      <c r="AD63" s="442"/>
    </row>
    <row r="64" spans="1:30" ht="30" customHeight="1">
      <c r="A64" s="466">
        <v>36</v>
      </c>
      <c r="B64" s="493"/>
      <c r="C64" s="758" t="str">
        <f>IF(B64="","",VLOOKUP(B64,名簿!$E$4:$J$184,3,FALSE))</f>
        <v/>
      </c>
      <c r="D64" s="1547" t="str">
        <f>IF(B64="","",VLOOKUP(B64,名簿!$E$4:$J$184,5,FALSE))</f>
        <v/>
      </c>
      <c r="E64" s="1548"/>
      <c r="F64" s="564" t="str">
        <f>IF(B64="","",VLOOKUP(B64,名簿!$E$4:$W$184,4,FALSE))</f>
        <v/>
      </c>
      <c r="G64" s="759" t="str">
        <f>IF(B64="","",VLOOKUP(B64,名簿!$E$4:$J$184,6,FALSE))</f>
        <v/>
      </c>
      <c r="H64" s="493"/>
      <c r="I64" s="497"/>
      <c r="J64" s="498"/>
      <c r="K64" s="497"/>
      <c r="L64" s="497"/>
      <c r="M64" s="498"/>
      <c r="N64" s="496"/>
      <c r="O64" s="442"/>
      <c r="P64" s="442"/>
      <c r="Q64" s="442"/>
      <c r="R64" s="442"/>
      <c r="S64" s="442"/>
      <c r="T64" s="442"/>
      <c r="U64" s="442"/>
      <c r="V64" s="442"/>
      <c r="W64" s="442"/>
      <c r="X64" s="442"/>
      <c r="Y64" s="442" t="str">
        <f t="shared" si="2"/>
        <v/>
      </c>
      <c r="Z64" s="442" t="str">
        <f t="shared" si="3"/>
        <v/>
      </c>
      <c r="AA64" s="562"/>
      <c r="AB64" s="562"/>
      <c r="AC64" s="562"/>
      <c r="AD64" s="442"/>
    </row>
    <row r="65" spans="1:30" ht="30" customHeight="1">
      <c r="A65" s="466">
        <v>37</v>
      </c>
      <c r="B65" s="493"/>
      <c r="C65" s="758" t="str">
        <f>IF(B65="","",VLOOKUP(B65,名簿!$E$4:$J$184,3,FALSE))</f>
        <v/>
      </c>
      <c r="D65" s="1547" t="str">
        <f>IF(B65="","",VLOOKUP(B65,名簿!$E$4:$J$184,5,FALSE))</f>
        <v/>
      </c>
      <c r="E65" s="1548"/>
      <c r="F65" s="564" t="str">
        <f>IF(B65="","",VLOOKUP(B65,名簿!$E$4:$W$184,4,FALSE))</f>
        <v/>
      </c>
      <c r="G65" s="759" t="str">
        <f>IF(B65="","",VLOOKUP(B65,名簿!$E$4:$J$184,6,FALSE))</f>
        <v/>
      </c>
      <c r="H65" s="493"/>
      <c r="I65" s="497"/>
      <c r="J65" s="498"/>
      <c r="K65" s="497"/>
      <c r="L65" s="497"/>
      <c r="M65" s="498"/>
      <c r="N65" s="496"/>
      <c r="O65" s="442"/>
      <c r="P65" s="442"/>
      <c r="Q65" s="442"/>
      <c r="R65" s="442"/>
      <c r="S65" s="442"/>
      <c r="T65" s="442"/>
      <c r="U65" s="442"/>
      <c r="V65" s="442"/>
      <c r="W65" s="442"/>
      <c r="X65" s="442"/>
      <c r="Y65" s="442" t="str">
        <f t="shared" si="2"/>
        <v/>
      </c>
      <c r="Z65" s="442" t="str">
        <f t="shared" si="3"/>
        <v/>
      </c>
      <c r="AA65" s="562"/>
      <c r="AB65" s="562"/>
      <c r="AC65" s="562"/>
      <c r="AD65" s="442"/>
    </row>
    <row r="66" spans="1:30" ht="30" customHeight="1">
      <c r="A66" s="466">
        <v>38</v>
      </c>
      <c r="B66" s="493"/>
      <c r="C66" s="758" t="str">
        <f>IF(B66="","",VLOOKUP(B66,名簿!$E$4:$J$184,3,FALSE))</f>
        <v/>
      </c>
      <c r="D66" s="1547" t="str">
        <f>IF(B66="","",VLOOKUP(B66,名簿!$E$4:$J$184,5,FALSE))</f>
        <v/>
      </c>
      <c r="E66" s="1548"/>
      <c r="F66" s="564" t="str">
        <f>IF(B66="","",VLOOKUP(B66,名簿!$E$4:$W$184,4,FALSE))</f>
        <v/>
      </c>
      <c r="G66" s="759" t="str">
        <f>IF(B66="","",VLOOKUP(B66,名簿!$E$4:$J$184,6,FALSE))</f>
        <v/>
      </c>
      <c r="H66" s="493"/>
      <c r="I66" s="497"/>
      <c r="J66" s="498"/>
      <c r="K66" s="497"/>
      <c r="L66" s="497"/>
      <c r="M66" s="498"/>
      <c r="N66" s="496"/>
      <c r="O66" s="442"/>
      <c r="P66" s="442"/>
      <c r="Q66" s="442"/>
      <c r="R66" s="442"/>
      <c r="S66" s="442"/>
      <c r="T66" s="442"/>
      <c r="U66" s="442"/>
      <c r="V66" s="442"/>
      <c r="W66" s="442"/>
      <c r="X66" s="442"/>
      <c r="Y66" s="442" t="str">
        <f t="shared" si="2"/>
        <v/>
      </c>
      <c r="Z66" s="442" t="str">
        <f t="shared" si="3"/>
        <v/>
      </c>
      <c r="AA66" s="562"/>
      <c r="AB66" s="562"/>
      <c r="AC66" s="562"/>
      <c r="AD66" s="442"/>
    </row>
    <row r="67" spans="1:30" ht="30" customHeight="1">
      <c r="A67" s="466">
        <v>39</v>
      </c>
      <c r="B67" s="493"/>
      <c r="C67" s="758" t="str">
        <f>IF(B67="","",VLOOKUP(B67,名簿!$E$4:$J$184,3,FALSE))</f>
        <v/>
      </c>
      <c r="D67" s="1547" t="str">
        <f>IF(B67="","",VLOOKUP(B67,名簿!$E$4:$J$184,5,FALSE))</f>
        <v/>
      </c>
      <c r="E67" s="1548"/>
      <c r="F67" s="564" t="str">
        <f>IF(B67="","",VLOOKUP(B67,名簿!$E$4:$W$184,4,FALSE))</f>
        <v/>
      </c>
      <c r="G67" s="759" t="str">
        <f>IF(B67="","",VLOOKUP(B67,名簿!$E$4:$J$184,6,FALSE))</f>
        <v/>
      </c>
      <c r="H67" s="493"/>
      <c r="I67" s="497"/>
      <c r="J67" s="498"/>
      <c r="K67" s="497"/>
      <c r="L67" s="497"/>
      <c r="M67" s="498"/>
      <c r="N67" s="496"/>
      <c r="O67" s="442"/>
      <c r="P67" s="442"/>
      <c r="Q67" s="442"/>
      <c r="R67" s="442"/>
      <c r="S67" s="442"/>
      <c r="T67" s="442"/>
      <c r="U67" s="442"/>
      <c r="V67" s="442"/>
      <c r="W67" s="442"/>
      <c r="X67" s="442"/>
      <c r="Y67" s="442" t="str">
        <f t="shared" si="2"/>
        <v/>
      </c>
      <c r="Z67" s="442" t="str">
        <f t="shared" si="3"/>
        <v/>
      </c>
      <c r="AA67" s="562"/>
      <c r="AB67" s="562"/>
      <c r="AC67" s="562"/>
      <c r="AD67" s="442"/>
    </row>
    <row r="68" spans="1:30" ht="30" customHeight="1">
      <c r="A68" s="466">
        <v>40</v>
      </c>
      <c r="B68" s="493"/>
      <c r="C68" s="758" t="str">
        <f>IF(B68="","",VLOOKUP(B68,名簿!$E$4:$J$184,3,FALSE))</f>
        <v/>
      </c>
      <c r="D68" s="1547" t="str">
        <f>IF(B68="","",VLOOKUP(B68,名簿!$E$4:$J$184,5,FALSE))</f>
        <v/>
      </c>
      <c r="E68" s="1548"/>
      <c r="F68" s="564" t="str">
        <f>IF(B68="","",VLOOKUP(B68,名簿!$E$4:$W$184,4,FALSE))</f>
        <v/>
      </c>
      <c r="G68" s="759" t="str">
        <f>IF(B68="","",VLOOKUP(B68,名簿!$E$4:$J$184,6,FALSE))</f>
        <v/>
      </c>
      <c r="H68" s="493"/>
      <c r="I68" s="497"/>
      <c r="J68" s="498"/>
      <c r="K68" s="497"/>
      <c r="L68" s="497"/>
      <c r="M68" s="498"/>
      <c r="N68" s="496"/>
      <c r="O68" s="442"/>
      <c r="P68" s="442"/>
      <c r="Q68" s="442"/>
      <c r="R68" s="442"/>
      <c r="S68" s="442"/>
      <c r="T68" s="442"/>
      <c r="U68" s="442"/>
      <c r="V68" s="442"/>
      <c r="W68" s="442"/>
      <c r="X68" s="442"/>
      <c r="Y68" s="442" t="str">
        <f t="shared" si="2"/>
        <v/>
      </c>
      <c r="Z68" s="442" t="str">
        <f t="shared" si="3"/>
        <v/>
      </c>
      <c r="AA68" s="562"/>
      <c r="AB68" s="562"/>
      <c r="AC68" s="562"/>
      <c r="AD68" s="442"/>
    </row>
    <row r="69" spans="1:30" ht="30" customHeight="1">
      <c r="A69" s="466">
        <v>41</v>
      </c>
      <c r="B69" s="493"/>
      <c r="C69" s="758" t="str">
        <f>IF(B69="","",VLOOKUP(B69,名簿!$E$4:$J$184,3,FALSE))</f>
        <v/>
      </c>
      <c r="D69" s="1547" t="str">
        <f>IF(B69="","",VLOOKUP(B69,名簿!$E$4:$J$184,5,FALSE))</f>
        <v/>
      </c>
      <c r="E69" s="1548"/>
      <c r="F69" s="564" t="str">
        <f>IF(B69="","",VLOOKUP(B69,名簿!$E$4:$W$184,4,FALSE))</f>
        <v/>
      </c>
      <c r="G69" s="759" t="str">
        <f>IF(B69="","",VLOOKUP(B69,名簿!$E$4:$J$184,6,FALSE))</f>
        <v/>
      </c>
      <c r="H69" s="493"/>
      <c r="I69" s="497"/>
      <c r="J69" s="498"/>
      <c r="K69" s="497"/>
      <c r="L69" s="497"/>
      <c r="M69" s="498"/>
      <c r="N69" s="496"/>
      <c r="O69" s="442"/>
      <c r="P69" s="442"/>
      <c r="Q69" s="442"/>
      <c r="R69" s="442"/>
      <c r="S69" s="442"/>
      <c r="T69" s="442"/>
      <c r="U69" s="442"/>
      <c r="V69" s="442"/>
      <c r="W69" s="442"/>
      <c r="X69" s="442"/>
      <c r="Y69" s="442" t="str">
        <f t="shared" si="2"/>
        <v/>
      </c>
      <c r="Z69" s="442" t="str">
        <f t="shared" si="3"/>
        <v/>
      </c>
      <c r="AA69" s="562"/>
      <c r="AB69" s="562"/>
      <c r="AC69" s="562"/>
      <c r="AD69" s="442"/>
    </row>
    <row r="70" spans="1:30" ht="30" customHeight="1">
      <c r="A70" s="466">
        <v>42</v>
      </c>
      <c r="B70" s="493"/>
      <c r="C70" s="758" t="str">
        <f>IF(B70="","",VLOOKUP(B70,名簿!$E$4:$J$184,3,FALSE))</f>
        <v/>
      </c>
      <c r="D70" s="1547" t="str">
        <f>IF(B70="","",VLOOKUP(B70,名簿!$E$4:$J$184,5,FALSE))</f>
        <v/>
      </c>
      <c r="E70" s="1548"/>
      <c r="F70" s="564" t="str">
        <f>IF(B70="","",VLOOKUP(B70,名簿!$E$4:$W$184,4,FALSE))</f>
        <v/>
      </c>
      <c r="G70" s="759" t="str">
        <f>IF(B70="","",VLOOKUP(B70,名簿!$E$4:$J$184,6,FALSE))</f>
        <v/>
      </c>
      <c r="H70" s="493"/>
      <c r="I70" s="497"/>
      <c r="J70" s="498"/>
      <c r="K70" s="497"/>
      <c r="L70" s="497"/>
      <c r="M70" s="498"/>
      <c r="N70" s="496"/>
      <c r="O70" s="442"/>
      <c r="P70" s="442"/>
      <c r="Q70" s="442"/>
      <c r="R70" s="442"/>
      <c r="S70" s="442"/>
      <c r="T70" s="442"/>
      <c r="U70" s="442"/>
      <c r="V70" s="442"/>
      <c r="W70" s="442"/>
      <c r="X70" s="442"/>
      <c r="Y70" s="442" t="str">
        <f t="shared" si="2"/>
        <v/>
      </c>
      <c r="Z70" s="442" t="str">
        <f t="shared" si="3"/>
        <v/>
      </c>
      <c r="AA70" s="562"/>
      <c r="AB70" s="562"/>
      <c r="AC70" s="562"/>
      <c r="AD70" s="442"/>
    </row>
    <row r="71" spans="1:30" ht="30" customHeight="1">
      <c r="A71" s="466">
        <v>43</v>
      </c>
      <c r="B71" s="493"/>
      <c r="C71" s="758" t="str">
        <f>IF(B71="","",VLOOKUP(B71,名簿!$E$4:$J$184,3,FALSE))</f>
        <v/>
      </c>
      <c r="D71" s="1547" t="str">
        <f>IF(B71="","",VLOOKUP(B71,名簿!$E$4:$J$184,5,FALSE))</f>
        <v/>
      </c>
      <c r="E71" s="1548"/>
      <c r="F71" s="564" t="str">
        <f>IF(B71="","",VLOOKUP(B71,名簿!$E$4:$W$184,4,FALSE))</f>
        <v/>
      </c>
      <c r="G71" s="759" t="str">
        <f>IF(B71="","",VLOOKUP(B71,名簿!$E$4:$J$184,6,FALSE))</f>
        <v/>
      </c>
      <c r="H71" s="493"/>
      <c r="I71" s="497"/>
      <c r="J71" s="498"/>
      <c r="K71" s="497"/>
      <c r="L71" s="497"/>
      <c r="M71" s="498"/>
      <c r="N71" s="496"/>
      <c r="O71" s="442"/>
      <c r="P71" s="442"/>
      <c r="Q71" s="442"/>
      <c r="R71" s="442"/>
      <c r="S71" s="442"/>
      <c r="T71" s="442"/>
      <c r="U71" s="442"/>
      <c r="V71" s="442"/>
      <c r="W71" s="442"/>
      <c r="X71" s="442"/>
      <c r="Y71" s="442" t="str">
        <f t="shared" si="2"/>
        <v/>
      </c>
      <c r="Z71" s="442" t="str">
        <f t="shared" si="3"/>
        <v/>
      </c>
      <c r="AA71" s="562"/>
      <c r="AB71" s="562"/>
      <c r="AC71" s="562"/>
      <c r="AD71" s="442"/>
    </row>
    <row r="72" spans="1:30" ht="30" customHeight="1">
      <c r="A72" s="466">
        <v>44</v>
      </c>
      <c r="B72" s="493"/>
      <c r="C72" s="758" t="str">
        <f>IF(B72="","",VLOOKUP(B72,名簿!$E$4:$J$184,3,FALSE))</f>
        <v/>
      </c>
      <c r="D72" s="1547" t="str">
        <f>IF(B72="","",VLOOKUP(B72,名簿!$E$4:$J$184,5,FALSE))</f>
        <v/>
      </c>
      <c r="E72" s="1548"/>
      <c r="F72" s="564" t="str">
        <f>IF(B72="","",VLOOKUP(B72,名簿!$E$4:$W$184,4,FALSE))</f>
        <v/>
      </c>
      <c r="G72" s="759" t="str">
        <f>IF(B72="","",VLOOKUP(B72,名簿!$E$4:$J$184,6,FALSE))</f>
        <v/>
      </c>
      <c r="H72" s="493"/>
      <c r="I72" s="497"/>
      <c r="J72" s="498"/>
      <c r="K72" s="497"/>
      <c r="L72" s="497"/>
      <c r="M72" s="498"/>
      <c r="N72" s="496"/>
      <c r="O72" s="442"/>
      <c r="P72" s="442"/>
      <c r="Q72" s="442"/>
      <c r="R72" s="442"/>
      <c r="S72" s="442"/>
      <c r="T72" s="442"/>
      <c r="U72" s="442"/>
      <c r="V72" s="442"/>
      <c r="W72" s="442"/>
      <c r="X72" s="442"/>
      <c r="Y72" s="442" t="str">
        <f t="shared" si="2"/>
        <v/>
      </c>
      <c r="Z72" s="442" t="str">
        <f t="shared" si="3"/>
        <v/>
      </c>
      <c r="AA72" s="562"/>
      <c r="AB72" s="562"/>
      <c r="AC72" s="562"/>
      <c r="AD72" s="442"/>
    </row>
    <row r="73" spans="1:30" ht="30" customHeight="1">
      <c r="A73" s="466">
        <v>45</v>
      </c>
      <c r="B73" s="493"/>
      <c r="C73" s="758" t="str">
        <f>IF(B73="","",VLOOKUP(B73,名簿!$E$4:$J$184,3,FALSE))</f>
        <v/>
      </c>
      <c r="D73" s="1547" t="str">
        <f>IF(B73="","",VLOOKUP(B73,名簿!$E$4:$J$184,5,FALSE))</f>
        <v/>
      </c>
      <c r="E73" s="1548"/>
      <c r="F73" s="564" t="str">
        <f>IF(B73="","",VLOOKUP(B73,名簿!$E$4:$W$184,4,FALSE))</f>
        <v/>
      </c>
      <c r="G73" s="759" t="str">
        <f>IF(B73="","",VLOOKUP(B73,名簿!$E$4:$J$184,6,FALSE))</f>
        <v/>
      </c>
      <c r="H73" s="493"/>
      <c r="I73" s="497"/>
      <c r="J73" s="498"/>
      <c r="K73" s="497"/>
      <c r="L73" s="497"/>
      <c r="M73" s="498"/>
      <c r="N73" s="496"/>
      <c r="O73" s="442"/>
      <c r="P73" s="442"/>
      <c r="Q73" s="442"/>
      <c r="R73" s="442"/>
      <c r="S73" s="442"/>
      <c r="T73" s="442"/>
      <c r="U73" s="442"/>
      <c r="V73" s="442"/>
      <c r="W73" s="442"/>
      <c r="X73" s="442"/>
      <c r="Y73" s="442" t="str">
        <f t="shared" si="2"/>
        <v/>
      </c>
      <c r="Z73" s="442" t="str">
        <f t="shared" si="3"/>
        <v/>
      </c>
      <c r="AA73" s="562"/>
      <c r="AB73" s="562"/>
      <c r="AC73" s="562"/>
      <c r="AD73" s="442"/>
    </row>
    <row r="74" spans="1:30" ht="30" customHeight="1">
      <c r="A74" s="466">
        <v>46</v>
      </c>
      <c r="B74" s="493"/>
      <c r="C74" s="758" t="str">
        <f>IF(B74="","",VLOOKUP(B74,名簿!$E$4:$J$184,3,FALSE))</f>
        <v/>
      </c>
      <c r="D74" s="1547" t="str">
        <f>IF(B74="","",VLOOKUP(B74,名簿!$E$4:$J$184,5,FALSE))</f>
        <v/>
      </c>
      <c r="E74" s="1548"/>
      <c r="F74" s="564" t="str">
        <f>IF(B74="","",VLOOKUP(B74,名簿!$E$4:$W$184,4,FALSE))</f>
        <v/>
      </c>
      <c r="G74" s="759" t="str">
        <f>IF(B74="","",VLOOKUP(B74,名簿!$E$4:$J$184,6,FALSE))</f>
        <v/>
      </c>
      <c r="H74" s="493"/>
      <c r="I74" s="497"/>
      <c r="J74" s="498"/>
      <c r="K74" s="497"/>
      <c r="L74" s="497"/>
      <c r="M74" s="498"/>
      <c r="N74" s="496"/>
      <c r="O74" s="442"/>
      <c r="P74" s="442"/>
      <c r="Q74" s="442"/>
      <c r="R74" s="442"/>
      <c r="S74" s="442"/>
      <c r="T74" s="442"/>
      <c r="U74" s="442"/>
      <c r="V74" s="442"/>
      <c r="W74" s="442"/>
      <c r="X74" s="442"/>
      <c r="Y74" s="442" t="str">
        <f t="shared" si="2"/>
        <v/>
      </c>
      <c r="Z74" s="442" t="str">
        <f t="shared" si="3"/>
        <v/>
      </c>
      <c r="AA74" s="562"/>
      <c r="AB74" s="562"/>
      <c r="AC74" s="562"/>
      <c r="AD74" s="442"/>
    </row>
    <row r="75" spans="1:30" ht="30" customHeight="1">
      <c r="A75" s="466">
        <v>47</v>
      </c>
      <c r="B75" s="493"/>
      <c r="C75" s="758" t="str">
        <f>IF(B75="","",VLOOKUP(B75,名簿!$E$4:$J$184,3,FALSE))</f>
        <v/>
      </c>
      <c r="D75" s="1547" t="str">
        <f>IF(B75="","",VLOOKUP(B75,名簿!$E$4:$J$184,5,FALSE))</f>
        <v/>
      </c>
      <c r="E75" s="1548"/>
      <c r="F75" s="564" t="str">
        <f>IF(B75="","",VLOOKUP(B75,名簿!$E$4:$W$184,4,FALSE))</f>
        <v/>
      </c>
      <c r="G75" s="759" t="str">
        <f>IF(B75="","",VLOOKUP(B75,名簿!$E$4:$J$184,6,FALSE))</f>
        <v/>
      </c>
      <c r="H75" s="493"/>
      <c r="I75" s="497"/>
      <c r="J75" s="498"/>
      <c r="K75" s="497"/>
      <c r="L75" s="497"/>
      <c r="M75" s="498"/>
      <c r="N75" s="496"/>
      <c r="O75" s="442"/>
      <c r="P75" s="442"/>
      <c r="Q75" s="442"/>
      <c r="R75" s="442"/>
      <c r="S75" s="442"/>
      <c r="T75" s="442"/>
      <c r="U75" s="442"/>
      <c r="V75" s="442"/>
      <c r="W75" s="442"/>
      <c r="X75" s="442"/>
      <c r="Y75" s="442" t="str">
        <f t="shared" si="2"/>
        <v/>
      </c>
      <c r="Z75" s="442" t="str">
        <f t="shared" si="3"/>
        <v/>
      </c>
      <c r="AA75" s="562"/>
      <c r="AB75" s="562"/>
      <c r="AC75" s="562"/>
      <c r="AD75" s="442"/>
    </row>
    <row r="76" spans="1:30" ht="30" customHeight="1">
      <c r="A76" s="466">
        <v>48</v>
      </c>
      <c r="B76" s="493"/>
      <c r="C76" s="758" t="str">
        <f>IF(B76="","",VLOOKUP(B76,名簿!$E$4:$J$184,3,FALSE))</f>
        <v/>
      </c>
      <c r="D76" s="1547" t="str">
        <f>IF(B76="","",VLOOKUP(B76,名簿!$E$4:$J$184,5,FALSE))</f>
        <v/>
      </c>
      <c r="E76" s="1548"/>
      <c r="F76" s="564" t="str">
        <f>IF(B76="","",VLOOKUP(B76,名簿!$E$4:$W$184,4,FALSE))</f>
        <v/>
      </c>
      <c r="G76" s="759" t="str">
        <f>IF(B76="","",VLOOKUP(B76,名簿!$E$4:$J$184,6,FALSE))</f>
        <v/>
      </c>
      <c r="H76" s="493"/>
      <c r="I76" s="497"/>
      <c r="J76" s="498"/>
      <c r="K76" s="497"/>
      <c r="L76" s="497"/>
      <c r="M76" s="498"/>
      <c r="N76" s="496"/>
      <c r="O76" s="442"/>
      <c r="P76" s="442"/>
      <c r="Q76" s="442"/>
      <c r="R76" s="442"/>
      <c r="S76" s="442"/>
      <c r="T76" s="442"/>
      <c r="U76" s="442"/>
      <c r="V76" s="442"/>
      <c r="W76" s="442"/>
      <c r="X76" s="442"/>
      <c r="Y76" s="442" t="str">
        <f t="shared" si="2"/>
        <v/>
      </c>
      <c r="Z76" s="442" t="str">
        <f t="shared" si="3"/>
        <v/>
      </c>
      <c r="AA76" s="562"/>
      <c r="AB76" s="562"/>
      <c r="AC76" s="562"/>
      <c r="AD76" s="442"/>
    </row>
    <row r="77" spans="1:30" ht="30" customHeight="1">
      <c r="A77" s="466">
        <v>49</v>
      </c>
      <c r="B77" s="493"/>
      <c r="C77" s="758" t="str">
        <f>IF(B77="","",VLOOKUP(B77,名簿!$E$4:$J$184,3,FALSE))</f>
        <v/>
      </c>
      <c r="D77" s="1547" t="str">
        <f>IF(B77="","",VLOOKUP(B77,名簿!$E$4:$J$184,5,FALSE))</f>
        <v/>
      </c>
      <c r="E77" s="1548"/>
      <c r="F77" s="564" t="str">
        <f>IF(B77="","",VLOOKUP(B77,名簿!$E$4:$W$184,4,FALSE))</f>
        <v/>
      </c>
      <c r="G77" s="759" t="str">
        <f>IF(B77="","",VLOOKUP(B77,名簿!$E$4:$J$184,6,FALSE))</f>
        <v/>
      </c>
      <c r="H77" s="493"/>
      <c r="I77" s="497"/>
      <c r="J77" s="498"/>
      <c r="K77" s="497"/>
      <c r="L77" s="497"/>
      <c r="M77" s="498"/>
      <c r="N77" s="496"/>
      <c r="O77" s="442"/>
      <c r="P77" s="442"/>
      <c r="Q77" s="442"/>
      <c r="R77" s="442"/>
      <c r="S77" s="442"/>
      <c r="T77" s="442"/>
      <c r="U77" s="442"/>
      <c r="V77" s="442"/>
      <c r="W77" s="442"/>
      <c r="X77" s="442"/>
      <c r="Y77" s="442" t="str">
        <f t="shared" si="2"/>
        <v/>
      </c>
      <c r="Z77" s="442" t="str">
        <f t="shared" si="3"/>
        <v/>
      </c>
      <c r="AA77" s="562"/>
      <c r="AB77" s="562"/>
      <c r="AC77" s="562"/>
      <c r="AD77" s="442"/>
    </row>
    <row r="78" spans="1:30" ht="30" customHeight="1">
      <c r="A78" s="467">
        <v>50</v>
      </c>
      <c r="B78" s="499"/>
      <c r="C78" s="1101" t="str">
        <f>IF(B78="","",VLOOKUP(B78,名簿!$E$4:$J$184,3,FALSE))</f>
        <v/>
      </c>
      <c r="D78" s="1569" t="str">
        <f>IF(B78="","",VLOOKUP(B78,名簿!$E$4:$J$184,5,FALSE))</f>
        <v/>
      </c>
      <c r="E78" s="1570"/>
      <c r="F78" s="1104" t="str">
        <f>IF(B78="","",VLOOKUP(B78,名簿!$E$4:$W$184,4,FALSE))</f>
        <v/>
      </c>
      <c r="G78" s="1103" t="str">
        <f>IF(B78="","",VLOOKUP(B78,名簿!$E$4:$J$184,6,FALSE))</f>
        <v/>
      </c>
      <c r="H78" s="499"/>
      <c r="I78" s="500"/>
      <c r="J78" s="501"/>
      <c r="K78" s="500"/>
      <c r="L78" s="500"/>
      <c r="M78" s="501"/>
      <c r="N78" s="502"/>
      <c r="O78" s="442"/>
      <c r="P78" s="442"/>
      <c r="Q78" s="442"/>
      <c r="R78" s="442"/>
      <c r="S78" s="442"/>
      <c r="T78" s="442"/>
      <c r="U78" s="442"/>
      <c r="V78" s="442"/>
      <c r="W78" s="442"/>
      <c r="X78" s="442"/>
      <c r="Y78" s="442" t="str">
        <f t="shared" si="2"/>
        <v/>
      </c>
      <c r="Z78" s="442" t="str">
        <f t="shared" si="3"/>
        <v/>
      </c>
      <c r="AA78" s="562"/>
      <c r="AB78" s="562"/>
      <c r="AC78" s="562"/>
      <c r="AD78" s="442"/>
    </row>
    <row r="79" spans="1:30">
      <c r="A79" s="442"/>
      <c r="B79" s="442"/>
      <c r="C79" s="442"/>
      <c r="D79" s="468"/>
      <c r="E79" s="468"/>
      <c r="F79" s="468"/>
      <c r="G79" s="442"/>
      <c r="H79" s="442"/>
      <c r="I79" s="442"/>
      <c r="J79" s="469"/>
      <c r="K79" s="469"/>
      <c r="L79" s="1572" t="s">
        <v>479</v>
      </c>
      <c r="M79" s="1572"/>
      <c r="N79" s="1572"/>
      <c r="O79" s="469"/>
      <c r="P79" s="469"/>
      <c r="Q79" s="469"/>
      <c r="R79" s="442"/>
      <c r="S79" s="442"/>
      <c r="T79" s="442"/>
      <c r="U79" s="442"/>
      <c r="V79" s="442"/>
      <c r="W79" s="442"/>
      <c r="X79" s="442"/>
      <c r="Y79" s="442"/>
      <c r="Z79" s="442"/>
      <c r="AA79" s="562"/>
      <c r="AB79" s="562"/>
      <c r="AC79" s="562"/>
      <c r="AD79" s="442"/>
    </row>
    <row r="80" spans="1:30" ht="11.25" customHeight="1">
      <c r="A80" s="442"/>
      <c r="B80" s="471"/>
      <c r="C80" s="471"/>
      <c r="D80" s="471"/>
      <c r="E80" s="471"/>
      <c r="F80" s="471"/>
      <c r="G80" s="472"/>
      <c r="H80" s="472"/>
      <c r="I80" s="472"/>
      <c r="J80" s="472"/>
      <c r="K80" s="472"/>
      <c r="L80" s="472"/>
      <c r="M80" s="472"/>
      <c r="N80" s="470"/>
      <c r="O80" s="469"/>
      <c r="P80" s="442"/>
      <c r="Q80" s="442"/>
      <c r="R80" s="442"/>
      <c r="S80" s="442"/>
      <c r="T80" s="442"/>
      <c r="U80" s="442"/>
      <c r="V80" s="442"/>
      <c r="W80" s="442"/>
      <c r="X80" s="442"/>
      <c r="Y80" s="442"/>
      <c r="Z80" s="442"/>
      <c r="AA80" s="562"/>
      <c r="AB80" s="562"/>
      <c r="AC80" s="562"/>
      <c r="AD80" s="442"/>
    </row>
    <row r="81" spans="1:30">
      <c r="A81" s="442"/>
      <c r="B81" s="442"/>
      <c r="C81" s="442"/>
      <c r="D81" s="442"/>
      <c r="E81" s="442"/>
      <c r="F81" s="442"/>
      <c r="G81" s="442"/>
      <c r="H81" s="442"/>
      <c r="I81" s="442"/>
      <c r="J81" s="442"/>
      <c r="K81" s="442"/>
      <c r="L81" s="442"/>
      <c r="M81" s="1571" t="s">
        <v>532</v>
      </c>
      <c r="N81" s="1571"/>
      <c r="O81" s="442"/>
      <c r="P81" s="442"/>
      <c r="Q81" s="442"/>
      <c r="R81" s="442"/>
      <c r="S81" s="442"/>
      <c r="T81" s="442"/>
      <c r="U81" s="442"/>
      <c r="V81" s="442"/>
      <c r="W81" s="442"/>
      <c r="X81" s="442"/>
      <c r="Y81" s="442"/>
      <c r="Z81" s="442"/>
      <c r="AA81" s="562"/>
      <c r="AB81" s="562"/>
      <c r="AC81" s="562"/>
      <c r="AD81" s="442"/>
    </row>
    <row r="82" spans="1:30">
      <c r="A82" s="442"/>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562"/>
      <c r="AB82" s="562"/>
      <c r="AD82" s="442"/>
    </row>
    <row r="83" spans="1:30">
      <c r="A83" s="442"/>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562"/>
      <c r="AB83" s="562"/>
      <c r="AD83" s="442"/>
    </row>
    <row r="84" spans="1:30">
      <c r="A84" s="442"/>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562"/>
      <c r="AB84" s="562"/>
      <c r="AD84" s="442"/>
    </row>
    <row r="85" spans="1:30">
      <c r="A85" s="442"/>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562"/>
      <c r="AB85" s="562"/>
      <c r="AD85" s="442"/>
    </row>
  </sheetData>
  <sheetProtection sheet="1" objects="1" scenarios="1"/>
  <mergeCells count="110">
    <mergeCell ref="A2:B2"/>
    <mergeCell ref="A4:C4"/>
    <mergeCell ref="D4:I4"/>
    <mergeCell ref="A5:C6"/>
    <mergeCell ref="I5:I6"/>
    <mergeCell ref="A3:B3"/>
    <mergeCell ref="J3:N3"/>
    <mergeCell ref="D5:H6"/>
    <mergeCell ref="H7:H9"/>
    <mergeCell ref="N5:N6"/>
    <mergeCell ref="J9:N9"/>
    <mergeCell ref="J7:L7"/>
    <mergeCell ref="J8:N8"/>
    <mergeCell ref="J5:L6"/>
    <mergeCell ref="M5:M6"/>
    <mergeCell ref="I10:M10"/>
    <mergeCell ref="A9:C9"/>
    <mergeCell ref="A10:A11"/>
    <mergeCell ref="D10:E11"/>
    <mergeCell ref="G10:G11"/>
    <mergeCell ref="K11:M11"/>
    <mergeCell ref="F10:F11"/>
    <mergeCell ref="H11:J11"/>
    <mergeCell ref="D7:G9"/>
    <mergeCell ref="C10:C11"/>
    <mergeCell ref="A7:C8"/>
    <mergeCell ref="D25:E25"/>
    <mergeCell ref="D27:E27"/>
    <mergeCell ref="D29:E29"/>
    <mergeCell ref="D26:E26"/>
    <mergeCell ref="D28:E28"/>
    <mergeCell ref="B10:B11"/>
    <mergeCell ref="D12:E12"/>
    <mergeCell ref="D15:E15"/>
    <mergeCell ref="D21:E21"/>
    <mergeCell ref="D20:E20"/>
    <mergeCell ref="D23:E23"/>
    <mergeCell ref="D24:E24"/>
    <mergeCell ref="D16:E16"/>
    <mergeCell ref="D14:E14"/>
    <mergeCell ref="D17:E17"/>
    <mergeCell ref="D18:E18"/>
    <mergeCell ref="D22:E22"/>
    <mergeCell ref="D19:E19"/>
    <mergeCell ref="D13:E13"/>
    <mergeCell ref="D35:E35"/>
    <mergeCell ref="D36:E36"/>
    <mergeCell ref="D30:E30"/>
    <mergeCell ref="A45:C45"/>
    <mergeCell ref="D45:I45"/>
    <mergeCell ref="D34:E34"/>
    <mergeCell ref="D32:E32"/>
    <mergeCell ref="A44:B44"/>
    <mergeCell ref="D33:E33"/>
    <mergeCell ref="D31:E31"/>
    <mergeCell ref="D37:E37"/>
    <mergeCell ref="A43:B43"/>
    <mergeCell ref="C51:C52"/>
    <mergeCell ref="D51:E52"/>
    <mergeCell ref="D46:H47"/>
    <mergeCell ref="A48:C49"/>
    <mergeCell ref="D48:G50"/>
    <mergeCell ref="A50:C50"/>
    <mergeCell ref="A51:A52"/>
    <mergeCell ref="H48:H50"/>
    <mergeCell ref="K52:M52"/>
    <mergeCell ref="G51:G52"/>
    <mergeCell ref="M46:M47"/>
    <mergeCell ref="I51:M51"/>
    <mergeCell ref="H52:J52"/>
    <mergeCell ref="F51:F52"/>
    <mergeCell ref="J50:N50"/>
    <mergeCell ref="J48:L48"/>
    <mergeCell ref="J46:L47"/>
    <mergeCell ref="N46:N47"/>
    <mergeCell ref="I46:I47"/>
    <mergeCell ref="J49:N49"/>
    <mergeCell ref="L38:N38"/>
    <mergeCell ref="M40:N40"/>
    <mergeCell ref="J44:N44"/>
    <mergeCell ref="B51:B52"/>
    <mergeCell ref="A46:C47"/>
    <mergeCell ref="D53:E53"/>
    <mergeCell ref="D56:E56"/>
    <mergeCell ref="L79:N79"/>
    <mergeCell ref="M81:N81"/>
    <mergeCell ref="D77:E77"/>
    <mergeCell ref="D78:E78"/>
    <mergeCell ref="D75:E75"/>
    <mergeCell ref="D76:E76"/>
    <mergeCell ref="D69:E69"/>
    <mergeCell ref="D62:E62"/>
    <mergeCell ref="D74:E74"/>
    <mergeCell ref="D71:E71"/>
    <mergeCell ref="D70:E70"/>
    <mergeCell ref="D72:E72"/>
    <mergeCell ref="D68:E68"/>
    <mergeCell ref="D64:E64"/>
    <mergeCell ref="D73:E73"/>
    <mergeCell ref="D67:E67"/>
    <mergeCell ref="D66:E66"/>
    <mergeCell ref="D59:E59"/>
    <mergeCell ref="D55:E55"/>
    <mergeCell ref="D54:E54"/>
    <mergeCell ref="D65:E65"/>
    <mergeCell ref="D57:E57"/>
    <mergeCell ref="D58:E58"/>
    <mergeCell ref="D60:E60"/>
    <mergeCell ref="D61:E61"/>
    <mergeCell ref="D63:E63"/>
  </mergeCells>
  <phoneticPr fontId="22"/>
  <conditionalFormatting sqref="C13:C37 C54:C78">
    <cfRule type="expression" dxfId="0" priority="1" stopIfTrue="1">
      <formula>G13="男"</formula>
    </cfRule>
  </conditionalFormatting>
  <dataValidations count="8">
    <dataValidation imeMode="hiragana" allowBlank="1" showInputMessage="1" showErrorMessage="1" sqref="D7 C12:C37 D48 F13:F37 C53:C78 F54:F78"/>
    <dataValidation imeMode="halfKatakana" allowBlank="1" showInputMessage="1" showErrorMessage="1" sqref="K12 H53 D53:F53 K53 D12:F12 H12 G12:G37 G53:G78"/>
    <dataValidation imeMode="off" allowBlank="1" showInputMessage="1" showErrorMessage="1" sqref="I12 L53:M53 I53 L12:M12"/>
    <dataValidation imeMode="disabled" allowBlank="1" showInputMessage="1" showErrorMessage="1" sqref="M7 M54:M78 J54:J78 M48 J49:N50 M13:M37 N5:N7 J8:N9 B13:B37 B54:B78 D54:D78 J13:J37 D13:D37 N46:N48"/>
    <dataValidation type="list" imeMode="halfKatakana" allowBlank="1" showInputMessage="1" showErrorMessage="1" sqref="H13:H37 H54:H78">
      <formula1>$AA$1:$AA$5</formula1>
    </dataValidation>
    <dataValidation type="list" allowBlank="1" showInputMessage="1" showErrorMessage="1" sqref="K13:K37 K54:K78">
      <formula1>$AA$1:$AA$5</formula1>
    </dataValidation>
    <dataValidation type="list" errorStyle="information" imeMode="disabled" allowBlank="1" showInputMessage="1" showErrorMessage="1" sqref="I13:I37 I54:I78 L13:L37 L54:L78">
      <formula1>$AA$10:$AA$26</formula1>
    </dataValidation>
    <dataValidation type="list" allowBlank="1" showInputMessage="1" showErrorMessage="1" sqref="N13:N37 N54:N78">
      <formula1>$AC$10:$AC$17</formula1>
    </dataValidation>
  </dataValidations>
  <printOptions horizontalCentered="1"/>
  <pageMargins left="0.39370078740157483" right="0.39370078740157483" top="0.27559055118110237" bottom="0.35433070866141736" header="0.23622047244094491" footer="0.27559055118110237"/>
  <pageSetup paperSize="9" scale="89" fitToHeight="2" orientation="portrait" verticalDpi="300"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1" enableFormatConditionsCalculation="0">
    <tabColor indexed="10"/>
    <pageSetUpPr autoPageBreaks="0"/>
  </sheetPr>
  <dimension ref="A1:L101"/>
  <sheetViews>
    <sheetView showGridLines="0" showRowColHeaders="0" showZeros="0" zoomScaleNormal="100" workbookViewId="0"/>
  </sheetViews>
  <sheetFormatPr defaultRowHeight="13.5"/>
  <cols>
    <col min="4" max="4" width="12.875" customWidth="1"/>
  </cols>
  <sheetData>
    <row r="1" spans="1:8" ht="14.25">
      <c r="A1" s="61" t="s">
        <v>847</v>
      </c>
      <c r="F1" s="89"/>
      <c r="G1" s="89"/>
    </row>
    <row r="2" spans="1:8">
      <c r="F2" s="89"/>
      <c r="G2" s="89"/>
    </row>
    <row r="3" spans="1:8">
      <c r="A3" s="56" t="s">
        <v>311</v>
      </c>
      <c r="F3" s="89"/>
      <c r="G3" s="89"/>
    </row>
    <row r="4" spans="1:8">
      <c r="A4" s="56" t="s">
        <v>675</v>
      </c>
      <c r="F4" s="89"/>
      <c r="G4" s="89"/>
    </row>
    <row r="5" spans="1:8">
      <c r="A5" s="56"/>
      <c r="F5" s="89"/>
      <c r="G5" s="89"/>
    </row>
    <row r="7" spans="1:8" ht="18.75">
      <c r="A7" s="54" t="s">
        <v>250</v>
      </c>
      <c r="C7" s="39" t="s">
        <v>664</v>
      </c>
      <c r="D7" s="39"/>
      <c r="E7" s="39"/>
      <c r="F7" s="39"/>
      <c r="G7" s="39"/>
      <c r="H7" s="39"/>
    </row>
    <row r="8" spans="1:8" ht="13.5" customHeight="1">
      <c r="A8" s="54"/>
      <c r="C8" s="39" t="s">
        <v>676</v>
      </c>
      <c r="D8" s="39"/>
      <c r="E8" s="39"/>
      <c r="F8" s="39"/>
      <c r="G8" s="39"/>
      <c r="H8" s="39"/>
    </row>
    <row r="9" spans="1:8" ht="13.5" customHeight="1">
      <c r="A9" s="54"/>
      <c r="C9" t="s">
        <v>665</v>
      </c>
    </row>
    <row r="10" spans="1:8" ht="13.5" customHeight="1">
      <c r="A10" s="54"/>
    </row>
    <row r="11" spans="1:8">
      <c r="C11" t="s">
        <v>666</v>
      </c>
    </row>
    <row r="12" spans="1:8">
      <c r="C12" t="s">
        <v>667</v>
      </c>
    </row>
    <row r="13" spans="1:8">
      <c r="C13" t="s">
        <v>668</v>
      </c>
    </row>
    <row r="14" spans="1:8">
      <c r="C14" t="s">
        <v>669</v>
      </c>
    </row>
    <row r="16" spans="1:8">
      <c r="C16" t="s">
        <v>268</v>
      </c>
    </row>
    <row r="17" spans="1:12">
      <c r="C17" t="s">
        <v>269</v>
      </c>
      <c r="D17" t="s">
        <v>845</v>
      </c>
    </row>
    <row r="20" spans="1:12">
      <c r="C20" t="s">
        <v>670</v>
      </c>
    </row>
    <row r="21" spans="1:12">
      <c r="C21" t="s">
        <v>671</v>
      </c>
    </row>
    <row r="23" spans="1:12">
      <c r="C23" s="39" t="s">
        <v>677</v>
      </c>
      <c r="D23" s="39"/>
      <c r="E23" s="39"/>
      <c r="F23" s="39"/>
      <c r="G23" s="39"/>
      <c r="H23" s="39"/>
      <c r="I23" s="39"/>
    </row>
    <row r="24" spans="1:12">
      <c r="C24" s="39" t="s">
        <v>678</v>
      </c>
      <c r="D24" s="39"/>
      <c r="E24" s="39"/>
      <c r="F24" s="39"/>
      <c r="G24" s="39"/>
      <c r="H24" s="39"/>
      <c r="I24" s="39"/>
    </row>
    <row r="26" spans="1:12" ht="17.25">
      <c r="A26" s="55"/>
      <c r="B26" s="55"/>
      <c r="C26" s="212" t="s">
        <v>672</v>
      </c>
      <c r="D26" s="213"/>
      <c r="E26" s="213"/>
      <c r="F26" s="213"/>
      <c r="G26" s="213"/>
      <c r="H26" s="213"/>
      <c r="I26" s="214"/>
      <c r="J26" s="214"/>
      <c r="K26" s="55"/>
      <c r="L26" s="55"/>
    </row>
    <row r="28" spans="1:12">
      <c r="B28" t="s">
        <v>191</v>
      </c>
    </row>
    <row r="29" spans="1:12">
      <c r="B29" t="s">
        <v>239</v>
      </c>
    </row>
    <row r="30" spans="1:12">
      <c r="B30" t="s">
        <v>240</v>
      </c>
    </row>
    <row r="31" spans="1:12">
      <c r="B31" t="s">
        <v>225</v>
      </c>
    </row>
    <row r="34" spans="1:11">
      <c r="A34" t="s">
        <v>270</v>
      </c>
      <c r="B34" t="s">
        <v>192</v>
      </c>
      <c r="C34" t="s">
        <v>445</v>
      </c>
    </row>
    <row r="35" spans="1:11">
      <c r="B35">
        <v>1</v>
      </c>
      <c r="C35" t="s">
        <v>673</v>
      </c>
    </row>
    <row r="37" spans="1:11">
      <c r="F37" t="s">
        <v>389</v>
      </c>
    </row>
    <row r="38" spans="1:11">
      <c r="F38" t="s">
        <v>446</v>
      </c>
    </row>
    <row r="39" spans="1:11">
      <c r="F39" t="s">
        <v>241</v>
      </c>
    </row>
    <row r="40" spans="1:11">
      <c r="F40" t="s">
        <v>424</v>
      </c>
    </row>
    <row r="41" spans="1:11">
      <c r="F41" t="s">
        <v>425</v>
      </c>
    </row>
    <row r="42" spans="1:11">
      <c r="F42" t="s">
        <v>205</v>
      </c>
    </row>
    <row r="43" spans="1:11">
      <c r="F43" s="702"/>
      <c r="G43" s="702"/>
      <c r="H43" s="702"/>
      <c r="I43" s="702"/>
      <c r="J43" s="702"/>
      <c r="K43" s="702"/>
    </row>
    <row r="45" spans="1:11">
      <c r="F45" s="702" t="s">
        <v>716</v>
      </c>
      <c r="G45" s="702"/>
      <c r="H45" s="702"/>
      <c r="I45" s="702"/>
      <c r="J45" s="702"/>
      <c r="K45" s="702"/>
    </row>
    <row r="49" spans="1:7" ht="17.25">
      <c r="B49" s="193" t="s">
        <v>447</v>
      </c>
    </row>
    <row r="50" spans="1:7" ht="17.25">
      <c r="B50" s="37"/>
    </row>
    <row r="52" spans="1:7">
      <c r="A52" t="s">
        <v>271</v>
      </c>
      <c r="B52">
        <v>2</v>
      </c>
      <c r="C52" t="s">
        <v>448</v>
      </c>
    </row>
    <row r="59" spans="1:7">
      <c r="G59" t="s">
        <v>193</v>
      </c>
    </row>
    <row r="61" spans="1:7">
      <c r="G61" s="18" t="s">
        <v>227</v>
      </c>
    </row>
    <row r="62" spans="1:7">
      <c r="G62" t="s">
        <v>194</v>
      </c>
    </row>
    <row r="63" spans="1:7">
      <c r="G63" t="s">
        <v>235</v>
      </c>
    </row>
    <row r="65" spans="3:9">
      <c r="G65" t="s">
        <v>195</v>
      </c>
    </row>
    <row r="66" spans="3:9">
      <c r="G66" t="s">
        <v>196</v>
      </c>
      <c r="H66" s="6" t="s">
        <v>197</v>
      </c>
      <c r="I66">
        <v>10.01</v>
      </c>
    </row>
    <row r="67" spans="3:9">
      <c r="G67" t="s">
        <v>198</v>
      </c>
      <c r="H67" s="6" t="s">
        <v>197</v>
      </c>
      <c r="I67" s="9" t="s">
        <v>449</v>
      </c>
    </row>
    <row r="68" spans="3:9">
      <c r="G68" s="7" t="s">
        <v>199</v>
      </c>
      <c r="H68" s="6" t="s">
        <v>197</v>
      </c>
      <c r="I68" s="8" t="s">
        <v>306</v>
      </c>
    </row>
    <row r="69" spans="3:9">
      <c r="G69" s="7" t="s">
        <v>204</v>
      </c>
      <c r="H69" s="6" t="s">
        <v>197</v>
      </c>
      <c r="I69" s="8" t="s">
        <v>307</v>
      </c>
    </row>
    <row r="71" spans="3:9">
      <c r="G71" t="s">
        <v>308</v>
      </c>
    </row>
    <row r="72" spans="3:9">
      <c r="G72" t="s">
        <v>200</v>
      </c>
      <c r="H72" s="6" t="s">
        <v>197</v>
      </c>
      <c r="I72" s="8" t="s">
        <v>200</v>
      </c>
    </row>
    <row r="73" spans="3:9">
      <c r="G73" t="s">
        <v>201</v>
      </c>
      <c r="H73" s="6" t="s">
        <v>197</v>
      </c>
      <c r="I73" s="8" t="s">
        <v>201</v>
      </c>
    </row>
    <row r="74" spans="3:9">
      <c r="G74" t="s">
        <v>202</v>
      </c>
      <c r="H74" s="6" t="s">
        <v>197</v>
      </c>
      <c r="I74" s="8" t="s">
        <v>202</v>
      </c>
    </row>
    <row r="76" spans="3:9">
      <c r="G76" t="s">
        <v>310</v>
      </c>
    </row>
    <row r="77" spans="3:9">
      <c r="G77" t="s">
        <v>309</v>
      </c>
    </row>
    <row r="78" spans="3:9">
      <c r="G78" s="194" t="s">
        <v>426</v>
      </c>
    </row>
    <row r="80" spans="3:9">
      <c r="C80" s="16" t="s">
        <v>422</v>
      </c>
    </row>
    <row r="81" spans="1:11">
      <c r="C81" s="16" t="s">
        <v>427</v>
      </c>
    </row>
    <row r="83" spans="1:11">
      <c r="B83">
        <v>3</v>
      </c>
      <c r="C83" s="194" t="s">
        <v>792</v>
      </c>
    </row>
    <row r="84" spans="1:11">
      <c r="C84" s="194" t="s">
        <v>462</v>
      </c>
    </row>
    <row r="86" spans="1:11" ht="14.25">
      <c r="A86" s="17" t="s">
        <v>226</v>
      </c>
    </row>
    <row r="87" spans="1:11" ht="14.25">
      <c r="A87" s="17"/>
      <c r="B87">
        <v>4</v>
      </c>
      <c r="C87" s="56" t="s">
        <v>272</v>
      </c>
      <c r="D87" s="38"/>
      <c r="E87" t="s">
        <v>608</v>
      </c>
    </row>
    <row r="88" spans="1:11" ht="14.25">
      <c r="A88" s="17"/>
      <c r="C88" s="56"/>
      <c r="D88" s="38"/>
    </row>
    <row r="89" spans="1:11">
      <c r="C89" t="s">
        <v>458</v>
      </c>
    </row>
    <row r="90" spans="1:11">
      <c r="C90" t="s">
        <v>428</v>
      </c>
    </row>
    <row r="91" spans="1:11">
      <c r="C91" s="702" t="s">
        <v>609</v>
      </c>
      <c r="D91" s="62"/>
      <c r="E91" s="62"/>
      <c r="F91" s="62"/>
      <c r="G91" s="62"/>
      <c r="H91" s="62"/>
      <c r="I91" s="59"/>
      <c r="J91" s="59"/>
      <c r="K91" s="59"/>
    </row>
    <row r="94" spans="1:11">
      <c r="A94" s="16" t="s">
        <v>250</v>
      </c>
      <c r="C94" s="62" t="s">
        <v>679</v>
      </c>
      <c r="D94" s="62"/>
      <c r="E94" s="62"/>
      <c r="F94" s="62"/>
    </row>
    <row r="95" spans="1:11">
      <c r="C95" t="s">
        <v>680</v>
      </c>
    </row>
    <row r="96" spans="1:11">
      <c r="C96" t="s">
        <v>312</v>
      </c>
    </row>
    <row r="101" spans="1:1" ht="17.25">
      <c r="A101" s="37" t="s">
        <v>681</v>
      </c>
    </row>
  </sheetData>
  <sheetProtection sheet="1" objects="1" scenarios="1"/>
  <phoneticPr fontId="5"/>
  <pageMargins left="0.78700000000000003" right="0.78700000000000003" top="0.98399999999999999" bottom="0.98399999999999999" header="0.51200000000000001" footer="0.51200000000000001"/>
  <pageSetup paperSize="9" scale="70" fitToHeight="4" orientation="portrait" horizontalDpi="300" verticalDpi="300" r:id="rId1"/>
  <headerFooter alignWithMargins="0"/>
  <rowBreaks count="1" manualBreakCount="1">
    <brk id="79" max="12" man="1"/>
  </rowBreaks>
  <drawing r:id="rId2"/>
  <legacyDrawing r:id="rId3"/>
</worksheet>
</file>

<file path=xl/worksheets/sheet20.xml><?xml version="1.0" encoding="utf-8"?>
<worksheet xmlns="http://schemas.openxmlformats.org/spreadsheetml/2006/main" xmlns:r="http://schemas.openxmlformats.org/officeDocument/2006/relationships">
  <sheetPr codeName="Sheet26" enableFormatConditionsCalculation="0">
    <tabColor indexed="35"/>
  </sheetPr>
  <dimension ref="A1:X195"/>
  <sheetViews>
    <sheetView showGridLines="0" showRowColHeaders="0" showZeros="0" workbookViewId="0">
      <selection activeCell="AC24" sqref="AC24"/>
    </sheetView>
  </sheetViews>
  <sheetFormatPr defaultColWidth="7" defaultRowHeight="11.25"/>
  <cols>
    <col min="1" max="1" width="2.125" style="226" customWidth="1"/>
    <col min="2" max="2" width="3.5" style="226" customWidth="1"/>
    <col min="3" max="3" width="2.375" style="226" customWidth="1"/>
    <col min="4" max="4" width="9.5" style="226" customWidth="1"/>
    <col min="5" max="5" width="4.625" style="226" customWidth="1"/>
    <col min="6" max="6" width="3.25" style="226" customWidth="1"/>
    <col min="7" max="7" width="9" style="226" customWidth="1"/>
    <col min="8" max="8" width="2.125" style="226" customWidth="1"/>
    <col min="9" max="9" width="3.5" style="226" customWidth="1"/>
    <col min="10" max="10" width="2.375" style="226" customWidth="1"/>
    <col min="11" max="11" width="9.5" style="226" customWidth="1"/>
    <col min="12" max="12" width="4.625" style="226" customWidth="1"/>
    <col min="13" max="13" width="3.25" style="226" customWidth="1"/>
    <col min="14" max="14" width="9" style="226" customWidth="1"/>
    <col min="15" max="15" width="1.875" style="226" customWidth="1"/>
    <col min="16" max="16" width="6.5" style="226" customWidth="1"/>
    <col min="17" max="17" width="6.5" style="226" hidden="1" customWidth="1"/>
    <col min="18" max="18" width="7.375" style="226" customWidth="1"/>
    <col min="19" max="19" width="1.25" style="226" hidden="1" customWidth="1"/>
    <col min="20" max="22" width="7" style="226" customWidth="1"/>
    <col min="23" max="23" width="6.75" style="226" customWidth="1"/>
    <col min="24" max="24" width="7" style="226" hidden="1" customWidth="1"/>
    <col min="25" max="16384" width="7" style="226"/>
  </cols>
  <sheetData>
    <row r="1" spans="1:14">
      <c r="N1" s="226" t="s">
        <v>538</v>
      </c>
    </row>
    <row r="3" spans="1:14" ht="12">
      <c r="A3" s="1662" t="s">
        <v>561</v>
      </c>
      <c r="B3" s="1588"/>
      <c r="C3" s="1588"/>
      <c r="D3" s="1588"/>
      <c r="E3" s="1588"/>
      <c r="F3" s="1588"/>
      <c r="G3" s="1588"/>
      <c r="H3" s="1588"/>
      <c r="I3" s="1588"/>
      <c r="J3" s="1588"/>
      <c r="K3" s="1588"/>
      <c r="L3" s="1588"/>
      <c r="M3" s="1588"/>
      <c r="N3" s="1588"/>
    </row>
    <row r="4" spans="1:14">
      <c r="A4" s="1592" t="s">
        <v>540</v>
      </c>
      <c r="B4" s="1592"/>
      <c r="C4" s="1592"/>
      <c r="D4" s="1592"/>
      <c r="E4" s="1592"/>
      <c r="F4" s="1592"/>
      <c r="G4" s="1592"/>
      <c r="H4" s="1592" t="s">
        <v>541</v>
      </c>
      <c r="I4" s="1592"/>
      <c r="J4" s="1592"/>
      <c r="K4" s="1592"/>
      <c r="L4" s="1592"/>
      <c r="M4" s="1592"/>
      <c r="N4" s="1592"/>
    </row>
    <row r="5" spans="1:14" s="228" customFormat="1" ht="13.5" customHeight="1">
      <c r="A5" s="1578" t="s">
        <v>501</v>
      </c>
      <c r="B5" s="1579"/>
      <c r="C5" s="1580" t="str">
        <f>女子一覧表!Y13</f>
        <v/>
      </c>
      <c r="D5" s="1579"/>
      <c r="E5" s="227" t="s">
        <v>511</v>
      </c>
      <c r="F5" s="1657">
        <f>女子一覧表!J13</f>
        <v>0</v>
      </c>
      <c r="G5" s="1582"/>
      <c r="H5" s="1578" t="s">
        <v>501</v>
      </c>
      <c r="I5" s="1579"/>
      <c r="J5" s="1580" t="str">
        <f>女子一覧表!Z13</f>
        <v/>
      </c>
      <c r="K5" s="1579"/>
      <c r="L5" s="227" t="s">
        <v>511</v>
      </c>
      <c r="M5" s="1657">
        <f>女子一覧表!M13</f>
        <v>0</v>
      </c>
      <c r="N5" s="1582"/>
    </row>
    <row r="6" spans="1:14" s="228" customFormat="1" ht="10.5">
      <c r="A6" s="229" t="s">
        <v>542</v>
      </c>
      <c r="B6" s="1585" t="s">
        <v>543</v>
      </c>
      <c r="C6" s="1585"/>
      <c r="D6" s="1589" t="s">
        <v>544</v>
      </c>
      <c r="E6" s="1589"/>
      <c r="F6" s="230" t="s">
        <v>545</v>
      </c>
      <c r="G6" s="232" t="s">
        <v>546</v>
      </c>
      <c r="H6" s="231" t="s">
        <v>542</v>
      </c>
      <c r="I6" s="1585" t="s">
        <v>543</v>
      </c>
      <c r="J6" s="1585"/>
      <c r="K6" s="1589" t="s">
        <v>544</v>
      </c>
      <c r="L6" s="1589"/>
      <c r="M6" s="230" t="s">
        <v>545</v>
      </c>
      <c r="N6" s="232" t="s">
        <v>546</v>
      </c>
    </row>
    <row r="7" spans="1:14" s="510" customFormat="1" ht="24.95" customHeight="1">
      <c r="A7" s="516" t="s">
        <v>630</v>
      </c>
      <c r="B7" s="1653">
        <f>女子一覧表!B13</f>
        <v>0</v>
      </c>
      <c r="C7" s="1654"/>
      <c r="D7" s="1655" t="str">
        <f>IF(女子一覧表!B13="","",VLOOKUP(B7,女子一覧表!$B$13:$F$37,2,FALSE))</f>
        <v/>
      </c>
      <c r="E7" s="1656"/>
      <c r="F7" s="513" t="str">
        <f>IF(女子一覧表!B13="","",VLOOKUP(B7,女子一覧表!$B$13:$F$37,3,FALSE))</f>
        <v/>
      </c>
      <c r="G7" s="514" t="str">
        <f>IF(D7="","",女子一覧表!$A$7)</f>
        <v/>
      </c>
      <c r="H7" s="517" t="s">
        <v>630</v>
      </c>
      <c r="I7" s="1653" t="str">
        <f>IF(女子一覧表!L13="","",女子一覧表!B13)</f>
        <v/>
      </c>
      <c r="J7" s="1654"/>
      <c r="K7" s="1655" t="str">
        <f>IF(女子一覧表!L13="","",VLOOKUP(I7,女子一覧表!$B$13:$F$37,2,FALSE))</f>
        <v/>
      </c>
      <c r="L7" s="1656"/>
      <c r="M7" s="513" t="str">
        <f>IF(女子一覧表!L13="","",VLOOKUP(I7,女子一覧表!$B$13:$F$37,3,FALSE))</f>
        <v/>
      </c>
      <c r="N7" s="514" t="str">
        <f>IF(K7="","",女子一覧表!$A$7)</f>
        <v/>
      </c>
    </row>
    <row r="8" spans="1:14" s="228" customFormat="1" ht="13.5" customHeight="1">
      <c r="A8" s="1578" t="s">
        <v>501</v>
      </c>
      <c r="B8" s="1579"/>
      <c r="C8" s="1580" t="str">
        <f>女子一覧表!Y14</f>
        <v/>
      </c>
      <c r="D8" s="1579"/>
      <c r="E8" s="227" t="s">
        <v>511</v>
      </c>
      <c r="F8" s="1657">
        <f>女子一覧表!J14</f>
        <v>0</v>
      </c>
      <c r="G8" s="1582"/>
      <c r="H8" s="1578" t="s">
        <v>501</v>
      </c>
      <c r="I8" s="1579"/>
      <c r="J8" s="1580" t="str">
        <f>女子一覧表!Z14</f>
        <v/>
      </c>
      <c r="K8" s="1579"/>
      <c r="L8" s="227" t="s">
        <v>511</v>
      </c>
      <c r="M8" s="1657">
        <f>女子一覧表!M14</f>
        <v>0</v>
      </c>
      <c r="N8" s="1582"/>
    </row>
    <row r="9" spans="1:14" s="228" customFormat="1" ht="10.5">
      <c r="A9" s="229" t="s">
        <v>542</v>
      </c>
      <c r="B9" s="1585" t="s">
        <v>543</v>
      </c>
      <c r="C9" s="1585"/>
      <c r="D9" s="1589" t="s">
        <v>544</v>
      </c>
      <c r="E9" s="1589"/>
      <c r="F9" s="230" t="s">
        <v>545</v>
      </c>
      <c r="G9" s="232" t="s">
        <v>546</v>
      </c>
      <c r="H9" s="231" t="s">
        <v>542</v>
      </c>
      <c r="I9" s="1585" t="s">
        <v>543</v>
      </c>
      <c r="J9" s="1585"/>
      <c r="K9" s="1589" t="s">
        <v>544</v>
      </c>
      <c r="L9" s="1589"/>
      <c r="M9" s="230" t="s">
        <v>545</v>
      </c>
      <c r="N9" s="232" t="s">
        <v>546</v>
      </c>
    </row>
    <row r="10" spans="1:14" s="510" customFormat="1" ht="24.95" customHeight="1">
      <c r="A10" s="516" t="s">
        <v>630</v>
      </c>
      <c r="B10" s="1653">
        <f>女子一覧表!B14</f>
        <v>0</v>
      </c>
      <c r="C10" s="1654"/>
      <c r="D10" s="1655" t="str">
        <f>IF(女子一覧表!B14="","",VLOOKUP(B10,女子一覧表!$B$13:$F$37,2,FALSE))</f>
        <v/>
      </c>
      <c r="E10" s="1656"/>
      <c r="F10" s="513" t="str">
        <f>IF(女子一覧表!B14="","",VLOOKUP(B10,女子一覧表!$B$13:$F$37,3,FALSE))</f>
        <v/>
      </c>
      <c r="G10" s="514" t="str">
        <f>IF(D10="","",女子一覧表!$A$7)</f>
        <v/>
      </c>
      <c r="H10" s="517" t="s">
        <v>630</v>
      </c>
      <c r="I10" s="1653" t="str">
        <f>IF(女子一覧表!L14="","",女子一覧表!B14)</f>
        <v/>
      </c>
      <c r="J10" s="1654"/>
      <c r="K10" s="1655" t="str">
        <f>IF(女子一覧表!L14="","",VLOOKUP(I10,女子一覧表!$B$13:$F$37,2,FALSE))</f>
        <v/>
      </c>
      <c r="L10" s="1656"/>
      <c r="M10" s="513" t="str">
        <f>IF(女子一覧表!L14="","",VLOOKUP(I10,女子一覧表!$B$13:$F$37,3,FALSE))</f>
        <v/>
      </c>
      <c r="N10" s="514" t="str">
        <f>IF(K10="","",女子一覧表!$A$7)</f>
        <v/>
      </c>
    </row>
    <row r="11" spans="1:14" s="228" customFormat="1" ht="13.5" customHeight="1">
      <c r="A11" s="1578" t="s">
        <v>501</v>
      </c>
      <c r="B11" s="1579"/>
      <c r="C11" s="1580" t="str">
        <f>女子一覧表!Y15</f>
        <v/>
      </c>
      <c r="D11" s="1579"/>
      <c r="E11" s="227" t="s">
        <v>511</v>
      </c>
      <c r="F11" s="1657">
        <f>女子一覧表!J15</f>
        <v>0</v>
      </c>
      <c r="G11" s="1582"/>
      <c r="H11" s="1578" t="s">
        <v>501</v>
      </c>
      <c r="I11" s="1579"/>
      <c r="J11" s="1580" t="str">
        <f>女子一覧表!Z15</f>
        <v/>
      </c>
      <c r="K11" s="1579"/>
      <c r="L11" s="227" t="s">
        <v>511</v>
      </c>
      <c r="M11" s="1657">
        <f>女子一覧表!M15</f>
        <v>0</v>
      </c>
      <c r="N11" s="1582"/>
    </row>
    <row r="12" spans="1:14" s="228" customFormat="1" ht="10.5">
      <c r="A12" s="229" t="s">
        <v>542</v>
      </c>
      <c r="B12" s="1585" t="s">
        <v>543</v>
      </c>
      <c r="C12" s="1585"/>
      <c r="D12" s="1589" t="s">
        <v>544</v>
      </c>
      <c r="E12" s="1589"/>
      <c r="F12" s="230" t="s">
        <v>545</v>
      </c>
      <c r="G12" s="232" t="s">
        <v>546</v>
      </c>
      <c r="H12" s="231" t="s">
        <v>542</v>
      </c>
      <c r="I12" s="1585" t="s">
        <v>543</v>
      </c>
      <c r="J12" s="1585"/>
      <c r="K12" s="1589" t="s">
        <v>544</v>
      </c>
      <c r="L12" s="1589"/>
      <c r="M12" s="230" t="s">
        <v>545</v>
      </c>
      <c r="N12" s="232" t="s">
        <v>546</v>
      </c>
    </row>
    <row r="13" spans="1:14" s="510" customFormat="1" ht="24.95" customHeight="1">
      <c r="A13" s="516" t="s">
        <v>630</v>
      </c>
      <c r="B13" s="1653">
        <f>女子一覧表!B15</f>
        <v>0</v>
      </c>
      <c r="C13" s="1654"/>
      <c r="D13" s="1655" t="str">
        <f>IF(女子一覧表!B15="","",VLOOKUP(B13,女子一覧表!$B$13:$F$37,2,FALSE))</f>
        <v/>
      </c>
      <c r="E13" s="1656"/>
      <c r="F13" s="513" t="str">
        <f>IF(女子一覧表!B15="","",VLOOKUP(B13,女子一覧表!$B$13:$F$37,3,FALSE))</f>
        <v/>
      </c>
      <c r="G13" s="514" t="str">
        <f>IF(D13="","",女子一覧表!$A$7)</f>
        <v/>
      </c>
      <c r="H13" s="517" t="s">
        <v>630</v>
      </c>
      <c r="I13" s="1653" t="str">
        <f>IF(女子一覧表!L15="","",女子一覧表!B15)</f>
        <v/>
      </c>
      <c r="J13" s="1654"/>
      <c r="K13" s="1655" t="str">
        <f>IF(女子一覧表!L15="","",VLOOKUP(I13,女子一覧表!$B$13:$F$37,2,FALSE))</f>
        <v/>
      </c>
      <c r="L13" s="1656"/>
      <c r="M13" s="513" t="str">
        <f>IF(女子一覧表!L15="","",VLOOKUP(I13,女子一覧表!$B$13:$F$37,3,FALSE))</f>
        <v/>
      </c>
      <c r="N13" s="514" t="str">
        <f>IF(K13="","",女子一覧表!$A$7)</f>
        <v/>
      </c>
    </row>
    <row r="14" spans="1:14" s="228" customFormat="1" ht="13.5" customHeight="1">
      <c r="A14" s="1578" t="s">
        <v>501</v>
      </c>
      <c r="B14" s="1579"/>
      <c r="C14" s="1580" t="str">
        <f>女子一覧表!Y16</f>
        <v/>
      </c>
      <c r="D14" s="1579"/>
      <c r="E14" s="227" t="s">
        <v>511</v>
      </c>
      <c r="F14" s="1657">
        <f>女子一覧表!J16</f>
        <v>0</v>
      </c>
      <c r="G14" s="1582"/>
      <c r="H14" s="1578" t="s">
        <v>501</v>
      </c>
      <c r="I14" s="1579"/>
      <c r="J14" s="1580" t="str">
        <f>女子一覧表!Z16</f>
        <v/>
      </c>
      <c r="K14" s="1579"/>
      <c r="L14" s="227" t="s">
        <v>511</v>
      </c>
      <c r="M14" s="1657">
        <f>女子一覧表!M16</f>
        <v>0</v>
      </c>
      <c r="N14" s="1582"/>
    </row>
    <row r="15" spans="1:14" s="228" customFormat="1" ht="10.5">
      <c r="A15" s="229" t="s">
        <v>542</v>
      </c>
      <c r="B15" s="1585" t="s">
        <v>543</v>
      </c>
      <c r="C15" s="1585"/>
      <c r="D15" s="1589" t="s">
        <v>544</v>
      </c>
      <c r="E15" s="1589"/>
      <c r="F15" s="230" t="s">
        <v>545</v>
      </c>
      <c r="G15" s="232" t="s">
        <v>546</v>
      </c>
      <c r="H15" s="231" t="s">
        <v>542</v>
      </c>
      <c r="I15" s="1585" t="s">
        <v>543</v>
      </c>
      <c r="J15" s="1585"/>
      <c r="K15" s="1589" t="s">
        <v>544</v>
      </c>
      <c r="L15" s="1589"/>
      <c r="M15" s="230" t="s">
        <v>545</v>
      </c>
      <c r="N15" s="232" t="s">
        <v>546</v>
      </c>
    </row>
    <row r="16" spans="1:14" s="510" customFormat="1" ht="24.95" customHeight="1">
      <c r="A16" s="516" t="s">
        <v>631</v>
      </c>
      <c r="B16" s="1653">
        <f>女子一覧表!B16</f>
        <v>0</v>
      </c>
      <c r="C16" s="1654"/>
      <c r="D16" s="1655" t="str">
        <f>IF(女子一覧表!B16="","",VLOOKUP(B16,女子一覧表!$B$13:$F$37,2,FALSE))</f>
        <v/>
      </c>
      <c r="E16" s="1656"/>
      <c r="F16" s="513" t="str">
        <f>IF(女子一覧表!B16="","",VLOOKUP(B16,女子一覧表!$B$13:$F$37,3,FALSE))</f>
        <v/>
      </c>
      <c r="G16" s="514" t="str">
        <f>IF(D16="","",女子一覧表!$A$7)</f>
        <v/>
      </c>
      <c r="H16" s="517" t="s">
        <v>631</v>
      </c>
      <c r="I16" s="1653" t="str">
        <f>IF(女子一覧表!L16="","",女子一覧表!B16)</f>
        <v/>
      </c>
      <c r="J16" s="1654"/>
      <c r="K16" s="1655" t="str">
        <f>IF(女子一覧表!L16="","",VLOOKUP(I16,女子一覧表!$B$13:$F$37,2,FALSE))</f>
        <v/>
      </c>
      <c r="L16" s="1656"/>
      <c r="M16" s="513" t="str">
        <f>IF(女子一覧表!L16="","",VLOOKUP(I16,女子一覧表!$B$13:$F$37,3,FALSE))</f>
        <v/>
      </c>
      <c r="N16" s="514" t="str">
        <f>IF(K16="","",女子一覧表!$A$7)</f>
        <v/>
      </c>
    </row>
    <row r="17" spans="1:16" s="228" customFormat="1" ht="13.5" customHeight="1">
      <c r="A17" s="1578" t="s">
        <v>501</v>
      </c>
      <c r="B17" s="1579"/>
      <c r="C17" s="1580" t="str">
        <f>女子一覧表!Y17</f>
        <v/>
      </c>
      <c r="D17" s="1579"/>
      <c r="E17" s="227" t="s">
        <v>511</v>
      </c>
      <c r="F17" s="1657">
        <f>女子一覧表!J17</f>
        <v>0</v>
      </c>
      <c r="G17" s="1582"/>
      <c r="H17" s="1578" t="s">
        <v>501</v>
      </c>
      <c r="I17" s="1579"/>
      <c r="J17" s="1580" t="str">
        <f>女子一覧表!Z17</f>
        <v/>
      </c>
      <c r="K17" s="1579"/>
      <c r="L17" s="227" t="s">
        <v>511</v>
      </c>
      <c r="M17" s="1657">
        <f>女子一覧表!M17</f>
        <v>0</v>
      </c>
      <c r="N17" s="1582"/>
      <c r="P17" s="233"/>
    </row>
    <row r="18" spans="1:16" s="228" customFormat="1" ht="10.5">
      <c r="A18" s="229" t="s">
        <v>542</v>
      </c>
      <c r="B18" s="1585" t="s">
        <v>543</v>
      </c>
      <c r="C18" s="1585"/>
      <c r="D18" s="1589" t="s">
        <v>544</v>
      </c>
      <c r="E18" s="1589"/>
      <c r="F18" s="230" t="s">
        <v>545</v>
      </c>
      <c r="G18" s="232" t="s">
        <v>546</v>
      </c>
      <c r="H18" s="231" t="s">
        <v>542</v>
      </c>
      <c r="I18" s="1585" t="s">
        <v>543</v>
      </c>
      <c r="J18" s="1585"/>
      <c r="K18" s="1589" t="s">
        <v>544</v>
      </c>
      <c r="L18" s="1589"/>
      <c r="M18" s="230" t="s">
        <v>545</v>
      </c>
      <c r="N18" s="232" t="s">
        <v>546</v>
      </c>
    </row>
    <row r="19" spans="1:16" s="510" customFormat="1" ht="24.95" customHeight="1">
      <c r="A19" s="516" t="s">
        <v>632</v>
      </c>
      <c r="B19" s="1653">
        <f>女子一覧表!B17</f>
        <v>0</v>
      </c>
      <c r="C19" s="1654"/>
      <c r="D19" s="1655" t="str">
        <f>IF(女子一覧表!B17="","",VLOOKUP(B19,女子一覧表!$B$13:$F$37,2,FALSE))</f>
        <v/>
      </c>
      <c r="E19" s="1656"/>
      <c r="F19" s="513" t="str">
        <f>IF(女子一覧表!B17="","",VLOOKUP(B19,女子一覧表!$B$13:$F$37,3,FALSE))</f>
        <v/>
      </c>
      <c r="G19" s="514" t="str">
        <f>IF(D19="","",女子一覧表!$A$7)</f>
        <v/>
      </c>
      <c r="H19" s="517" t="s">
        <v>632</v>
      </c>
      <c r="I19" s="1653" t="str">
        <f>IF(女子一覧表!L17="","",女子一覧表!B17)</f>
        <v/>
      </c>
      <c r="J19" s="1654"/>
      <c r="K19" s="1655" t="str">
        <f>IF(女子一覧表!L17="","",VLOOKUP(I19,女子一覧表!$B$13:$F$37,2,FALSE))</f>
        <v/>
      </c>
      <c r="L19" s="1656"/>
      <c r="M19" s="513" t="str">
        <f>IF(女子一覧表!L17="","",VLOOKUP(I19,女子一覧表!$B$13:$F$37,3,FALSE))</f>
        <v/>
      </c>
      <c r="N19" s="514" t="str">
        <f>IF(K19="","",女子一覧表!$A$7)</f>
        <v/>
      </c>
    </row>
    <row r="20" spans="1:16" s="228" customFormat="1" ht="13.5" customHeight="1">
      <c r="A20" s="1578" t="s">
        <v>501</v>
      </c>
      <c r="B20" s="1579"/>
      <c r="C20" s="1580" t="str">
        <f>女子一覧表!Y18</f>
        <v/>
      </c>
      <c r="D20" s="1579"/>
      <c r="E20" s="227" t="s">
        <v>511</v>
      </c>
      <c r="F20" s="1657">
        <f>女子一覧表!J18</f>
        <v>0</v>
      </c>
      <c r="G20" s="1582"/>
      <c r="H20" s="1578" t="s">
        <v>501</v>
      </c>
      <c r="I20" s="1579"/>
      <c r="J20" s="1580" t="str">
        <f>女子一覧表!Z18</f>
        <v/>
      </c>
      <c r="K20" s="1579"/>
      <c r="L20" s="227" t="s">
        <v>511</v>
      </c>
      <c r="M20" s="1657">
        <f>女子一覧表!M18</f>
        <v>0</v>
      </c>
      <c r="N20" s="1582"/>
    </row>
    <row r="21" spans="1:16" s="228" customFormat="1" ht="10.5">
      <c r="A21" s="229" t="s">
        <v>542</v>
      </c>
      <c r="B21" s="1585" t="s">
        <v>543</v>
      </c>
      <c r="C21" s="1585"/>
      <c r="D21" s="1589" t="s">
        <v>544</v>
      </c>
      <c r="E21" s="1589"/>
      <c r="F21" s="230" t="s">
        <v>545</v>
      </c>
      <c r="G21" s="232" t="s">
        <v>546</v>
      </c>
      <c r="H21" s="231" t="s">
        <v>542</v>
      </c>
      <c r="I21" s="1585" t="s">
        <v>543</v>
      </c>
      <c r="J21" s="1585"/>
      <c r="K21" s="1589" t="s">
        <v>544</v>
      </c>
      <c r="L21" s="1589"/>
      <c r="M21" s="230" t="s">
        <v>545</v>
      </c>
      <c r="N21" s="232" t="s">
        <v>546</v>
      </c>
    </row>
    <row r="22" spans="1:16" s="510" customFormat="1" ht="24.95" customHeight="1">
      <c r="A22" s="516" t="s">
        <v>633</v>
      </c>
      <c r="B22" s="1653">
        <f>女子一覧表!B18</f>
        <v>0</v>
      </c>
      <c r="C22" s="1654"/>
      <c r="D22" s="1655" t="str">
        <f>IF(女子一覧表!B18="","",VLOOKUP(B22,女子一覧表!$B$13:$F$37,2,FALSE))</f>
        <v/>
      </c>
      <c r="E22" s="1656"/>
      <c r="F22" s="513" t="str">
        <f>IF(女子一覧表!B18="","",VLOOKUP(B22,女子一覧表!$B$13:$F$37,3,FALSE))</f>
        <v/>
      </c>
      <c r="G22" s="514" t="str">
        <f>IF(D22="","",女子一覧表!$A$7)</f>
        <v/>
      </c>
      <c r="H22" s="517" t="s">
        <v>633</v>
      </c>
      <c r="I22" s="1653" t="str">
        <f>IF(女子一覧表!L18="","",女子一覧表!B18)</f>
        <v/>
      </c>
      <c r="J22" s="1654"/>
      <c r="K22" s="1655" t="str">
        <f>IF(女子一覧表!L18="","",VLOOKUP(I22,女子一覧表!$B$13:$F$37,2,FALSE))</f>
        <v/>
      </c>
      <c r="L22" s="1656"/>
      <c r="M22" s="513" t="str">
        <f>IF(女子一覧表!L18="","",VLOOKUP(I22,女子一覧表!$B$13:$F$37,3,FALSE))</f>
        <v/>
      </c>
      <c r="N22" s="514" t="str">
        <f>IF(K22="","",女子一覧表!$A$7)</f>
        <v/>
      </c>
    </row>
    <row r="23" spans="1:16" s="228" customFormat="1" ht="13.5" customHeight="1">
      <c r="A23" s="1578" t="s">
        <v>501</v>
      </c>
      <c r="B23" s="1579"/>
      <c r="C23" s="1580" t="str">
        <f>女子一覧表!Y19</f>
        <v/>
      </c>
      <c r="D23" s="1579"/>
      <c r="E23" s="227" t="s">
        <v>511</v>
      </c>
      <c r="F23" s="1657">
        <f>女子一覧表!J19</f>
        <v>0</v>
      </c>
      <c r="G23" s="1582"/>
      <c r="H23" s="1578" t="s">
        <v>501</v>
      </c>
      <c r="I23" s="1579"/>
      <c r="J23" s="1580" t="str">
        <f>女子一覧表!Z19</f>
        <v/>
      </c>
      <c r="K23" s="1579"/>
      <c r="L23" s="227" t="s">
        <v>511</v>
      </c>
      <c r="M23" s="1657">
        <f>女子一覧表!M19</f>
        <v>0</v>
      </c>
      <c r="N23" s="1582"/>
    </row>
    <row r="24" spans="1:16" s="228" customFormat="1" ht="10.5">
      <c r="A24" s="229" t="s">
        <v>542</v>
      </c>
      <c r="B24" s="1585" t="s">
        <v>543</v>
      </c>
      <c r="C24" s="1585"/>
      <c r="D24" s="1589" t="s">
        <v>544</v>
      </c>
      <c r="E24" s="1589"/>
      <c r="F24" s="230" t="s">
        <v>545</v>
      </c>
      <c r="G24" s="232" t="s">
        <v>546</v>
      </c>
      <c r="H24" s="231" t="s">
        <v>542</v>
      </c>
      <c r="I24" s="1585" t="s">
        <v>543</v>
      </c>
      <c r="J24" s="1585"/>
      <c r="K24" s="1589" t="s">
        <v>544</v>
      </c>
      <c r="L24" s="1589"/>
      <c r="M24" s="230" t="s">
        <v>545</v>
      </c>
      <c r="N24" s="232" t="s">
        <v>546</v>
      </c>
    </row>
    <row r="25" spans="1:16" s="510" customFormat="1" ht="24.95" customHeight="1">
      <c r="A25" s="516" t="s">
        <v>633</v>
      </c>
      <c r="B25" s="1653">
        <f>女子一覧表!B19</f>
        <v>0</v>
      </c>
      <c r="C25" s="1654"/>
      <c r="D25" s="1655" t="str">
        <f>IF(女子一覧表!B19="","",VLOOKUP(B25,女子一覧表!$B$13:$F$37,2,FALSE))</f>
        <v/>
      </c>
      <c r="E25" s="1656"/>
      <c r="F25" s="513" t="str">
        <f>IF(女子一覧表!B19="","",VLOOKUP(B25,女子一覧表!$B$13:$F$37,3,FALSE))</f>
        <v/>
      </c>
      <c r="G25" s="514" t="str">
        <f>IF(D25="","",女子一覧表!$A$7)</f>
        <v/>
      </c>
      <c r="H25" s="517" t="s">
        <v>633</v>
      </c>
      <c r="I25" s="1653" t="str">
        <f>IF(女子一覧表!L19="","",女子一覧表!B19)</f>
        <v/>
      </c>
      <c r="J25" s="1654"/>
      <c r="K25" s="1655" t="str">
        <f>IF(女子一覧表!L19="","",VLOOKUP(I25,女子一覧表!$B$13:$F$37,2,FALSE))</f>
        <v/>
      </c>
      <c r="L25" s="1656"/>
      <c r="M25" s="513" t="str">
        <f>IF(女子一覧表!L19="","",VLOOKUP(I25,女子一覧表!$B$13:$F$37,3,FALSE))</f>
        <v/>
      </c>
      <c r="N25" s="514" t="str">
        <f>IF(K25="","",女子一覧表!$A$7)</f>
        <v/>
      </c>
    </row>
    <row r="26" spans="1:16" s="228" customFormat="1" ht="13.5" customHeight="1">
      <c r="A26" s="1578" t="s">
        <v>501</v>
      </c>
      <c r="B26" s="1579"/>
      <c r="C26" s="1580" t="str">
        <f>女子一覧表!Y20</f>
        <v/>
      </c>
      <c r="D26" s="1579"/>
      <c r="E26" s="227" t="s">
        <v>511</v>
      </c>
      <c r="F26" s="1657">
        <f>女子一覧表!J20</f>
        <v>0</v>
      </c>
      <c r="G26" s="1582"/>
      <c r="H26" s="1578" t="s">
        <v>501</v>
      </c>
      <c r="I26" s="1579"/>
      <c r="J26" s="1580" t="str">
        <f>女子一覧表!Z20</f>
        <v/>
      </c>
      <c r="K26" s="1579"/>
      <c r="L26" s="227" t="s">
        <v>511</v>
      </c>
      <c r="M26" s="1657">
        <f>女子一覧表!M20</f>
        <v>0</v>
      </c>
      <c r="N26" s="1582"/>
    </row>
    <row r="27" spans="1:16" s="228" customFormat="1" ht="10.5">
      <c r="A27" s="229" t="s">
        <v>542</v>
      </c>
      <c r="B27" s="1585" t="s">
        <v>543</v>
      </c>
      <c r="C27" s="1585"/>
      <c r="D27" s="1589" t="s">
        <v>544</v>
      </c>
      <c r="E27" s="1589"/>
      <c r="F27" s="230" t="s">
        <v>545</v>
      </c>
      <c r="G27" s="232" t="s">
        <v>546</v>
      </c>
      <c r="H27" s="231" t="s">
        <v>542</v>
      </c>
      <c r="I27" s="1585" t="s">
        <v>543</v>
      </c>
      <c r="J27" s="1585"/>
      <c r="K27" s="1589" t="s">
        <v>544</v>
      </c>
      <c r="L27" s="1589"/>
      <c r="M27" s="230" t="s">
        <v>545</v>
      </c>
      <c r="N27" s="232" t="s">
        <v>546</v>
      </c>
    </row>
    <row r="28" spans="1:16" s="510" customFormat="1" ht="24.95" customHeight="1">
      <c r="A28" s="516" t="s">
        <v>632</v>
      </c>
      <c r="B28" s="1653">
        <f>女子一覧表!B20</f>
        <v>0</v>
      </c>
      <c r="C28" s="1654"/>
      <c r="D28" s="1655" t="str">
        <f>IF(女子一覧表!B20="","",VLOOKUP(B28,女子一覧表!$B$13:$F$37,2,FALSE))</f>
        <v/>
      </c>
      <c r="E28" s="1656"/>
      <c r="F28" s="513" t="str">
        <f>IF(女子一覧表!B20="","",VLOOKUP(B28,女子一覧表!$B$13:$F$37,3,FALSE))</f>
        <v/>
      </c>
      <c r="G28" s="514" t="str">
        <f>IF(D28="","",女子一覧表!$A$7)</f>
        <v/>
      </c>
      <c r="H28" s="517" t="s">
        <v>632</v>
      </c>
      <c r="I28" s="1653" t="str">
        <f>IF(女子一覧表!L20="","",女子一覧表!B20)</f>
        <v/>
      </c>
      <c r="J28" s="1654"/>
      <c r="K28" s="1655" t="str">
        <f>IF(女子一覧表!L20="","",VLOOKUP(I28,女子一覧表!$B$13:$F$37,2,FALSE))</f>
        <v/>
      </c>
      <c r="L28" s="1656"/>
      <c r="M28" s="513" t="str">
        <f>IF(女子一覧表!L20="","",VLOOKUP(I28,女子一覧表!$B$13:$F$37,3,FALSE))</f>
        <v/>
      </c>
      <c r="N28" s="514" t="str">
        <f>IF(K28="","",女子一覧表!$A$7)</f>
        <v/>
      </c>
    </row>
    <row r="29" spans="1:16" s="228" customFormat="1" ht="13.5" customHeight="1">
      <c r="A29" s="1578" t="s">
        <v>501</v>
      </c>
      <c r="B29" s="1579"/>
      <c r="C29" s="1580" t="str">
        <f>女子一覧表!Y21</f>
        <v/>
      </c>
      <c r="D29" s="1579"/>
      <c r="E29" s="227" t="s">
        <v>511</v>
      </c>
      <c r="F29" s="1657">
        <f>女子一覧表!J21</f>
        <v>0</v>
      </c>
      <c r="G29" s="1582"/>
      <c r="H29" s="1578" t="s">
        <v>501</v>
      </c>
      <c r="I29" s="1579"/>
      <c r="J29" s="1580" t="str">
        <f>女子一覧表!Z21</f>
        <v/>
      </c>
      <c r="K29" s="1579"/>
      <c r="L29" s="227" t="s">
        <v>511</v>
      </c>
      <c r="M29" s="1657">
        <f>女子一覧表!M21</f>
        <v>0</v>
      </c>
      <c r="N29" s="1582"/>
    </row>
    <row r="30" spans="1:16" s="228" customFormat="1" ht="10.5">
      <c r="A30" s="229" t="s">
        <v>542</v>
      </c>
      <c r="B30" s="1585" t="s">
        <v>543</v>
      </c>
      <c r="C30" s="1585"/>
      <c r="D30" s="1589" t="s">
        <v>544</v>
      </c>
      <c r="E30" s="1589"/>
      <c r="F30" s="230" t="s">
        <v>545</v>
      </c>
      <c r="G30" s="232" t="s">
        <v>546</v>
      </c>
      <c r="H30" s="231" t="s">
        <v>542</v>
      </c>
      <c r="I30" s="1585" t="s">
        <v>543</v>
      </c>
      <c r="J30" s="1585"/>
      <c r="K30" s="1589" t="s">
        <v>544</v>
      </c>
      <c r="L30" s="1589"/>
      <c r="M30" s="230" t="s">
        <v>545</v>
      </c>
      <c r="N30" s="232" t="s">
        <v>546</v>
      </c>
    </row>
    <row r="31" spans="1:16" s="510" customFormat="1" ht="24.95" customHeight="1">
      <c r="A31" s="516" t="s">
        <v>630</v>
      </c>
      <c r="B31" s="1653">
        <f>女子一覧表!B21</f>
        <v>0</v>
      </c>
      <c r="C31" s="1654"/>
      <c r="D31" s="1655" t="str">
        <f>IF(女子一覧表!B21="","",VLOOKUP(B31,女子一覧表!$B$13:$F$37,2,FALSE))</f>
        <v/>
      </c>
      <c r="E31" s="1656"/>
      <c r="F31" s="513" t="str">
        <f>IF(女子一覧表!B21="","",VLOOKUP(B31,女子一覧表!$B$13:$F$37,3,FALSE))</f>
        <v/>
      </c>
      <c r="G31" s="514" t="str">
        <f>IF(D31="","",女子一覧表!$A$7)</f>
        <v/>
      </c>
      <c r="H31" s="517" t="s">
        <v>630</v>
      </c>
      <c r="I31" s="1653" t="str">
        <f>IF(女子一覧表!L21="","",女子一覧表!B21)</f>
        <v/>
      </c>
      <c r="J31" s="1654"/>
      <c r="K31" s="1655" t="str">
        <f>IF(女子一覧表!L21="","",VLOOKUP(I31,女子一覧表!$B$13:$F$37,2,FALSE))</f>
        <v/>
      </c>
      <c r="L31" s="1656"/>
      <c r="M31" s="513" t="str">
        <f>IF(女子一覧表!L21="","",VLOOKUP(I31,女子一覧表!$B$13:$F$37,3,FALSE))</f>
        <v/>
      </c>
      <c r="N31" s="514" t="str">
        <f>IF(K31="","",女子一覧表!$A$7)</f>
        <v/>
      </c>
    </row>
    <row r="32" spans="1:16" s="228" customFormat="1" ht="13.5" customHeight="1">
      <c r="A32" s="1578" t="s">
        <v>501</v>
      </c>
      <c r="B32" s="1579"/>
      <c r="C32" s="1580" t="str">
        <f>女子一覧表!Y22</f>
        <v/>
      </c>
      <c r="D32" s="1579"/>
      <c r="E32" s="227" t="s">
        <v>511</v>
      </c>
      <c r="F32" s="1657">
        <f>女子一覧表!J22</f>
        <v>0</v>
      </c>
      <c r="G32" s="1582"/>
      <c r="H32" s="1578" t="s">
        <v>501</v>
      </c>
      <c r="I32" s="1579"/>
      <c r="J32" s="1580" t="str">
        <f>女子一覧表!Z22</f>
        <v/>
      </c>
      <c r="K32" s="1579"/>
      <c r="L32" s="227" t="s">
        <v>511</v>
      </c>
      <c r="M32" s="1657">
        <f>女子一覧表!M22</f>
        <v>0</v>
      </c>
      <c r="N32" s="1582"/>
    </row>
    <row r="33" spans="1:14" s="228" customFormat="1" ht="10.5">
      <c r="A33" s="229" t="s">
        <v>542</v>
      </c>
      <c r="B33" s="1585" t="s">
        <v>543</v>
      </c>
      <c r="C33" s="1585"/>
      <c r="D33" s="1589" t="s">
        <v>544</v>
      </c>
      <c r="E33" s="1589"/>
      <c r="F33" s="230" t="s">
        <v>545</v>
      </c>
      <c r="G33" s="232" t="s">
        <v>546</v>
      </c>
      <c r="H33" s="231" t="s">
        <v>542</v>
      </c>
      <c r="I33" s="1585" t="s">
        <v>543</v>
      </c>
      <c r="J33" s="1585"/>
      <c r="K33" s="1589" t="s">
        <v>544</v>
      </c>
      <c r="L33" s="1589"/>
      <c r="M33" s="230" t="s">
        <v>545</v>
      </c>
      <c r="N33" s="232" t="s">
        <v>546</v>
      </c>
    </row>
    <row r="34" spans="1:14" s="510" customFormat="1" ht="24.95" customHeight="1">
      <c r="A34" s="516" t="s">
        <v>630</v>
      </c>
      <c r="B34" s="1653">
        <f>女子一覧表!B22</f>
        <v>0</v>
      </c>
      <c r="C34" s="1654"/>
      <c r="D34" s="1655" t="str">
        <f>IF(女子一覧表!B22="","",VLOOKUP(B34,女子一覧表!$B$13:$F$37,2,FALSE))</f>
        <v/>
      </c>
      <c r="E34" s="1656"/>
      <c r="F34" s="513" t="str">
        <f>IF(女子一覧表!B22="","",VLOOKUP(B34,女子一覧表!$B$13:$F$37,3,FALSE))</f>
        <v/>
      </c>
      <c r="G34" s="514" t="str">
        <f>IF(D34="","",女子一覧表!$A$7)</f>
        <v/>
      </c>
      <c r="H34" s="517" t="s">
        <v>630</v>
      </c>
      <c r="I34" s="1653" t="str">
        <f>IF(女子一覧表!L22="","",女子一覧表!B22)</f>
        <v/>
      </c>
      <c r="J34" s="1654"/>
      <c r="K34" s="1655" t="str">
        <f>IF(女子一覧表!L22="","",VLOOKUP(I34,女子一覧表!$B$13:$F$37,2,FALSE))</f>
        <v/>
      </c>
      <c r="L34" s="1656"/>
      <c r="M34" s="513" t="str">
        <f>IF(女子一覧表!L22="","",VLOOKUP(I34,女子一覧表!$B$13:$F$37,3,FALSE))</f>
        <v/>
      </c>
      <c r="N34" s="514" t="str">
        <f>IF(K34="","",女子一覧表!$A$7)</f>
        <v/>
      </c>
    </row>
    <row r="35" spans="1:14" s="228" customFormat="1" ht="13.5" customHeight="1">
      <c r="A35" s="1578" t="s">
        <v>501</v>
      </c>
      <c r="B35" s="1579"/>
      <c r="C35" s="1580" t="str">
        <f>女子一覧表!Y23</f>
        <v/>
      </c>
      <c r="D35" s="1579"/>
      <c r="E35" s="227" t="s">
        <v>511</v>
      </c>
      <c r="F35" s="1657">
        <f>女子一覧表!J23</f>
        <v>0</v>
      </c>
      <c r="G35" s="1582"/>
      <c r="H35" s="1578" t="s">
        <v>501</v>
      </c>
      <c r="I35" s="1579"/>
      <c r="J35" s="1580" t="str">
        <f>女子一覧表!Z23</f>
        <v/>
      </c>
      <c r="K35" s="1579"/>
      <c r="L35" s="227" t="s">
        <v>511</v>
      </c>
      <c r="M35" s="1657">
        <f>女子一覧表!M23</f>
        <v>0</v>
      </c>
      <c r="N35" s="1582"/>
    </row>
    <row r="36" spans="1:14" s="228" customFormat="1" ht="10.5">
      <c r="A36" s="229" t="s">
        <v>542</v>
      </c>
      <c r="B36" s="1583" t="s">
        <v>543</v>
      </c>
      <c r="C36" s="1584"/>
      <c r="D36" s="1590" t="s">
        <v>544</v>
      </c>
      <c r="E36" s="1591"/>
      <c r="F36" s="230" t="s">
        <v>545</v>
      </c>
      <c r="G36" s="232" t="s">
        <v>546</v>
      </c>
      <c r="H36" s="231" t="s">
        <v>542</v>
      </c>
      <c r="I36" s="1583" t="s">
        <v>543</v>
      </c>
      <c r="J36" s="1584"/>
      <c r="K36" s="1590" t="s">
        <v>544</v>
      </c>
      <c r="L36" s="1591"/>
      <c r="M36" s="230" t="s">
        <v>545</v>
      </c>
      <c r="N36" s="232" t="s">
        <v>546</v>
      </c>
    </row>
    <row r="37" spans="1:14" s="510" customFormat="1" ht="24.95" customHeight="1">
      <c r="A37" s="518" t="s">
        <v>630</v>
      </c>
      <c r="B37" s="1658">
        <f>女子一覧表!B23</f>
        <v>0</v>
      </c>
      <c r="C37" s="1659"/>
      <c r="D37" s="1660" t="str">
        <f>IF(女子一覧表!B23="","",VLOOKUP(B37,女子一覧表!$B$13:$F$37,2,FALSE))</f>
        <v/>
      </c>
      <c r="E37" s="1661"/>
      <c r="F37" s="515" t="str">
        <f>IF(女子一覧表!B23="","",VLOOKUP(B37,女子一覧表!$B$13:$F$37,3,FALSE))</f>
        <v/>
      </c>
      <c r="G37" s="514" t="str">
        <f>IF(D37="","",女子一覧表!$A$7)</f>
        <v/>
      </c>
      <c r="H37" s="519" t="s">
        <v>630</v>
      </c>
      <c r="I37" s="1653" t="str">
        <f>IF(女子一覧表!L23="","",女子一覧表!B23)</f>
        <v/>
      </c>
      <c r="J37" s="1654"/>
      <c r="K37" s="1660" t="str">
        <f>IF(女子一覧表!L23="","",VLOOKUP(I37,女子一覧表!$B$13:$F$37,2,FALSE))</f>
        <v/>
      </c>
      <c r="L37" s="1661"/>
      <c r="M37" s="515" t="str">
        <f>IF(女子一覧表!L23="","",VLOOKUP(I37,女子一覧表!$B$13:$F$37,3,FALSE))</f>
        <v/>
      </c>
      <c r="N37" s="514" t="str">
        <f>IF(K37="","",女子一覧表!$A$7)</f>
        <v/>
      </c>
    </row>
    <row r="38" spans="1:14" s="228" customFormat="1" ht="13.5" customHeight="1">
      <c r="A38" s="1578" t="s">
        <v>501</v>
      </c>
      <c r="B38" s="1579"/>
      <c r="C38" s="1580" t="str">
        <f>女子一覧表!Y24</f>
        <v/>
      </c>
      <c r="D38" s="1579"/>
      <c r="E38" s="227" t="s">
        <v>511</v>
      </c>
      <c r="F38" s="1657">
        <f>女子一覧表!J24</f>
        <v>0</v>
      </c>
      <c r="G38" s="1582"/>
      <c r="H38" s="1578" t="s">
        <v>501</v>
      </c>
      <c r="I38" s="1579"/>
      <c r="J38" s="1580" t="str">
        <f>女子一覧表!Z24</f>
        <v/>
      </c>
      <c r="K38" s="1579"/>
      <c r="L38" s="227" t="s">
        <v>511</v>
      </c>
      <c r="M38" s="1657">
        <f>女子一覧表!M24</f>
        <v>0</v>
      </c>
      <c r="N38" s="1582"/>
    </row>
    <row r="39" spans="1:14" s="228" customFormat="1" ht="10.5">
      <c r="A39" s="229" t="s">
        <v>542</v>
      </c>
      <c r="B39" s="1585" t="s">
        <v>543</v>
      </c>
      <c r="C39" s="1585"/>
      <c r="D39" s="1589" t="s">
        <v>544</v>
      </c>
      <c r="E39" s="1589"/>
      <c r="F39" s="230" t="s">
        <v>545</v>
      </c>
      <c r="G39" s="232" t="s">
        <v>546</v>
      </c>
      <c r="H39" s="231" t="s">
        <v>542</v>
      </c>
      <c r="I39" s="1585" t="s">
        <v>543</v>
      </c>
      <c r="J39" s="1585"/>
      <c r="K39" s="1589" t="s">
        <v>544</v>
      </c>
      <c r="L39" s="1589"/>
      <c r="M39" s="230" t="s">
        <v>545</v>
      </c>
      <c r="N39" s="232" t="s">
        <v>546</v>
      </c>
    </row>
    <row r="40" spans="1:14" s="510" customFormat="1" ht="24.95" customHeight="1">
      <c r="A40" s="516" t="s">
        <v>630</v>
      </c>
      <c r="B40" s="1653">
        <f>女子一覧表!B24</f>
        <v>0</v>
      </c>
      <c r="C40" s="1654"/>
      <c r="D40" s="1655" t="str">
        <f>IF(女子一覧表!B24="","",VLOOKUP(B40,女子一覧表!$B$13:$F$37,2,FALSE))</f>
        <v/>
      </c>
      <c r="E40" s="1656"/>
      <c r="F40" s="513" t="str">
        <f>IF(女子一覧表!B24="","",VLOOKUP(B40,女子一覧表!$B$13:$F$37,3,FALSE))</f>
        <v/>
      </c>
      <c r="G40" s="514" t="str">
        <f>IF(D40="","",女子一覧表!$A$7)</f>
        <v/>
      </c>
      <c r="H40" s="517" t="s">
        <v>630</v>
      </c>
      <c r="I40" s="1653" t="str">
        <f>IF(女子一覧表!L24="","",女子一覧表!B24)</f>
        <v/>
      </c>
      <c r="J40" s="1654"/>
      <c r="K40" s="1655" t="str">
        <f>IF(女子一覧表!L24="","",VLOOKUP(I40,女子一覧表!$B$13:$F$37,2,FALSE))</f>
        <v/>
      </c>
      <c r="L40" s="1656"/>
      <c r="M40" s="513" t="str">
        <f>IF(女子一覧表!L24="","",VLOOKUP(I40,女子一覧表!$B$13:$F$37,3,FALSE))</f>
        <v/>
      </c>
      <c r="N40" s="514" t="str">
        <f>IF(K40="","",女子一覧表!$A$7)</f>
        <v/>
      </c>
    </row>
    <row r="41" spans="1:14" s="228" customFormat="1" ht="13.5" customHeight="1">
      <c r="A41" s="1578" t="s">
        <v>501</v>
      </c>
      <c r="B41" s="1579"/>
      <c r="C41" s="1580" t="str">
        <f>女子一覧表!Y25</f>
        <v/>
      </c>
      <c r="D41" s="1579"/>
      <c r="E41" s="227" t="s">
        <v>511</v>
      </c>
      <c r="F41" s="1657">
        <f>女子一覧表!J25</f>
        <v>0</v>
      </c>
      <c r="G41" s="1582"/>
      <c r="H41" s="1578" t="s">
        <v>501</v>
      </c>
      <c r="I41" s="1579"/>
      <c r="J41" s="1580" t="str">
        <f>女子一覧表!Z25</f>
        <v/>
      </c>
      <c r="K41" s="1579"/>
      <c r="L41" s="227" t="s">
        <v>511</v>
      </c>
      <c r="M41" s="1657">
        <f>女子一覧表!M25</f>
        <v>0</v>
      </c>
      <c r="N41" s="1582"/>
    </row>
    <row r="42" spans="1:14" s="228" customFormat="1" ht="10.5">
      <c r="A42" s="229" t="s">
        <v>542</v>
      </c>
      <c r="B42" s="1585" t="s">
        <v>543</v>
      </c>
      <c r="C42" s="1585"/>
      <c r="D42" s="1589" t="s">
        <v>544</v>
      </c>
      <c r="E42" s="1589"/>
      <c r="F42" s="230" t="s">
        <v>545</v>
      </c>
      <c r="G42" s="232" t="s">
        <v>546</v>
      </c>
      <c r="H42" s="231" t="s">
        <v>542</v>
      </c>
      <c r="I42" s="1585" t="s">
        <v>543</v>
      </c>
      <c r="J42" s="1585"/>
      <c r="K42" s="1589" t="s">
        <v>544</v>
      </c>
      <c r="L42" s="1589"/>
      <c r="M42" s="230" t="s">
        <v>545</v>
      </c>
      <c r="N42" s="232" t="s">
        <v>546</v>
      </c>
    </row>
    <row r="43" spans="1:14" s="510" customFormat="1" ht="24.95" customHeight="1">
      <c r="A43" s="516" t="s">
        <v>634</v>
      </c>
      <c r="B43" s="1653">
        <f>女子一覧表!B25</f>
        <v>0</v>
      </c>
      <c r="C43" s="1654"/>
      <c r="D43" s="1655" t="str">
        <f>IF(女子一覧表!B25="","",VLOOKUP(B43,女子一覧表!$B$13:$F$37,2,FALSE))</f>
        <v/>
      </c>
      <c r="E43" s="1656"/>
      <c r="F43" s="513" t="str">
        <f>IF(女子一覧表!B25="","",VLOOKUP(B43,女子一覧表!$B$13:$F$37,3,FALSE))</f>
        <v/>
      </c>
      <c r="G43" s="514" t="str">
        <f>IF(D43="","",女子一覧表!$A$7)</f>
        <v/>
      </c>
      <c r="H43" s="517" t="s">
        <v>634</v>
      </c>
      <c r="I43" s="1653" t="str">
        <f>IF(女子一覧表!L25="","",女子一覧表!B25)</f>
        <v/>
      </c>
      <c r="J43" s="1654"/>
      <c r="K43" s="1655" t="str">
        <f>IF(女子一覧表!L25="","",VLOOKUP(I43,女子一覧表!$B$13:$F$37,2,FALSE))</f>
        <v/>
      </c>
      <c r="L43" s="1656"/>
      <c r="M43" s="513" t="str">
        <f>IF(女子一覧表!L25="","",VLOOKUP(I43,女子一覧表!$B$13:$F$37,3,FALSE))</f>
        <v/>
      </c>
      <c r="N43" s="514" t="str">
        <f>IF(K43="","",女子一覧表!$A$7)</f>
        <v/>
      </c>
    </row>
    <row r="44" spans="1:14" s="228" customFormat="1" ht="13.5" customHeight="1">
      <c r="A44" s="1578" t="s">
        <v>501</v>
      </c>
      <c r="B44" s="1579"/>
      <c r="C44" s="1580" t="str">
        <f>女子一覧表!Y26</f>
        <v/>
      </c>
      <c r="D44" s="1579"/>
      <c r="E44" s="227" t="s">
        <v>511</v>
      </c>
      <c r="F44" s="1657">
        <f>女子一覧表!J26</f>
        <v>0</v>
      </c>
      <c r="G44" s="1582"/>
      <c r="H44" s="1578" t="s">
        <v>501</v>
      </c>
      <c r="I44" s="1579"/>
      <c r="J44" s="1580" t="str">
        <f>女子一覧表!Z26</f>
        <v/>
      </c>
      <c r="K44" s="1579"/>
      <c r="L44" s="227" t="s">
        <v>511</v>
      </c>
      <c r="M44" s="1657">
        <f>女子一覧表!M26</f>
        <v>0</v>
      </c>
      <c r="N44" s="1582"/>
    </row>
    <row r="45" spans="1:14" s="228" customFormat="1" ht="10.5">
      <c r="A45" s="229" t="s">
        <v>542</v>
      </c>
      <c r="B45" s="1585" t="s">
        <v>543</v>
      </c>
      <c r="C45" s="1585"/>
      <c r="D45" s="1589" t="s">
        <v>544</v>
      </c>
      <c r="E45" s="1589"/>
      <c r="F45" s="230" t="s">
        <v>545</v>
      </c>
      <c r="G45" s="232" t="s">
        <v>546</v>
      </c>
      <c r="H45" s="231" t="s">
        <v>542</v>
      </c>
      <c r="I45" s="1585" t="s">
        <v>543</v>
      </c>
      <c r="J45" s="1585"/>
      <c r="K45" s="1589" t="s">
        <v>544</v>
      </c>
      <c r="L45" s="1589"/>
      <c r="M45" s="230" t="s">
        <v>545</v>
      </c>
      <c r="N45" s="232" t="s">
        <v>546</v>
      </c>
    </row>
    <row r="46" spans="1:14" s="510" customFormat="1" ht="24.95" customHeight="1">
      <c r="A46" s="516" t="s">
        <v>630</v>
      </c>
      <c r="B46" s="1653">
        <f>女子一覧表!B26</f>
        <v>0</v>
      </c>
      <c r="C46" s="1654"/>
      <c r="D46" s="1655" t="str">
        <f>IF(女子一覧表!B26="","",VLOOKUP(B46,女子一覧表!$B$13:$F$37,2,FALSE))</f>
        <v/>
      </c>
      <c r="E46" s="1656"/>
      <c r="F46" s="513" t="str">
        <f>IF(女子一覧表!B26="","",VLOOKUP(B46,女子一覧表!$B$13:$F$37,3,FALSE))</f>
        <v/>
      </c>
      <c r="G46" s="514" t="str">
        <f>IF(D46="","",女子一覧表!$A$7)</f>
        <v/>
      </c>
      <c r="H46" s="517" t="s">
        <v>630</v>
      </c>
      <c r="I46" s="1653" t="str">
        <f>IF(女子一覧表!L26="","",女子一覧表!B26)</f>
        <v/>
      </c>
      <c r="J46" s="1654"/>
      <c r="K46" s="1655" t="str">
        <f>IF(女子一覧表!L26="","",VLOOKUP(I46,女子一覧表!$B$13:$F$37,2,FALSE))</f>
        <v/>
      </c>
      <c r="L46" s="1656"/>
      <c r="M46" s="513" t="str">
        <f>IF(女子一覧表!L26="","",VLOOKUP(I46,女子一覧表!$B$13:$F$37,3,FALSE))</f>
        <v/>
      </c>
      <c r="N46" s="514" t="str">
        <f>IF(K46="","",女子一覧表!$A$7)</f>
        <v/>
      </c>
    </row>
    <row r="47" spans="1:14" s="228" customFormat="1" ht="13.5" customHeight="1">
      <c r="A47" s="1578" t="s">
        <v>501</v>
      </c>
      <c r="B47" s="1579"/>
      <c r="C47" s="1580" t="str">
        <f>女子一覧表!Y27</f>
        <v/>
      </c>
      <c r="D47" s="1579"/>
      <c r="E47" s="227" t="s">
        <v>511</v>
      </c>
      <c r="F47" s="1657">
        <f>女子一覧表!J27</f>
        <v>0</v>
      </c>
      <c r="G47" s="1582"/>
      <c r="H47" s="1578" t="s">
        <v>501</v>
      </c>
      <c r="I47" s="1579"/>
      <c r="J47" s="1580" t="str">
        <f>女子一覧表!Z27</f>
        <v/>
      </c>
      <c r="K47" s="1579"/>
      <c r="L47" s="227" t="s">
        <v>511</v>
      </c>
      <c r="M47" s="1657">
        <f>女子一覧表!M27</f>
        <v>0</v>
      </c>
      <c r="N47" s="1582"/>
    </row>
    <row r="48" spans="1:14" s="228" customFormat="1" ht="10.5">
      <c r="A48" s="229" t="s">
        <v>542</v>
      </c>
      <c r="B48" s="1585" t="s">
        <v>543</v>
      </c>
      <c r="C48" s="1585"/>
      <c r="D48" s="1589" t="s">
        <v>544</v>
      </c>
      <c r="E48" s="1589"/>
      <c r="F48" s="230" t="s">
        <v>545</v>
      </c>
      <c r="G48" s="232" t="s">
        <v>546</v>
      </c>
      <c r="H48" s="231" t="s">
        <v>542</v>
      </c>
      <c r="I48" s="1585" t="s">
        <v>543</v>
      </c>
      <c r="J48" s="1585"/>
      <c r="K48" s="1589" t="s">
        <v>544</v>
      </c>
      <c r="L48" s="1589"/>
      <c r="M48" s="230" t="s">
        <v>545</v>
      </c>
      <c r="N48" s="232" t="s">
        <v>546</v>
      </c>
    </row>
    <row r="49" spans="1:16" s="510" customFormat="1" ht="24.95" customHeight="1">
      <c r="A49" s="516" t="s">
        <v>634</v>
      </c>
      <c r="B49" s="1653">
        <f>女子一覧表!B27</f>
        <v>0</v>
      </c>
      <c r="C49" s="1654"/>
      <c r="D49" s="1655" t="str">
        <f>IF(女子一覧表!B27="","",VLOOKUP(B49,女子一覧表!$B$13:$F$37,2,FALSE))</f>
        <v/>
      </c>
      <c r="E49" s="1656"/>
      <c r="F49" s="513" t="str">
        <f>IF(女子一覧表!B27="","",VLOOKUP(B49,女子一覧表!$B$13:$F$37,3,FALSE))</f>
        <v/>
      </c>
      <c r="G49" s="514" t="str">
        <f>IF(D49="","",女子一覧表!$A$7)</f>
        <v/>
      </c>
      <c r="H49" s="517" t="s">
        <v>634</v>
      </c>
      <c r="I49" s="1653" t="str">
        <f>IF(女子一覧表!L27="","",女子一覧表!B27)</f>
        <v/>
      </c>
      <c r="J49" s="1654"/>
      <c r="K49" s="1655" t="str">
        <f>IF(女子一覧表!L27="","",VLOOKUP(I49,女子一覧表!$B$13:$F$37,2,FALSE))</f>
        <v/>
      </c>
      <c r="L49" s="1656"/>
      <c r="M49" s="513" t="str">
        <f>IF(女子一覧表!L27="","",VLOOKUP(I49,女子一覧表!$B$13:$F$37,3,FALSE))</f>
        <v/>
      </c>
      <c r="N49" s="514" t="str">
        <f>IF(K49="","",女子一覧表!$A$7)</f>
        <v/>
      </c>
    </row>
    <row r="50" spans="1:16" s="228" customFormat="1" ht="13.5" customHeight="1">
      <c r="A50" s="1578" t="s">
        <v>501</v>
      </c>
      <c r="B50" s="1579"/>
      <c r="C50" s="1580" t="str">
        <f>女子一覧表!Y28</f>
        <v/>
      </c>
      <c r="D50" s="1579"/>
      <c r="E50" s="227" t="s">
        <v>511</v>
      </c>
      <c r="F50" s="1657">
        <f>女子一覧表!J28</f>
        <v>0</v>
      </c>
      <c r="G50" s="1582"/>
      <c r="H50" s="1578" t="s">
        <v>501</v>
      </c>
      <c r="I50" s="1579"/>
      <c r="J50" s="1580" t="str">
        <f>女子一覧表!Z28</f>
        <v/>
      </c>
      <c r="K50" s="1579"/>
      <c r="L50" s="227" t="s">
        <v>511</v>
      </c>
      <c r="M50" s="1657">
        <f>女子一覧表!M28</f>
        <v>0</v>
      </c>
      <c r="N50" s="1582"/>
      <c r="P50" s="233"/>
    </row>
    <row r="51" spans="1:16" s="228" customFormat="1" ht="10.5">
      <c r="A51" s="229" t="s">
        <v>542</v>
      </c>
      <c r="B51" s="1585" t="s">
        <v>543</v>
      </c>
      <c r="C51" s="1585"/>
      <c r="D51" s="1589" t="s">
        <v>544</v>
      </c>
      <c r="E51" s="1589"/>
      <c r="F51" s="230" t="s">
        <v>545</v>
      </c>
      <c r="G51" s="232" t="s">
        <v>546</v>
      </c>
      <c r="H51" s="231" t="s">
        <v>542</v>
      </c>
      <c r="I51" s="1585" t="s">
        <v>543</v>
      </c>
      <c r="J51" s="1585"/>
      <c r="K51" s="1589" t="s">
        <v>544</v>
      </c>
      <c r="L51" s="1589"/>
      <c r="M51" s="230" t="s">
        <v>545</v>
      </c>
      <c r="N51" s="232" t="s">
        <v>546</v>
      </c>
    </row>
    <row r="52" spans="1:16" s="510" customFormat="1" ht="24.95" customHeight="1">
      <c r="A52" s="516" t="s">
        <v>634</v>
      </c>
      <c r="B52" s="1653">
        <f>女子一覧表!B28</f>
        <v>0</v>
      </c>
      <c r="C52" s="1654"/>
      <c r="D52" s="1655" t="str">
        <f>IF(女子一覧表!B28="","",VLOOKUP(B52,女子一覧表!$B$13:$F$37,2,FALSE))</f>
        <v/>
      </c>
      <c r="E52" s="1656"/>
      <c r="F52" s="513" t="str">
        <f>IF(女子一覧表!B28="","",VLOOKUP(B52,女子一覧表!$B$13:$F$37,3,FALSE))</f>
        <v/>
      </c>
      <c r="G52" s="514" t="str">
        <f>IF(D52="","",女子一覧表!$A$7)</f>
        <v/>
      </c>
      <c r="H52" s="517" t="s">
        <v>634</v>
      </c>
      <c r="I52" s="1653" t="str">
        <f>IF(女子一覧表!L28="","",女子一覧表!B28)</f>
        <v/>
      </c>
      <c r="J52" s="1654"/>
      <c r="K52" s="1655" t="str">
        <f>IF(女子一覧表!L28="","",VLOOKUP(I52,女子一覧表!$B$13:$F$37,2,FALSE))</f>
        <v/>
      </c>
      <c r="L52" s="1656"/>
      <c r="M52" s="513" t="str">
        <f>IF(女子一覧表!L28="","",VLOOKUP(I52,女子一覧表!$B$13:$F$37,3,FALSE))</f>
        <v/>
      </c>
      <c r="N52" s="514" t="str">
        <f>IF(K52="","",女子一覧表!$A$7)</f>
        <v/>
      </c>
    </row>
    <row r="53" spans="1:16" s="228" customFormat="1" ht="13.5" customHeight="1">
      <c r="A53" s="1578" t="s">
        <v>501</v>
      </c>
      <c r="B53" s="1579"/>
      <c r="C53" s="1580" t="str">
        <f>女子一覧表!Y29</f>
        <v/>
      </c>
      <c r="D53" s="1579"/>
      <c r="E53" s="227" t="s">
        <v>511</v>
      </c>
      <c r="F53" s="1657">
        <f>女子一覧表!J29</f>
        <v>0</v>
      </c>
      <c r="G53" s="1582"/>
      <c r="H53" s="1578" t="s">
        <v>501</v>
      </c>
      <c r="I53" s="1579"/>
      <c r="J53" s="1580" t="str">
        <f>女子一覧表!Z29</f>
        <v/>
      </c>
      <c r="K53" s="1579"/>
      <c r="L53" s="227" t="s">
        <v>511</v>
      </c>
      <c r="M53" s="1657">
        <f>女子一覧表!M29</f>
        <v>0</v>
      </c>
      <c r="N53" s="1582"/>
    </row>
    <row r="54" spans="1:16" s="228" customFormat="1" ht="10.5">
      <c r="A54" s="229" t="s">
        <v>542</v>
      </c>
      <c r="B54" s="1585" t="s">
        <v>543</v>
      </c>
      <c r="C54" s="1585"/>
      <c r="D54" s="1589" t="s">
        <v>544</v>
      </c>
      <c r="E54" s="1589"/>
      <c r="F54" s="230" t="s">
        <v>545</v>
      </c>
      <c r="G54" s="232" t="s">
        <v>546</v>
      </c>
      <c r="H54" s="231" t="s">
        <v>542</v>
      </c>
      <c r="I54" s="1585" t="s">
        <v>543</v>
      </c>
      <c r="J54" s="1585"/>
      <c r="K54" s="1589" t="s">
        <v>544</v>
      </c>
      <c r="L54" s="1589"/>
      <c r="M54" s="230" t="s">
        <v>545</v>
      </c>
      <c r="N54" s="232" t="s">
        <v>546</v>
      </c>
    </row>
    <row r="55" spans="1:16" s="510" customFormat="1" ht="24.95" customHeight="1">
      <c r="A55" s="516" t="s">
        <v>632</v>
      </c>
      <c r="B55" s="1653">
        <f>女子一覧表!B29</f>
        <v>0</v>
      </c>
      <c r="C55" s="1654"/>
      <c r="D55" s="1655" t="str">
        <f>IF(女子一覧表!B29="","",VLOOKUP(B55,女子一覧表!$B$13:$F$37,2,FALSE))</f>
        <v/>
      </c>
      <c r="E55" s="1656"/>
      <c r="F55" s="513" t="str">
        <f>IF(女子一覧表!B29="","",VLOOKUP(B55,女子一覧表!$B$13:$F$37,3,FALSE))</f>
        <v/>
      </c>
      <c r="G55" s="514" t="str">
        <f>IF(D55="","",女子一覧表!$A$7)</f>
        <v/>
      </c>
      <c r="H55" s="517" t="s">
        <v>632</v>
      </c>
      <c r="I55" s="1653" t="str">
        <f>IF(女子一覧表!L29="","",女子一覧表!B29)</f>
        <v/>
      </c>
      <c r="J55" s="1654"/>
      <c r="K55" s="1655" t="str">
        <f>IF(女子一覧表!L29="","",VLOOKUP(I55,女子一覧表!$B$13:$F$37,2,FALSE))</f>
        <v/>
      </c>
      <c r="L55" s="1656"/>
      <c r="M55" s="513" t="str">
        <f>IF(女子一覧表!L29="","",VLOOKUP(I55,女子一覧表!$B$13:$F$37,3,FALSE))</f>
        <v/>
      </c>
      <c r="N55" s="514" t="str">
        <f>IF(K55="","",女子一覧表!$A$7)</f>
        <v/>
      </c>
    </row>
    <row r="56" spans="1:16" s="228" customFormat="1" ht="13.5" customHeight="1">
      <c r="A56" s="1578" t="s">
        <v>501</v>
      </c>
      <c r="B56" s="1579"/>
      <c r="C56" s="1580" t="str">
        <f>女子一覧表!Y30</f>
        <v/>
      </c>
      <c r="D56" s="1579"/>
      <c r="E56" s="227" t="s">
        <v>511</v>
      </c>
      <c r="F56" s="1657">
        <f>女子一覧表!J30</f>
        <v>0</v>
      </c>
      <c r="G56" s="1582"/>
      <c r="H56" s="1578" t="s">
        <v>501</v>
      </c>
      <c r="I56" s="1579"/>
      <c r="J56" s="1580" t="str">
        <f>女子一覧表!Z30</f>
        <v/>
      </c>
      <c r="K56" s="1579"/>
      <c r="L56" s="227" t="s">
        <v>511</v>
      </c>
      <c r="M56" s="1657">
        <f>女子一覧表!M30</f>
        <v>0</v>
      </c>
      <c r="N56" s="1582"/>
    </row>
    <row r="57" spans="1:16" s="228" customFormat="1" ht="10.5">
      <c r="A57" s="229" t="s">
        <v>542</v>
      </c>
      <c r="B57" s="1585" t="s">
        <v>543</v>
      </c>
      <c r="C57" s="1585"/>
      <c r="D57" s="1589" t="s">
        <v>544</v>
      </c>
      <c r="E57" s="1589"/>
      <c r="F57" s="230" t="s">
        <v>545</v>
      </c>
      <c r="G57" s="232" t="s">
        <v>546</v>
      </c>
      <c r="H57" s="231" t="s">
        <v>542</v>
      </c>
      <c r="I57" s="1585" t="s">
        <v>543</v>
      </c>
      <c r="J57" s="1585"/>
      <c r="K57" s="1589" t="s">
        <v>544</v>
      </c>
      <c r="L57" s="1589"/>
      <c r="M57" s="230" t="s">
        <v>545</v>
      </c>
      <c r="N57" s="232" t="s">
        <v>546</v>
      </c>
    </row>
    <row r="58" spans="1:16" s="510" customFormat="1" ht="24.95" customHeight="1">
      <c r="A58" s="516" t="s">
        <v>635</v>
      </c>
      <c r="B58" s="1653">
        <f>女子一覧表!B30</f>
        <v>0</v>
      </c>
      <c r="C58" s="1654"/>
      <c r="D58" s="1655" t="str">
        <f>IF(女子一覧表!B30="","",VLOOKUP(B58,女子一覧表!$B$13:$F$37,2,FALSE))</f>
        <v/>
      </c>
      <c r="E58" s="1656"/>
      <c r="F58" s="513" t="str">
        <f>IF(女子一覧表!B30="","",VLOOKUP(B58,女子一覧表!$B$13:$F$37,3,FALSE))</f>
        <v/>
      </c>
      <c r="G58" s="514" t="str">
        <f>IF(D58="","",女子一覧表!$A$7)</f>
        <v/>
      </c>
      <c r="H58" s="517" t="s">
        <v>635</v>
      </c>
      <c r="I58" s="1653" t="str">
        <f>IF(女子一覧表!L30="","",女子一覧表!B30)</f>
        <v/>
      </c>
      <c r="J58" s="1654"/>
      <c r="K58" s="1655" t="str">
        <f>IF(女子一覧表!L30="","",VLOOKUP(I58,女子一覧表!$B$13:$F$37,2,FALSE))</f>
        <v/>
      </c>
      <c r="L58" s="1656"/>
      <c r="M58" s="513" t="str">
        <f>IF(女子一覧表!L30="","",VLOOKUP(I58,女子一覧表!$B$13:$F$37,3,FALSE))</f>
        <v/>
      </c>
      <c r="N58" s="514" t="str">
        <f>IF(K58="","",女子一覧表!$A$7)</f>
        <v/>
      </c>
    </row>
    <row r="59" spans="1:16" s="228" customFormat="1" ht="13.5" customHeight="1">
      <c r="A59" s="1578" t="s">
        <v>501</v>
      </c>
      <c r="B59" s="1579"/>
      <c r="C59" s="1580" t="str">
        <f>女子一覧表!Y31</f>
        <v/>
      </c>
      <c r="D59" s="1579"/>
      <c r="E59" s="227" t="s">
        <v>511</v>
      </c>
      <c r="F59" s="1657">
        <f>女子一覧表!J31</f>
        <v>0</v>
      </c>
      <c r="G59" s="1582"/>
      <c r="H59" s="1578" t="s">
        <v>501</v>
      </c>
      <c r="I59" s="1579"/>
      <c r="J59" s="1580" t="str">
        <f>女子一覧表!Z31</f>
        <v/>
      </c>
      <c r="K59" s="1579"/>
      <c r="L59" s="227" t="s">
        <v>511</v>
      </c>
      <c r="M59" s="1657">
        <f>女子一覧表!M31</f>
        <v>0</v>
      </c>
      <c r="N59" s="1582"/>
    </row>
    <row r="60" spans="1:16" s="228" customFormat="1" ht="10.5">
      <c r="A60" s="229" t="s">
        <v>542</v>
      </c>
      <c r="B60" s="1585" t="s">
        <v>543</v>
      </c>
      <c r="C60" s="1585"/>
      <c r="D60" s="1589" t="s">
        <v>544</v>
      </c>
      <c r="E60" s="1589"/>
      <c r="F60" s="230" t="s">
        <v>545</v>
      </c>
      <c r="G60" s="232" t="s">
        <v>546</v>
      </c>
      <c r="H60" s="231" t="s">
        <v>542</v>
      </c>
      <c r="I60" s="1585" t="s">
        <v>543</v>
      </c>
      <c r="J60" s="1585"/>
      <c r="K60" s="1589" t="s">
        <v>544</v>
      </c>
      <c r="L60" s="1589"/>
      <c r="M60" s="230" t="s">
        <v>545</v>
      </c>
      <c r="N60" s="232" t="s">
        <v>546</v>
      </c>
    </row>
    <row r="61" spans="1:16" s="510" customFormat="1" ht="24.95" customHeight="1">
      <c r="A61" s="516" t="s">
        <v>635</v>
      </c>
      <c r="B61" s="1653">
        <f>女子一覧表!B31</f>
        <v>0</v>
      </c>
      <c r="C61" s="1654"/>
      <c r="D61" s="1655" t="str">
        <f>IF(女子一覧表!B31="","",VLOOKUP(B61,女子一覧表!$B$13:$F$37,2,FALSE))</f>
        <v/>
      </c>
      <c r="E61" s="1656"/>
      <c r="F61" s="513" t="str">
        <f>IF(女子一覧表!B31="","",VLOOKUP(B61,女子一覧表!$B$13:$F$37,3,FALSE))</f>
        <v/>
      </c>
      <c r="G61" s="514" t="str">
        <f>IF(D61="","",女子一覧表!$A$7)</f>
        <v/>
      </c>
      <c r="H61" s="517" t="s">
        <v>635</v>
      </c>
      <c r="I61" s="1653" t="str">
        <f>IF(女子一覧表!L31="","",女子一覧表!B31)</f>
        <v/>
      </c>
      <c r="J61" s="1654"/>
      <c r="K61" s="1655" t="str">
        <f>IF(女子一覧表!L31="","",VLOOKUP(I61,女子一覧表!$B$13:$F$37,2,FALSE))</f>
        <v/>
      </c>
      <c r="L61" s="1656"/>
      <c r="M61" s="513" t="str">
        <f>IF(女子一覧表!L31="","",VLOOKUP(I61,女子一覧表!$B$13:$F$37,3,FALSE))</f>
        <v/>
      </c>
      <c r="N61" s="514" t="str">
        <f>IF(K61="","",女子一覧表!$A$7)</f>
        <v/>
      </c>
    </row>
    <row r="62" spans="1:16" s="228" customFormat="1" ht="13.5" customHeight="1">
      <c r="A62" s="1578" t="s">
        <v>501</v>
      </c>
      <c r="B62" s="1579"/>
      <c r="C62" s="1580" t="str">
        <f>女子一覧表!Y32</f>
        <v/>
      </c>
      <c r="D62" s="1579"/>
      <c r="E62" s="227" t="s">
        <v>511</v>
      </c>
      <c r="F62" s="1657">
        <f>女子一覧表!J32</f>
        <v>0</v>
      </c>
      <c r="G62" s="1582"/>
      <c r="H62" s="1578" t="s">
        <v>501</v>
      </c>
      <c r="I62" s="1579"/>
      <c r="J62" s="1580" t="str">
        <f>女子一覧表!Z32</f>
        <v/>
      </c>
      <c r="K62" s="1579"/>
      <c r="L62" s="227" t="s">
        <v>511</v>
      </c>
      <c r="M62" s="1657">
        <f>女子一覧表!M32</f>
        <v>0</v>
      </c>
      <c r="N62" s="1582"/>
    </row>
    <row r="63" spans="1:16" s="228" customFormat="1" ht="10.5">
      <c r="A63" s="229" t="s">
        <v>542</v>
      </c>
      <c r="B63" s="1585" t="s">
        <v>543</v>
      </c>
      <c r="C63" s="1585"/>
      <c r="D63" s="1589" t="s">
        <v>544</v>
      </c>
      <c r="E63" s="1589"/>
      <c r="F63" s="230" t="s">
        <v>545</v>
      </c>
      <c r="G63" s="232" t="s">
        <v>546</v>
      </c>
      <c r="H63" s="231" t="s">
        <v>542</v>
      </c>
      <c r="I63" s="1585" t="s">
        <v>543</v>
      </c>
      <c r="J63" s="1585"/>
      <c r="K63" s="1589" t="s">
        <v>544</v>
      </c>
      <c r="L63" s="1589"/>
      <c r="M63" s="230" t="s">
        <v>545</v>
      </c>
      <c r="N63" s="232" t="s">
        <v>546</v>
      </c>
    </row>
    <row r="64" spans="1:16" s="510" customFormat="1" ht="24.95" customHeight="1">
      <c r="A64" s="516" t="s">
        <v>630</v>
      </c>
      <c r="B64" s="1653">
        <f>女子一覧表!B32</f>
        <v>0</v>
      </c>
      <c r="C64" s="1654"/>
      <c r="D64" s="1655" t="str">
        <f>IF(女子一覧表!B32="","",VLOOKUP(B64,女子一覧表!$B$13:$F$37,2,FALSE))</f>
        <v/>
      </c>
      <c r="E64" s="1656"/>
      <c r="F64" s="513" t="str">
        <f>IF(女子一覧表!B32="","",VLOOKUP(B64,女子一覧表!$B$13:$F$37,3,FALSE))</f>
        <v/>
      </c>
      <c r="G64" s="514" t="str">
        <f>IF(D64="","",女子一覧表!$A$7)</f>
        <v/>
      </c>
      <c r="H64" s="517" t="s">
        <v>630</v>
      </c>
      <c r="I64" s="1653" t="str">
        <f>IF(女子一覧表!L32="","",女子一覧表!B32)</f>
        <v/>
      </c>
      <c r="J64" s="1654"/>
      <c r="K64" s="1655" t="str">
        <f>IF(女子一覧表!L32="","",VLOOKUP(I64,女子一覧表!$B$13:$F$37,2,FALSE))</f>
        <v/>
      </c>
      <c r="L64" s="1656"/>
      <c r="M64" s="513" t="str">
        <f>IF(女子一覧表!L32="","",VLOOKUP(I64,女子一覧表!$B$13:$F$37,3,FALSE))</f>
        <v/>
      </c>
      <c r="N64" s="514" t="str">
        <f>IF(K64="","",女子一覧表!$A$7)</f>
        <v/>
      </c>
    </row>
    <row r="65" spans="1:14" s="228" customFormat="1" ht="13.5" customHeight="1">
      <c r="A65" s="1578" t="s">
        <v>501</v>
      </c>
      <c r="B65" s="1579"/>
      <c r="C65" s="1580" t="str">
        <f>女子一覧表!Y33</f>
        <v/>
      </c>
      <c r="D65" s="1579"/>
      <c r="E65" s="227" t="s">
        <v>511</v>
      </c>
      <c r="F65" s="1657">
        <f>女子一覧表!J33</f>
        <v>0</v>
      </c>
      <c r="G65" s="1582"/>
      <c r="H65" s="1578" t="s">
        <v>501</v>
      </c>
      <c r="I65" s="1579"/>
      <c r="J65" s="1580" t="str">
        <f>女子一覧表!Z33</f>
        <v/>
      </c>
      <c r="K65" s="1579"/>
      <c r="L65" s="227" t="s">
        <v>511</v>
      </c>
      <c r="M65" s="1657">
        <f>女子一覧表!M33</f>
        <v>0</v>
      </c>
      <c r="N65" s="1582"/>
    </row>
    <row r="66" spans="1:14" s="228" customFormat="1" ht="10.5">
      <c r="A66" s="229" t="s">
        <v>542</v>
      </c>
      <c r="B66" s="1585" t="s">
        <v>543</v>
      </c>
      <c r="C66" s="1585"/>
      <c r="D66" s="1589" t="s">
        <v>544</v>
      </c>
      <c r="E66" s="1589"/>
      <c r="F66" s="230" t="s">
        <v>545</v>
      </c>
      <c r="G66" s="232" t="s">
        <v>546</v>
      </c>
      <c r="H66" s="231" t="s">
        <v>542</v>
      </c>
      <c r="I66" s="1585" t="s">
        <v>543</v>
      </c>
      <c r="J66" s="1585"/>
      <c r="K66" s="1589" t="s">
        <v>544</v>
      </c>
      <c r="L66" s="1589"/>
      <c r="M66" s="230" t="s">
        <v>545</v>
      </c>
      <c r="N66" s="232" t="s">
        <v>546</v>
      </c>
    </row>
    <row r="67" spans="1:14" s="510" customFormat="1" ht="24.95" customHeight="1">
      <c r="A67" s="516" t="s">
        <v>630</v>
      </c>
      <c r="B67" s="1653">
        <f>女子一覧表!B33</f>
        <v>0</v>
      </c>
      <c r="C67" s="1654"/>
      <c r="D67" s="1655" t="str">
        <f>IF(女子一覧表!B33="","",VLOOKUP(B67,女子一覧表!$B$13:$F$37,2,FALSE))</f>
        <v/>
      </c>
      <c r="E67" s="1656"/>
      <c r="F67" s="513" t="str">
        <f>IF(女子一覧表!B33="","",VLOOKUP(B67,女子一覧表!$B$13:$F$37,3,FALSE))</f>
        <v/>
      </c>
      <c r="G67" s="514" t="str">
        <f>IF(D67="","",女子一覧表!$A$7)</f>
        <v/>
      </c>
      <c r="H67" s="517" t="s">
        <v>630</v>
      </c>
      <c r="I67" s="1653" t="str">
        <f>IF(女子一覧表!L33="","",女子一覧表!B33)</f>
        <v/>
      </c>
      <c r="J67" s="1654"/>
      <c r="K67" s="1655" t="str">
        <f>IF(女子一覧表!L33="","",VLOOKUP(I67,女子一覧表!$B$13:$F$37,2,FALSE))</f>
        <v/>
      </c>
      <c r="L67" s="1656"/>
      <c r="M67" s="513" t="str">
        <f>IF(女子一覧表!L33="","",VLOOKUP(I67,女子一覧表!$B$13:$F$37,3,FALSE))</f>
        <v/>
      </c>
      <c r="N67" s="514" t="str">
        <f>IF(K67="","",女子一覧表!$A$7)</f>
        <v/>
      </c>
    </row>
    <row r="68" spans="1:14" s="228" customFormat="1" ht="13.5" customHeight="1">
      <c r="A68" s="1578" t="s">
        <v>501</v>
      </c>
      <c r="B68" s="1579"/>
      <c r="C68" s="1580" t="str">
        <f>女子一覧表!Y34</f>
        <v/>
      </c>
      <c r="D68" s="1579"/>
      <c r="E68" s="227" t="s">
        <v>511</v>
      </c>
      <c r="F68" s="1657">
        <f>女子一覧表!J34</f>
        <v>0</v>
      </c>
      <c r="G68" s="1582"/>
      <c r="H68" s="1578" t="s">
        <v>501</v>
      </c>
      <c r="I68" s="1579"/>
      <c r="J68" s="1580" t="str">
        <f>女子一覧表!Z34</f>
        <v/>
      </c>
      <c r="K68" s="1579"/>
      <c r="L68" s="227" t="s">
        <v>511</v>
      </c>
      <c r="M68" s="1657">
        <f>女子一覧表!M34</f>
        <v>0</v>
      </c>
      <c r="N68" s="1582"/>
    </row>
    <row r="69" spans="1:14" s="228" customFormat="1" ht="10.5">
      <c r="A69" s="229" t="s">
        <v>542</v>
      </c>
      <c r="B69" s="1583" t="s">
        <v>543</v>
      </c>
      <c r="C69" s="1584"/>
      <c r="D69" s="1590" t="s">
        <v>544</v>
      </c>
      <c r="E69" s="1591"/>
      <c r="F69" s="230" t="s">
        <v>545</v>
      </c>
      <c r="G69" s="232" t="s">
        <v>546</v>
      </c>
      <c r="H69" s="231" t="s">
        <v>542</v>
      </c>
      <c r="I69" s="1583" t="s">
        <v>543</v>
      </c>
      <c r="J69" s="1584"/>
      <c r="K69" s="1590" t="s">
        <v>544</v>
      </c>
      <c r="L69" s="1591"/>
      <c r="M69" s="230" t="s">
        <v>545</v>
      </c>
      <c r="N69" s="232" t="s">
        <v>546</v>
      </c>
    </row>
    <row r="70" spans="1:14" s="510" customFormat="1" ht="24.95" customHeight="1">
      <c r="A70" s="518" t="s">
        <v>630</v>
      </c>
      <c r="B70" s="1658">
        <f>女子一覧表!B34</f>
        <v>0</v>
      </c>
      <c r="C70" s="1659"/>
      <c r="D70" s="1660" t="str">
        <f>IF(女子一覧表!B34="","",VLOOKUP(B70,女子一覧表!$B$13:$F$37,2,FALSE))</f>
        <v/>
      </c>
      <c r="E70" s="1661"/>
      <c r="F70" s="515" t="str">
        <f>IF(女子一覧表!B34="","",VLOOKUP(B70,女子一覧表!$B$13:$F$37,3,FALSE))</f>
        <v/>
      </c>
      <c r="G70" s="514" t="str">
        <f>IF(D70="","",女子一覧表!$A$7)</f>
        <v/>
      </c>
      <c r="H70" s="519" t="s">
        <v>630</v>
      </c>
      <c r="I70" s="1653" t="str">
        <f>IF(女子一覧表!L34="","",女子一覧表!B34)</f>
        <v/>
      </c>
      <c r="J70" s="1654"/>
      <c r="K70" s="1660" t="str">
        <f>IF(女子一覧表!L34="","",VLOOKUP(I70,女子一覧表!$B$13:$F$37,2,FALSE))</f>
        <v/>
      </c>
      <c r="L70" s="1661"/>
      <c r="M70" s="515" t="str">
        <f>IF(女子一覧表!L34="","",VLOOKUP(I70,女子一覧表!$B$13:$F$37,3,FALSE))</f>
        <v/>
      </c>
      <c r="N70" s="514" t="str">
        <f>IF(K70="","",女子一覧表!$A$7)</f>
        <v/>
      </c>
    </row>
    <row r="71" spans="1:14" s="228" customFormat="1" ht="13.5" customHeight="1">
      <c r="A71" s="1578" t="s">
        <v>501</v>
      </c>
      <c r="B71" s="1579"/>
      <c r="C71" s="1580" t="str">
        <f>女子一覧表!Y35</f>
        <v/>
      </c>
      <c r="D71" s="1579"/>
      <c r="E71" s="227" t="s">
        <v>511</v>
      </c>
      <c r="F71" s="1657">
        <f>女子一覧表!J35</f>
        <v>0</v>
      </c>
      <c r="G71" s="1582"/>
      <c r="H71" s="1578" t="s">
        <v>501</v>
      </c>
      <c r="I71" s="1579"/>
      <c r="J71" s="1580" t="str">
        <f>女子一覧表!Z35</f>
        <v/>
      </c>
      <c r="K71" s="1579"/>
      <c r="L71" s="227" t="s">
        <v>511</v>
      </c>
      <c r="M71" s="1657">
        <f>女子一覧表!M35</f>
        <v>0</v>
      </c>
      <c r="N71" s="1582"/>
    </row>
    <row r="72" spans="1:14" s="228" customFormat="1" ht="10.5">
      <c r="A72" s="229" t="s">
        <v>542</v>
      </c>
      <c r="B72" s="1585" t="s">
        <v>543</v>
      </c>
      <c r="C72" s="1585"/>
      <c r="D72" s="1589" t="s">
        <v>544</v>
      </c>
      <c r="E72" s="1589"/>
      <c r="F72" s="230" t="s">
        <v>545</v>
      </c>
      <c r="G72" s="232" t="s">
        <v>546</v>
      </c>
      <c r="H72" s="231" t="s">
        <v>542</v>
      </c>
      <c r="I72" s="1585" t="s">
        <v>543</v>
      </c>
      <c r="J72" s="1585"/>
      <c r="K72" s="1589" t="s">
        <v>544</v>
      </c>
      <c r="L72" s="1589"/>
      <c r="M72" s="230" t="s">
        <v>545</v>
      </c>
      <c r="N72" s="232" t="s">
        <v>546</v>
      </c>
    </row>
    <row r="73" spans="1:14" s="510" customFormat="1" ht="24.95" customHeight="1">
      <c r="A73" s="516" t="s">
        <v>630</v>
      </c>
      <c r="B73" s="1653">
        <f>女子一覧表!B35</f>
        <v>0</v>
      </c>
      <c r="C73" s="1654"/>
      <c r="D73" s="1655" t="str">
        <f>IF(女子一覧表!B35="","",VLOOKUP(B73,女子一覧表!$B$13:$F$37,2,FALSE))</f>
        <v/>
      </c>
      <c r="E73" s="1656"/>
      <c r="F73" s="513" t="str">
        <f>IF(女子一覧表!B35="","",VLOOKUP(B73,女子一覧表!$B$13:$F$37,3,FALSE))</f>
        <v/>
      </c>
      <c r="G73" s="514" t="str">
        <f>IF(D73="","",女子一覧表!$A$7)</f>
        <v/>
      </c>
      <c r="H73" s="517" t="s">
        <v>630</v>
      </c>
      <c r="I73" s="1653" t="str">
        <f>IF(女子一覧表!L35="","",女子一覧表!B35)</f>
        <v/>
      </c>
      <c r="J73" s="1654"/>
      <c r="K73" s="1655" t="str">
        <f>IF(女子一覧表!L35="","",VLOOKUP(I73,女子一覧表!$B$13:$F$37,2,FALSE))</f>
        <v/>
      </c>
      <c r="L73" s="1656"/>
      <c r="M73" s="513" t="str">
        <f>IF(女子一覧表!L35="","",VLOOKUP(I73,女子一覧表!$B$13:$F$37,3,FALSE))</f>
        <v/>
      </c>
      <c r="N73" s="514" t="str">
        <f>IF(K73="","",女子一覧表!$A$7)</f>
        <v/>
      </c>
    </row>
    <row r="74" spans="1:14" s="228" customFormat="1" ht="13.5" customHeight="1">
      <c r="A74" s="1578" t="s">
        <v>501</v>
      </c>
      <c r="B74" s="1579"/>
      <c r="C74" s="1580" t="str">
        <f>女子一覧表!Y36</f>
        <v/>
      </c>
      <c r="D74" s="1579"/>
      <c r="E74" s="227" t="s">
        <v>511</v>
      </c>
      <c r="F74" s="1657">
        <f>女子一覧表!J36</f>
        <v>0</v>
      </c>
      <c r="G74" s="1582"/>
      <c r="H74" s="1578" t="s">
        <v>501</v>
      </c>
      <c r="I74" s="1579"/>
      <c r="J74" s="1580" t="str">
        <f>女子一覧表!Z36</f>
        <v/>
      </c>
      <c r="K74" s="1579"/>
      <c r="L74" s="227" t="s">
        <v>511</v>
      </c>
      <c r="M74" s="1657">
        <f>女子一覧表!M36</f>
        <v>0</v>
      </c>
      <c r="N74" s="1582"/>
    </row>
    <row r="75" spans="1:14" s="228" customFormat="1" ht="10.5">
      <c r="A75" s="229" t="s">
        <v>542</v>
      </c>
      <c r="B75" s="1585" t="s">
        <v>543</v>
      </c>
      <c r="C75" s="1585"/>
      <c r="D75" s="1589" t="s">
        <v>544</v>
      </c>
      <c r="E75" s="1589"/>
      <c r="F75" s="230" t="s">
        <v>545</v>
      </c>
      <c r="G75" s="232" t="s">
        <v>546</v>
      </c>
      <c r="H75" s="231" t="s">
        <v>542</v>
      </c>
      <c r="I75" s="1585" t="s">
        <v>543</v>
      </c>
      <c r="J75" s="1585"/>
      <c r="K75" s="1589" t="s">
        <v>544</v>
      </c>
      <c r="L75" s="1589"/>
      <c r="M75" s="230" t="s">
        <v>545</v>
      </c>
      <c r="N75" s="232" t="s">
        <v>546</v>
      </c>
    </row>
    <row r="76" spans="1:14" s="510" customFormat="1" ht="24.95" customHeight="1">
      <c r="A76" s="516" t="s">
        <v>630</v>
      </c>
      <c r="B76" s="1653">
        <f>女子一覧表!B36</f>
        <v>0</v>
      </c>
      <c r="C76" s="1654"/>
      <c r="D76" s="1655" t="str">
        <f>IF(女子一覧表!B36="","",VLOOKUP(B76,女子一覧表!$B$13:$F$37,2,FALSE))</f>
        <v/>
      </c>
      <c r="E76" s="1656"/>
      <c r="F76" s="513" t="str">
        <f>IF(女子一覧表!B36="","",VLOOKUP(B76,女子一覧表!$B$13:$F$37,3,FALSE))</f>
        <v/>
      </c>
      <c r="G76" s="514" t="str">
        <f>IF(D76="","",女子一覧表!$A$7)</f>
        <v/>
      </c>
      <c r="H76" s="517" t="s">
        <v>630</v>
      </c>
      <c r="I76" s="1653" t="str">
        <f>IF(女子一覧表!L36="","",女子一覧表!B36)</f>
        <v/>
      </c>
      <c r="J76" s="1654"/>
      <c r="K76" s="1655" t="str">
        <f>IF(女子一覧表!L36="","",VLOOKUP(I76,女子一覧表!$B$13:$F$37,2,FALSE))</f>
        <v/>
      </c>
      <c r="L76" s="1656"/>
      <c r="M76" s="513" t="str">
        <f>IF(女子一覧表!L36="","",VLOOKUP(I76,女子一覧表!$B$13:$F$37,3,FALSE))</f>
        <v/>
      </c>
      <c r="N76" s="506" t="str">
        <f>IF(K76="","",女子一覧表!$A$7)</f>
        <v/>
      </c>
    </row>
    <row r="77" spans="1:14" s="228" customFormat="1" ht="13.5" customHeight="1">
      <c r="A77" s="1578" t="s">
        <v>501</v>
      </c>
      <c r="B77" s="1579"/>
      <c r="C77" s="1580" t="str">
        <f>女子一覧表!Y37</f>
        <v/>
      </c>
      <c r="D77" s="1579"/>
      <c r="E77" s="227" t="s">
        <v>511</v>
      </c>
      <c r="F77" s="1657">
        <f>女子一覧表!J37</f>
        <v>0</v>
      </c>
      <c r="G77" s="1582"/>
      <c r="H77" s="1578" t="s">
        <v>501</v>
      </c>
      <c r="I77" s="1579"/>
      <c r="J77" s="1580" t="str">
        <f>女子一覧表!Z37</f>
        <v/>
      </c>
      <c r="K77" s="1579"/>
      <c r="L77" s="227" t="s">
        <v>511</v>
      </c>
      <c r="M77" s="1657">
        <f>女子一覧表!M37</f>
        <v>0</v>
      </c>
      <c r="N77" s="1582"/>
    </row>
    <row r="78" spans="1:14" s="228" customFormat="1" ht="10.5">
      <c r="A78" s="229" t="s">
        <v>542</v>
      </c>
      <c r="B78" s="1583" t="s">
        <v>543</v>
      </c>
      <c r="C78" s="1584"/>
      <c r="D78" s="1590" t="s">
        <v>544</v>
      </c>
      <c r="E78" s="1591"/>
      <c r="F78" s="230" t="s">
        <v>545</v>
      </c>
      <c r="G78" s="232" t="s">
        <v>546</v>
      </c>
      <c r="H78" s="231" t="s">
        <v>542</v>
      </c>
      <c r="I78" s="1583" t="s">
        <v>543</v>
      </c>
      <c r="J78" s="1584"/>
      <c r="K78" s="1590" t="s">
        <v>544</v>
      </c>
      <c r="L78" s="1591"/>
      <c r="M78" s="230" t="s">
        <v>545</v>
      </c>
      <c r="N78" s="232" t="s">
        <v>546</v>
      </c>
    </row>
    <row r="79" spans="1:14" s="510" customFormat="1" ht="24.95" customHeight="1">
      <c r="A79" s="516" t="s">
        <v>630</v>
      </c>
      <c r="B79" s="1653">
        <f>女子一覧表!B37</f>
        <v>0</v>
      </c>
      <c r="C79" s="1654"/>
      <c r="D79" s="1655" t="str">
        <f>IF(女子一覧表!B37="","",VLOOKUP(B79,女子一覧表!$B$13:$F$37,2,FALSE))</f>
        <v/>
      </c>
      <c r="E79" s="1656"/>
      <c r="F79" s="513" t="str">
        <f>IF(女子一覧表!B37="","",VLOOKUP(B79,女子一覧表!$B$13:$F$37,3,FALSE))</f>
        <v/>
      </c>
      <c r="G79" s="514" t="str">
        <f>IF(D79="","",女子一覧表!$A$7)</f>
        <v/>
      </c>
      <c r="H79" s="517" t="s">
        <v>630</v>
      </c>
      <c r="I79" s="1653" t="str">
        <f>IF(女子一覧表!L37="","",女子一覧表!B37)</f>
        <v/>
      </c>
      <c r="J79" s="1654"/>
      <c r="K79" s="1655" t="str">
        <f>IF(女子一覧表!L37="","",VLOOKUP(I79,女子一覧表!$B$13:$F$37,2,FALSE))</f>
        <v/>
      </c>
      <c r="L79" s="1656"/>
      <c r="M79" s="513" t="str">
        <f>IF(女子一覧表!L37="","",VLOOKUP(I79,女子一覧表!$B$13:$F$37,3,FALSE))</f>
        <v/>
      </c>
      <c r="N79" s="514" t="str">
        <f>IF(K79="","",女子一覧表!$A$7)</f>
        <v/>
      </c>
    </row>
    <row r="80" spans="1:14" ht="12">
      <c r="A80" s="1662" t="s">
        <v>563</v>
      </c>
      <c r="B80" s="1662"/>
      <c r="C80" s="1662"/>
      <c r="D80" s="1662"/>
      <c r="E80" s="1662"/>
      <c r="F80" s="1662"/>
      <c r="G80" s="1662"/>
      <c r="H80" s="1662"/>
      <c r="I80" s="1662"/>
      <c r="J80" s="1662"/>
      <c r="K80" s="1662"/>
      <c r="L80" s="1662"/>
      <c r="M80" s="1662"/>
      <c r="N80" s="1662"/>
    </row>
    <row r="81" spans="1:16">
      <c r="A81" s="1592" t="s">
        <v>540</v>
      </c>
      <c r="B81" s="1592"/>
      <c r="C81" s="1592"/>
      <c r="D81" s="1592"/>
      <c r="E81" s="1592"/>
      <c r="F81" s="1592"/>
      <c r="G81" s="1592"/>
      <c r="H81" s="1592" t="s">
        <v>541</v>
      </c>
      <c r="I81" s="1592"/>
      <c r="J81" s="1592"/>
      <c r="K81" s="1592"/>
      <c r="L81" s="1592"/>
      <c r="M81" s="1592"/>
      <c r="N81" s="1592"/>
    </row>
    <row r="82" spans="1:16" s="228" customFormat="1" ht="13.5" customHeight="1">
      <c r="A82" s="1578" t="s">
        <v>501</v>
      </c>
      <c r="B82" s="1579"/>
      <c r="C82" s="1580" t="str">
        <f>女子一覧表!Y54</f>
        <v/>
      </c>
      <c r="D82" s="1579"/>
      <c r="E82" s="227" t="s">
        <v>511</v>
      </c>
      <c r="F82" s="1657">
        <f>女子一覧表!J54</f>
        <v>0</v>
      </c>
      <c r="G82" s="1582"/>
      <c r="H82" s="1578" t="s">
        <v>501</v>
      </c>
      <c r="I82" s="1579"/>
      <c r="J82" s="1580" t="str">
        <f>女子一覧表!Z54</f>
        <v/>
      </c>
      <c r="K82" s="1579"/>
      <c r="L82" s="227" t="s">
        <v>511</v>
      </c>
      <c r="M82" s="1657">
        <f>女子一覧表!M54</f>
        <v>0</v>
      </c>
      <c r="N82" s="1582"/>
    </row>
    <row r="83" spans="1:16" s="228" customFormat="1" ht="10.5">
      <c r="A83" s="229" t="s">
        <v>542</v>
      </c>
      <c r="B83" s="1585" t="s">
        <v>543</v>
      </c>
      <c r="C83" s="1585"/>
      <c r="D83" s="1589" t="s">
        <v>544</v>
      </c>
      <c r="E83" s="1589"/>
      <c r="F83" s="230" t="s">
        <v>545</v>
      </c>
      <c r="G83" s="232" t="s">
        <v>546</v>
      </c>
      <c r="H83" s="231" t="s">
        <v>542</v>
      </c>
      <c r="I83" s="1585" t="s">
        <v>543</v>
      </c>
      <c r="J83" s="1585"/>
      <c r="K83" s="1589" t="s">
        <v>544</v>
      </c>
      <c r="L83" s="1589"/>
      <c r="M83" s="230" t="s">
        <v>545</v>
      </c>
      <c r="N83" s="232" t="s">
        <v>546</v>
      </c>
    </row>
    <row r="84" spans="1:16" s="510" customFormat="1" ht="24.95" customHeight="1">
      <c r="A84" s="516" t="s">
        <v>630</v>
      </c>
      <c r="B84" s="1653">
        <f>女子一覧表!B54</f>
        <v>0</v>
      </c>
      <c r="C84" s="1654"/>
      <c r="D84" s="1655" t="str">
        <f>IF(女子一覧表!B54="","",VLOOKUP(B84,女子一覧表!$B$13:$F$78,2,FALSE))</f>
        <v/>
      </c>
      <c r="E84" s="1656"/>
      <c r="F84" s="513" t="str">
        <f>IF(女子一覧表!B54="","",VLOOKUP(B84,女子一覧表!$B$13:$F$78,3,FALSE))</f>
        <v/>
      </c>
      <c r="G84" s="514" t="str">
        <f>IF(D84="","",女子一覧表!$A$7)</f>
        <v/>
      </c>
      <c r="H84" s="517" t="s">
        <v>630</v>
      </c>
      <c r="I84" s="1653" t="str">
        <f>IF(女子一覧表!L54="","",女子一覧表!B54)</f>
        <v/>
      </c>
      <c r="J84" s="1654"/>
      <c r="K84" s="1655" t="str">
        <f>IF(女子一覧表!L54="","",VLOOKUP(I84,女子一覧表!$B$13:$F$78,2,FALSE))</f>
        <v/>
      </c>
      <c r="L84" s="1656"/>
      <c r="M84" s="513" t="str">
        <f>IF(女子一覧表!L54="","",VLOOKUP(I84,女子一覧表!$B$13:$F$78,3,FALSE))</f>
        <v/>
      </c>
      <c r="N84" s="514" t="str">
        <f>IF(K84="","",女子一覧表!$A$7)</f>
        <v/>
      </c>
    </row>
    <row r="85" spans="1:16" s="228" customFormat="1" ht="13.5" customHeight="1">
      <c r="A85" s="1578" t="s">
        <v>501</v>
      </c>
      <c r="B85" s="1579"/>
      <c r="C85" s="1580" t="str">
        <f>女子一覧表!Y55</f>
        <v/>
      </c>
      <c r="D85" s="1579"/>
      <c r="E85" s="227" t="s">
        <v>511</v>
      </c>
      <c r="F85" s="1657">
        <f>女子一覧表!J55</f>
        <v>0</v>
      </c>
      <c r="G85" s="1582"/>
      <c r="H85" s="1578" t="s">
        <v>501</v>
      </c>
      <c r="I85" s="1579"/>
      <c r="J85" s="1580" t="str">
        <f>女子一覧表!Z55</f>
        <v/>
      </c>
      <c r="K85" s="1579"/>
      <c r="L85" s="227" t="s">
        <v>511</v>
      </c>
      <c r="M85" s="1657">
        <f>女子一覧表!M55</f>
        <v>0</v>
      </c>
      <c r="N85" s="1582"/>
    </row>
    <row r="86" spans="1:16" s="228" customFormat="1" ht="10.5">
      <c r="A86" s="229" t="s">
        <v>542</v>
      </c>
      <c r="B86" s="1585" t="s">
        <v>543</v>
      </c>
      <c r="C86" s="1585"/>
      <c r="D86" s="1589" t="s">
        <v>544</v>
      </c>
      <c r="E86" s="1589"/>
      <c r="F86" s="230" t="s">
        <v>545</v>
      </c>
      <c r="G86" s="232" t="s">
        <v>546</v>
      </c>
      <c r="H86" s="231" t="s">
        <v>542</v>
      </c>
      <c r="I86" s="1585" t="s">
        <v>543</v>
      </c>
      <c r="J86" s="1585"/>
      <c r="K86" s="1589" t="s">
        <v>544</v>
      </c>
      <c r="L86" s="1589"/>
      <c r="M86" s="230" t="s">
        <v>545</v>
      </c>
      <c r="N86" s="232" t="s">
        <v>546</v>
      </c>
    </row>
    <row r="87" spans="1:16" s="510" customFormat="1" ht="24.95" customHeight="1">
      <c r="A87" s="516" t="s">
        <v>630</v>
      </c>
      <c r="B87" s="1653">
        <f>女子一覧表!B55</f>
        <v>0</v>
      </c>
      <c r="C87" s="1654"/>
      <c r="D87" s="1655" t="str">
        <f>IF(女子一覧表!B55="","",VLOOKUP(B87,女子一覧表!$B$13:$F$78,2,FALSE))</f>
        <v/>
      </c>
      <c r="E87" s="1656"/>
      <c r="F87" s="513" t="str">
        <f>IF(女子一覧表!B55="","",VLOOKUP(B87,女子一覧表!$B$13:$F$78,3,FALSE))</f>
        <v/>
      </c>
      <c r="G87" s="514" t="str">
        <f>IF(D87="","",女子一覧表!$A$7)</f>
        <v/>
      </c>
      <c r="H87" s="517" t="s">
        <v>630</v>
      </c>
      <c r="I87" s="1653" t="str">
        <f>IF(女子一覧表!L55="","",女子一覧表!B55)</f>
        <v/>
      </c>
      <c r="J87" s="1654"/>
      <c r="K87" s="1655" t="str">
        <f>IF(女子一覧表!L55="","",VLOOKUP(I87,女子一覧表!$B$13:$F$78,2,FALSE))</f>
        <v/>
      </c>
      <c r="L87" s="1656"/>
      <c r="M87" s="513" t="str">
        <f>IF(女子一覧表!L55="","",VLOOKUP(I87,女子一覧表!$B$13:$F$78,3,FALSE))</f>
        <v/>
      </c>
      <c r="N87" s="514" t="str">
        <f>IF(K87="","",女子一覧表!$A$7)</f>
        <v/>
      </c>
    </row>
    <row r="88" spans="1:16" s="228" customFormat="1" ht="13.5" customHeight="1">
      <c r="A88" s="1578" t="s">
        <v>501</v>
      </c>
      <c r="B88" s="1579"/>
      <c r="C88" s="1580" t="str">
        <f>女子一覧表!Y56</f>
        <v/>
      </c>
      <c r="D88" s="1579"/>
      <c r="E88" s="227" t="s">
        <v>511</v>
      </c>
      <c r="F88" s="1657">
        <f>女子一覧表!J56</f>
        <v>0</v>
      </c>
      <c r="G88" s="1582"/>
      <c r="H88" s="1578" t="s">
        <v>501</v>
      </c>
      <c r="I88" s="1579"/>
      <c r="J88" s="1580" t="str">
        <f>女子一覧表!Z56</f>
        <v/>
      </c>
      <c r="K88" s="1579"/>
      <c r="L88" s="227" t="s">
        <v>511</v>
      </c>
      <c r="M88" s="1657">
        <f>女子一覧表!M56</f>
        <v>0</v>
      </c>
      <c r="N88" s="1582"/>
    </row>
    <row r="89" spans="1:16" s="228" customFormat="1" ht="10.5">
      <c r="A89" s="229" t="s">
        <v>542</v>
      </c>
      <c r="B89" s="1585" t="s">
        <v>543</v>
      </c>
      <c r="C89" s="1585"/>
      <c r="D89" s="1589" t="s">
        <v>544</v>
      </c>
      <c r="E89" s="1589"/>
      <c r="F89" s="230" t="s">
        <v>545</v>
      </c>
      <c r="G89" s="232" t="s">
        <v>546</v>
      </c>
      <c r="H89" s="231" t="s">
        <v>542</v>
      </c>
      <c r="I89" s="1585" t="s">
        <v>543</v>
      </c>
      <c r="J89" s="1585"/>
      <c r="K89" s="1589" t="s">
        <v>544</v>
      </c>
      <c r="L89" s="1589"/>
      <c r="M89" s="230" t="s">
        <v>545</v>
      </c>
      <c r="N89" s="232" t="s">
        <v>546</v>
      </c>
    </row>
    <row r="90" spans="1:16" s="510" customFormat="1" ht="24.95" customHeight="1">
      <c r="A90" s="516" t="s">
        <v>630</v>
      </c>
      <c r="B90" s="1653">
        <f>女子一覧表!B56</f>
        <v>0</v>
      </c>
      <c r="C90" s="1654"/>
      <c r="D90" s="1655" t="str">
        <f>IF(女子一覧表!B56="","",VLOOKUP(B90,女子一覧表!$B$13:$F$78,2,FALSE))</f>
        <v/>
      </c>
      <c r="E90" s="1656"/>
      <c r="F90" s="513" t="str">
        <f>IF(女子一覧表!B56="","",VLOOKUP(B90,女子一覧表!$B$13:$F$78,3,FALSE))</f>
        <v/>
      </c>
      <c r="G90" s="514" t="str">
        <f>IF(D90="","",女子一覧表!$A$7)</f>
        <v/>
      </c>
      <c r="H90" s="517" t="s">
        <v>630</v>
      </c>
      <c r="I90" s="1653" t="str">
        <f>IF(女子一覧表!L56="","",女子一覧表!B56)</f>
        <v/>
      </c>
      <c r="J90" s="1654"/>
      <c r="K90" s="1655" t="str">
        <f>IF(女子一覧表!L56="","",VLOOKUP(I90,女子一覧表!$B$13:$F$78,2,FALSE))</f>
        <v/>
      </c>
      <c r="L90" s="1656"/>
      <c r="M90" s="513" t="str">
        <f>IF(女子一覧表!L56="","",VLOOKUP(I90,女子一覧表!$B$13:$F$78,3,FALSE))</f>
        <v/>
      </c>
      <c r="N90" s="514" t="str">
        <f>IF(K90="","",女子一覧表!$A$7)</f>
        <v/>
      </c>
    </row>
    <row r="91" spans="1:16" s="228" customFormat="1" ht="13.5" customHeight="1">
      <c r="A91" s="1578" t="s">
        <v>501</v>
      </c>
      <c r="B91" s="1579"/>
      <c r="C91" s="1580" t="str">
        <f>女子一覧表!Y57</f>
        <v/>
      </c>
      <c r="D91" s="1579"/>
      <c r="E91" s="227" t="s">
        <v>511</v>
      </c>
      <c r="F91" s="1657">
        <f>女子一覧表!J57</f>
        <v>0</v>
      </c>
      <c r="G91" s="1582"/>
      <c r="H91" s="1578" t="s">
        <v>501</v>
      </c>
      <c r="I91" s="1579"/>
      <c r="J91" s="1580" t="str">
        <f>女子一覧表!Z57</f>
        <v/>
      </c>
      <c r="K91" s="1579"/>
      <c r="L91" s="227" t="s">
        <v>511</v>
      </c>
      <c r="M91" s="1657">
        <f>女子一覧表!M57</f>
        <v>0</v>
      </c>
      <c r="N91" s="1582"/>
    </row>
    <row r="92" spans="1:16" s="228" customFormat="1" ht="10.5">
      <c r="A92" s="229" t="s">
        <v>542</v>
      </c>
      <c r="B92" s="1585" t="s">
        <v>543</v>
      </c>
      <c r="C92" s="1585"/>
      <c r="D92" s="1589" t="s">
        <v>544</v>
      </c>
      <c r="E92" s="1589"/>
      <c r="F92" s="230" t="s">
        <v>545</v>
      </c>
      <c r="G92" s="232" t="s">
        <v>546</v>
      </c>
      <c r="H92" s="231" t="s">
        <v>542</v>
      </c>
      <c r="I92" s="1585" t="s">
        <v>543</v>
      </c>
      <c r="J92" s="1585"/>
      <c r="K92" s="1589" t="s">
        <v>544</v>
      </c>
      <c r="L92" s="1589"/>
      <c r="M92" s="230" t="s">
        <v>545</v>
      </c>
      <c r="N92" s="232" t="s">
        <v>546</v>
      </c>
    </row>
    <row r="93" spans="1:16" s="510" customFormat="1" ht="24.95" customHeight="1">
      <c r="A93" s="516" t="s">
        <v>630</v>
      </c>
      <c r="B93" s="1653">
        <f>女子一覧表!B57</f>
        <v>0</v>
      </c>
      <c r="C93" s="1654"/>
      <c r="D93" s="1655" t="str">
        <f>IF(女子一覧表!B57="","",VLOOKUP(B93,女子一覧表!$B$13:$F$78,2,FALSE))</f>
        <v/>
      </c>
      <c r="E93" s="1656"/>
      <c r="F93" s="513" t="str">
        <f>IF(女子一覧表!B57="","",VLOOKUP(B93,女子一覧表!$B$13:$F$78,3,FALSE))</f>
        <v/>
      </c>
      <c r="G93" s="514" t="str">
        <f>IF(D93="","",女子一覧表!$A$7)</f>
        <v/>
      </c>
      <c r="H93" s="517" t="s">
        <v>630</v>
      </c>
      <c r="I93" s="1653" t="str">
        <f>IF(女子一覧表!L57="","",女子一覧表!B57)</f>
        <v/>
      </c>
      <c r="J93" s="1654"/>
      <c r="K93" s="1655" t="str">
        <f>IF(女子一覧表!L57="","",VLOOKUP(I93,女子一覧表!$B$13:$F$78,2,FALSE))</f>
        <v/>
      </c>
      <c r="L93" s="1656"/>
      <c r="M93" s="513" t="str">
        <f>IF(女子一覧表!L57="","",VLOOKUP(I93,女子一覧表!$B$13:$F$78,3,FALSE))</f>
        <v/>
      </c>
      <c r="N93" s="514" t="str">
        <f>IF(K93="","",女子一覧表!$A$7)</f>
        <v/>
      </c>
    </row>
    <row r="94" spans="1:16" s="228" customFormat="1" ht="13.5" customHeight="1">
      <c r="A94" s="1578" t="s">
        <v>501</v>
      </c>
      <c r="B94" s="1579"/>
      <c r="C94" s="1580" t="str">
        <f>女子一覧表!Y58</f>
        <v/>
      </c>
      <c r="D94" s="1579"/>
      <c r="E94" s="227" t="s">
        <v>511</v>
      </c>
      <c r="F94" s="1657">
        <f>女子一覧表!J58</f>
        <v>0</v>
      </c>
      <c r="G94" s="1582"/>
      <c r="H94" s="1578" t="s">
        <v>501</v>
      </c>
      <c r="I94" s="1579"/>
      <c r="J94" s="1580" t="str">
        <f>女子一覧表!Z58</f>
        <v/>
      </c>
      <c r="K94" s="1579"/>
      <c r="L94" s="227" t="s">
        <v>511</v>
      </c>
      <c r="M94" s="1657">
        <f>女子一覧表!M58</f>
        <v>0</v>
      </c>
      <c r="N94" s="1582"/>
      <c r="P94" s="233"/>
    </row>
    <row r="95" spans="1:16" s="228" customFormat="1" ht="10.5">
      <c r="A95" s="229" t="s">
        <v>542</v>
      </c>
      <c r="B95" s="1585" t="s">
        <v>543</v>
      </c>
      <c r="C95" s="1585"/>
      <c r="D95" s="1589" t="s">
        <v>544</v>
      </c>
      <c r="E95" s="1589"/>
      <c r="F95" s="230" t="s">
        <v>545</v>
      </c>
      <c r="G95" s="232" t="s">
        <v>546</v>
      </c>
      <c r="H95" s="231" t="s">
        <v>542</v>
      </c>
      <c r="I95" s="1585" t="s">
        <v>543</v>
      </c>
      <c r="J95" s="1585"/>
      <c r="K95" s="1589" t="s">
        <v>544</v>
      </c>
      <c r="L95" s="1589"/>
      <c r="M95" s="230" t="s">
        <v>545</v>
      </c>
      <c r="N95" s="232" t="s">
        <v>546</v>
      </c>
    </row>
    <row r="96" spans="1:16" s="510" customFormat="1" ht="24.95" customHeight="1">
      <c r="A96" s="516" t="s">
        <v>630</v>
      </c>
      <c r="B96" s="1653">
        <f>女子一覧表!B58</f>
        <v>0</v>
      </c>
      <c r="C96" s="1654"/>
      <c r="D96" s="1655" t="str">
        <f>IF(女子一覧表!B58="","",VLOOKUP(B96,女子一覧表!$B$13:$F$78,2,FALSE))</f>
        <v/>
      </c>
      <c r="E96" s="1656"/>
      <c r="F96" s="513" t="str">
        <f>IF(女子一覧表!B58="","",VLOOKUP(B96,女子一覧表!$B$13:$F$78,3,FALSE))</f>
        <v/>
      </c>
      <c r="G96" s="514" t="str">
        <f>IF(D96="","",女子一覧表!$A$7)</f>
        <v/>
      </c>
      <c r="H96" s="517" t="s">
        <v>630</v>
      </c>
      <c r="I96" s="1653" t="str">
        <f>IF(女子一覧表!L58="","",女子一覧表!B58)</f>
        <v/>
      </c>
      <c r="J96" s="1654"/>
      <c r="K96" s="1655" t="str">
        <f>IF(女子一覧表!L58="","",VLOOKUP(I96,女子一覧表!$B$13:$F$78,2,FALSE))</f>
        <v/>
      </c>
      <c r="L96" s="1656"/>
      <c r="M96" s="513" t="str">
        <f>IF(女子一覧表!L58="","",VLOOKUP(I96,女子一覧表!$B$13:$F$78,3,FALSE))</f>
        <v/>
      </c>
      <c r="N96" s="514" t="str">
        <f>IF(K96="","",女子一覧表!$A$7)</f>
        <v/>
      </c>
    </row>
    <row r="97" spans="1:14" s="228" customFormat="1" ht="13.5" customHeight="1">
      <c r="A97" s="1578" t="s">
        <v>501</v>
      </c>
      <c r="B97" s="1579"/>
      <c r="C97" s="1580" t="str">
        <f>女子一覧表!Y59</f>
        <v/>
      </c>
      <c r="D97" s="1579"/>
      <c r="E97" s="227" t="s">
        <v>511</v>
      </c>
      <c r="F97" s="1657">
        <f>女子一覧表!J59</f>
        <v>0</v>
      </c>
      <c r="G97" s="1582"/>
      <c r="H97" s="1578" t="s">
        <v>501</v>
      </c>
      <c r="I97" s="1579"/>
      <c r="J97" s="1580" t="str">
        <f>女子一覧表!Z59</f>
        <v/>
      </c>
      <c r="K97" s="1579"/>
      <c r="L97" s="227" t="s">
        <v>511</v>
      </c>
      <c r="M97" s="1657">
        <f>女子一覧表!M59</f>
        <v>0</v>
      </c>
      <c r="N97" s="1582"/>
    </row>
    <row r="98" spans="1:14" s="228" customFormat="1" ht="10.5">
      <c r="A98" s="229" t="s">
        <v>542</v>
      </c>
      <c r="B98" s="1585" t="s">
        <v>543</v>
      </c>
      <c r="C98" s="1585"/>
      <c r="D98" s="1589" t="s">
        <v>544</v>
      </c>
      <c r="E98" s="1589"/>
      <c r="F98" s="230" t="s">
        <v>545</v>
      </c>
      <c r="G98" s="232" t="s">
        <v>546</v>
      </c>
      <c r="H98" s="231" t="s">
        <v>542</v>
      </c>
      <c r="I98" s="1585" t="s">
        <v>543</v>
      </c>
      <c r="J98" s="1585"/>
      <c r="K98" s="1589" t="s">
        <v>544</v>
      </c>
      <c r="L98" s="1589"/>
      <c r="M98" s="230" t="s">
        <v>545</v>
      </c>
      <c r="N98" s="232" t="s">
        <v>546</v>
      </c>
    </row>
    <row r="99" spans="1:14" s="510" customFormat="1" ht="24.95" customHeight="1">
      <c r="A99" s="516" t="s">
        <v>630</v>
      </c>
      <c r="B99" s="1653">
        <f>女子一覧表!B59</f>
        <v>0</v>
      </c>
      <c r="C99" s="1654"/>
      <c r="D99" s="1655" t="str">
        <f>IF(女子一覧表!B59="","",VLOOKUP(B99,女子一覧表!$B$13:$F$78,2,FALSE))</f>
        <v/>
      </c>
      <c r="E99" s="1656"/>
      <c r="F99" s="513" t="str">
        <f>IF(女子一覧表!B59="","",VLOOKUP(B99,女子一覧表!$B$13:$F$78,3,FALSE))</f>
        <v/>
      </c>
      <c r="G99" s="514" t="str">
        <f>IF(D99="","",女子一覧表!$A$7)</f>
        <v/>
      </c>
      <c r="H99" s="517" t="s">
        <v>630</v>
      </c>
      <c r="I99" s="1653" t="str">
        <f>IF(女子一覧表!L59="","",女子一覧表!B59)</f>
        <v/>
      </c>
      <c r="J99" s="1654"/>
      <c r="K99" s="1655" t="str">
        <f>IF(女子一覧表!L59="","",VLOOKUP(I99,女子一覧表!$B$13:$F$78,2,FALSE))</f>
        <v/>
      </c>
      <c r="L99" s="1656"/>
      <c r="M99" s="513" t="str">
        <f>IF(女子一覧表!L59="","",VLOOKUP(I99,女子一覧表!$B$13:$F$78,3,FALSE))</f>
        <v/>
      </c>
      <c r="N99" s="514" t="str">
        <f>IF(K99="","",女子一覧表!$A$7)</f>
        <v/>
      </c>
    </row>
    <row r="100" spans="1:14" s="228" customFormat="1" ht="13.5" customHeight="1">
      <c r="A100" s="1578" t="s">
        <v>501</v>
      </c>
      <c r="B100" s="1579"/>
      <c r="C100" s="1580" t="str">
        <f>女子一覧表!Y60</f>
        <v/>
      </c>
      <c r="D100" s="1579"/>
      <c r="E100" s="227" t="s">
        <v>511</v>
      </c>
      <c r="F100" s="1657">
        <f>女子一覧表!J60</f>
        <v>0</v>
      </c>
      <c r="G100" s="1582"/>
      <c r="H100" s="1578" t="s">
        <v>501</v>
      </c>
      <c r="I100" s="1579"/>
      <c r="J100" s="1580" t="str">
        <f>女子一覧表!Z60</f>
        <v/>
      </c>
      <c r="K100" s="1579"/>
      <c r="L100" s="227" t="s">
        <v>511</v>
      </c>
      <c r="M100" s="1657">
        <f>女子一覧表!M60</f>
        <v>0</v>
      </c>
      <c r="N100" s="1582"/>
    </row>
    <row r="101" spans="1:14" s="228" customFormat="1" ht="10.5">
      <c r="A101" s="229" t="s">
        <v>542</v>
      </c>
      <c r="B101" s="1585" t="s">
        <v>543</v>
      </c>
      <c r="C101" s="1585"/>
      <c r="D101" s="1589" t="s">
        <v>544</v>
      </c>
      <c r="E101" s="1589"/>
      <c r="F101" s="230" t="s">
        <v>545</v>
      </c>
      <c r="G101" s="232" t="s">
        <v>546</v>
      </c>
      <c r="H101" s="231" t="s">
        <v>542</v>
      </c>
      <c r="I101" s="1585" t="s">
        <v>543</v>
      </c>
      <c r="J101" s="1585"/>
      <c r="K101" s="1589" t="s">
        <v>544</v>
      </c>
      <c r="L101" s="1589"/>
      <c r="M101" s="230" t="s">
        <v>545</v>
      </c>
      <c r="N101" s="232" t="s">
        <v>546</v>
      </c>
    </row>
    <row r="102" spans="1:14" s="510" customFormat="1" ht="24.95" customHeight="1">
      <c r="A102" s="516" t="s">
        <v>630</v>
      </c>
      <c r="B102" s="1653">
        <f>女子一覧表!B60</f>
        <v>0</v>
      </c>
      <c r="C102" s="1654"/>
      <c r="D102" s="1655" t="str">
        <f>IF(女子一覧表!B60="","",VLOOKUP(B102,女子一覧表!$B$13:$F$78,2,FALSE))</f>
        <v/>
      </c>
      <c r="E102" s="1656"/>
      <c r="F102" s="513" t="str">
        <f>IF(女子一覧表!B60="","",VLOOKUP(B102,女子一覧表!$B$13:$F$78,3,FALSE))</f>
        <v/>
      </c>
      <c r="G102" s="514" t="str">
        <f>IF(D102="","",女子一覧表!$A$7)</f>
        <v/>
      </c>
      <c r="H102" s="517" t="s">
        <v>630</v>
      </c>
      <c r="I102" s="1653" t="str">
        <f>IF(女子一覧表!L60="","",女子一覧表!B60)</f>
        <v/>
      </c>
      <c r="J102" s="1654"/>
      <c r="K102" s="1655" t="str">
        <f>IF(女子一覧表!L60="","",VLOOKUP(I102,女子一覧表!$B$13:$F$78,2,FALSE))</f>
        <v/>
      </c>
      <c r="L102" s="1656"/>
      <c r="M102" s="513" t="str">
        <f>IF(女子一覧表!L60="","",VLOOKUP(I102,女子一覧表!$B$13:$F$78,3,FALSE))</f>
        <v/>
      </c>
      <c r="N102" s="514" t="str">
        <f>IF(K102="","",女子一覧表!$A$7)</f>
        <v/>
      </c>
    </row>
    <row r="103" spans="1:14" s="228" customFormat="1" ht="13.5" customHeight="1">
      <c r="A103" s="1578" t="s">
        <v>501</v>
      </c>
      <c r="B103" s="1579"/>
      <c r="C103" s="1580" t="str">
        <f>女子一覧表!Y61</f>
        <v/>
      </c>
      <c r="D103" s="1579"/>
      <c r="E103" s="227" t="s">
        <v>511</v>
      </c>
      <c r="F103" s="1657">
        <f>女子一覧表!J61</f>
        <v>0</v>
      </c>
      <c r="G103" s="1582"/>
      <c r="H103" s="1578" t="s">
        <v>501</v>
      </c>
      <c r="I103" s="1579"/>
      <c r="J103" s="1580" t="str">
        <f>女子一覧表!Z61</f>
        <v/>
      </c>
      <c r="K103" s="1579"/>
      <c r="L103" s="227" t="s">
        <v>511</v>
      </c>
      <c r="M103" s="1657">
        <f>女子一覧表!M61</f>
        <v>0</v>
      </c>
      <c r="N103" s="1582"/>
    </row>
    <row r="104" spans="1:14" s="228" customFormat="1" ht="10.5">
      <c r="A104" s="229" t="s">
        <v>542</v>
      </c>
      <c r="B104" s="1585" t="s">
        <v>543</v>
      </c>
      <c r="C104" s="1585"/>
      <c r="D104" s="1589" t="s">
        <v>544</v>
      </c>
      <c r="E104" s="1589"/>
      <c r="F104" s="230" t="s">
        <v>545</v>
      </c>
      <c r="G104" s="232" t="s">
        <v>546</v>
      </c>
      <c r="H104" s="231" t="s">
        <v>542</v>
      </c>
      <c r="I104" s="1585" t="s">
        <v>543</v>
      </c>
      <c r="J104" s="1585"/>
      <c r="K104" s="1589" t="s">
        <v>544</v>
      </c>
      <c r="L104" s="1589"/>
      <c r="M104" s="230" t="s">
        <v>545</v>
      </c>
      <c r="N104" s="232" t="s">
        <v>546</v>
      </c>
    </row>
    <row r="105" spans="1:14" s="510" customFormat="1" ht="24.95" customHeight="1">
      <c r="A105" s="516" t="s">
        <v>630</v>
      </c>
      <c r="B105" s="1653">
        <f>女子一覧表!B61</f>
        <v>0</v>
      </c>
      <c r="C105" s="1654"/>
      <c r="D105" s="1655" t="str">
        <f>IF(女子一覧表!B61="","",VLOOKUP(B105,女子一覧表!$B$13:$F$78,2,FALSE))</f>
        <v/>
      </c>
      <c r="E105" s="1656"/>
      <c r="F105" s="513" t="str">
        <f>IF(女子一覧表!B61="","",VLOOKUP(B105,女子一覧表!$B$13:$F$78,3,FALSE))</f>
        <v/>
      </c>
      <c r="G105" s="514" t="str">
        <f>IF(D105="","",女子一覧表!$A$7)</f>
        <v/>
      </c>
      <c r="H105" s="517" t="s">
        <v>630</v>
      </c>
      <c r="I105" s="1653" t="str">
        <f>IF(女子一覧表!L61="","",女子一覧表!B61)</f>
        <v/>
      </c>
      <c r="J105" s="1654"/>
      <c r="K105" s="1655" t="str">
        <f>IF(女子一覧表!L61="","",VLOOKUP(I105,女子一覧表!$B$13:$F$78,2,FALSE))</f>
        <v/>
      </c>
      <c r="L105" s="1656"/>
      <c r="M105" s="513" t="str">
        <f>IF(女子一覧表!L61="","",VLOOKUP(I105,女子一覧表!$B$13:$F$78,3,FALSE))</f>
        <v/>
      </c>
      <c r="N105" s="514" t="str">
        <f>IF(K105="","",女子一覧表!$A$7)</f>
        <v/>
      </c>
    </row>
    <row r="106" spans="1:14" s="228" customFormat="1" ht="13.5" customHeight="1">
      <c r="A106" s="1578" t="s">
        <v>501</v>
      </c>
      <c r="B106" s="1579"/>
      <c r="C106" s="1580" t="str">
        <f>女子一覧表!Y62</f>
        <v/>
      </c>
      <c r="D106" s="1579"/>
      <c r="E106" s="227" t="s">
        <v>511</v>
      </c>
      <c r="F106" s="1657">
        <f>女子一覧表!J62</f>
        <v>0</v>
      </c>
      <c r="G106" s="1582"/>
      <c r="H106" s="1578" t="s">
        <v>501</v>
      </c>
      <c r="I106" s="1579"/>
      <c r="J106" s="1580" t="str">
        <f>女子一覧表!Z62</f>
        <v/>
      </c>
      <c r="K106" s="1579"/>
      <c r="L106" s="227" t="s">
        <v>511</v>
      </c>
      <c r="M106" s="1657">
        <f>女子一覧表!M62</f>
        <v>0</v>
      </c>
      <c r="N106" s="1582"/>
    </row>
    <row r="107" spans="1:14" s="228" customFormat="1" ht="10.5">
      <c r="A107" s="229" t="s">
        <v>542</v>
      </c>
      <c r="B107" s="1585" t="s">
        <v>543</v>
      </c>
      <c r="C107" s="1585"/>
      <c r="D107" s="1589" t="s">
        <v>544</v>
      </c>
      <c r="E107" s="1589"/>
      <c r="F107" s="230" t="s">
        <v>545</v>
      </c>
      <c r="G107" s="232" t="s">
        <v>546</v>
      </c>
      <c r="H107" s="231" t="s">
        <v>542</v>
      </c>
      <c r="I107" s="1585" t="s">
        <v>543</v>
      </c>
      <c r="J107" s="1585"/>
      <c r="K107" s="1589" t="s">
        <v>544</v>
      </c>
      <c r="L107" s="1589"/>
      <c r="M107" s="230" t="s">
        <v>545</v>
      </c>
      <c r="N107" s="232" t="s">
        <v>546</v>
      </c>
    </row>
    <row r="108" spans="1:14" s="510" customFormat="1" ht="24.95" customHeight="1">
      <c r="A108" s="516" t="s">
        <v>630</v>
      </c>
      <c r="B108" s="1653">
        <f>女子一覧表!B62</f>
        <v>0</v>
      </c>
      <c r="C108" s="1654"/>
      <c r="D108" s="1655" t="str">
        <f>IF(女子一覧表!B62="","",VLOOKUP(B108,女子一覧表!$B$13:$F$78,2,FALSE))</f>
        <v/>
      </c>
      <c r="E108" s="1656"/>
      <c r="F108" s="513" t="str">
        <f>IF(女子一覧表!B62="","",VLOOKUP(B108,女子一覧表!$B$13:$F$78,3,FALSE))</f>
        <v/>
      </c>
      <c r="G108" s="514" t="str">
        <f>IF(D108="","",女子一覧表!$A$7)</f>
        <v/>
      </c>
      <c r="H108" s="517" t="s">
        <v>630</v>
      </c>
      <c r="I108" s="1653" t="str">
        <f>IF(女子一覧表!L62="","",女子一覧表!B62)</f>
        <v/>
      </c>
      <c r="J108" s="1654"/>
      <c r="K108" s="1655" t="str">
        <f>IF(女子一覧表!L62="","",VLOOKUP(I108,女子一覧表!$B$13:$F$78,2,FALSE))</f>
        <v/>
      </c>
      <c r="L108" s="1656"/>
      <c r="M108" s="513" t="str">
        <f>IF(女子一覧表!L62="","",VLOOKUP(I108,女子一覧表!$B$13:$F$78,3,FALSE))</f>
        <v/>
      </c>
      <c r="N108" s="514" t="str">
        <f>IF(K108="","",女子一覧表!$A$7)</f>
        <v/>
      </c>
    </row>
    <row r="109" spans="1:14" s="228" customFormat="1" ht="13.5" customHeight="1">
      <c r="A109" s="1578" t="s">
        <v>501</v>
      </c>
      <c r="B109" s="1579"/>
      <c r="C109" s="1580" t="str">
        <f>女子一覧表!Y63</f>
        <v/>
      </c>
      <c r="D109" s="1579"/>
      <c r="E109" s="227" t="s">
        <v>511</v>
      </c>
      <c r="F109" s="1657">
        <f>女子一覧表!J63</f>
        <v>0</v>
      </c>
      <c r="G109" s="1582"/>
      <c r="H109" s="1578" t="s">
        <v>501</v>
      </c>
      <c r="I109" s="1579"/>
      <c r="J109" s="1580" t="str">
        <f>女子一覧表!Z63</f>
        <v/>
      </c>
      <c r="K109" s="1579"/>
      <c r="L109" s="227" t="s">
        <v>511</v>
      </c>
      <c r="M109" s="1657">
        <f>女子一覧表!M63</f>
        <v>0</v>
      </c>
      <c r="N109" s="1582"/>
    </row>
    <row r="110" spans="1:14" s="228" customFormat="1" ht="10.5">
      <c r="A110" s="229" t="s">
        <v>542</v>
      </c>
      <c r="B110" s="1585" t="s">
        <v>543</v>
      </c>
      <c r="C110" s="1585"/>
      <c r="D110" s="1589" t="s">
        <v>544</v>
      </c>
      <c r="E110" s="1589"/>
      <c r="F110" s="230" t="s">
        <v>545</v>
      </c>
      <c r="G110" s="232" t="s">
        <v>546</v>
      </c>
      <c r="H110" s="231" t="s">
        <v>542</v>
      </c>
      <c r="I110" s="1585" t="s">
        <v>543</v>
      </c>
      <c r="J110" s="1585"/>
      <c r="K110" s="1589" t="s">
        <v>544</v>
      </c>
      <c r="L110" s="1589"/>
      <c r="M110" s="230" t="s">
        <v>545</v>
      </c>
      <c r="N110" s="232" t="s">
        <v>546</v>
      </c>
    </row>
    <row r="111" spans="1:14" s="510" customFormat="1" ht="24.95" customHeight="1">
      <c r="A111" s="516" t="s">
        <v>630</v>
      </c>
      <c r="B111" s="1653">
        <f>女子一覧表!B63</f>
        <v>0</v>
      </c>
      <c r="C111" s="1654"/>
      <c r="D111" s="1655" t="str">
        <f>IF(女子一覧表!B63="","",VLOOKUP(B111,女子一覧表!$B$13:$F$78,2,FALSE))</f>
        <v/>
      </c>
      <c r="E111" s="1656"/>
      <c r="F111" s="513" t="str">
        <f>IF(女子一覧表!B63="","",VLOOKUP(B111,女子一覧表!$B$13:$F$78,3,FALSE))</f>
        <v/>
      </c>
      <c r="G111" s="514" t="str">
        <f>IF(D111="","",女子一覧表!$A$7)</f>
        <v/>
      </c>
      <c r="H111" s="517" t="s">
        <v>630</v>
      </c>
      <c r="I111" s="1653" t="str">
        <f>IF(女子一覧表!L63="","",女子一覧表!B63)</f>
        <v/>
      </c>
      <c r="J111" s="1654"/>
      <c r="K111" s="1655" t="str">
        <f>IF(女子一覧表!L63="","",VLOOKUP(I111,女子一覧表!$B$13:$F$78,2,FALSE))</f>
        <v/>
      </c>
      <c r="L111" s="1656"/>
      <c r="M111" s="513" t="str">
        <f>IF(女子一覧表!L63="","",VLOOKUP(I111,女子一覧表!$B$13:$F$78,3,FALSE))</f>
        <v/>
      </c>
      <c r="N111" s="514" t="str">
        <f>IF(K111="","",女子一覧表!$A$7)</f>
        <v/>
      </c>
    </row>
    <row r="112" spans="1:14" s="228" customFormat="1" ht="13.5" customHeight="1">
      <c r="A112" s="1578" t="s">
        <v>501</v>
      </c>
      <c r="B112" s="1579"/>
      <c r="C112" s="1580" t="str">
        <f>女子一覧表!Y64</f>
        <v/>
      </c>
      <c r="D112" s="1579"/>
      <c r="E112" s="227" t="s">
        <v>511</v>
      </c>
      <c r="F112" s="1657">
        <f>女子一覧表!J64</f>
        <v>0</v>
      </c>
      <c r="G112" s="1582"/>
      <c r="H112" s="1578" t="s">
        <v>501</v>
      </c>
      <c r="I112" s="1579"/>
      <c r="J112" s="1580" t="str">
        <f>女子一覧表!Z64</f>
        <v/>
      </c>
      <c r="K112" s="1579"/>
      <c r="L112" s="227" t="s">
        <v>511</v>
      </c>
      <c r="M112" s="1657">
        <f>女子一覧表!M64</f>
        <v>0</v>
      </c>
      <c r="N112" s="1582"/>
    </row>
    <row r="113" spans="1:16" s="228" customFormat="1" ht="10.5">
      <c r="A113" s="229" t="s">
        <v>542</v>
      </c>
      <c r="B113" s="1583" t="s">
        <v>543</v>
      </c>
      <c r="C113" s="1584"/>
      <c r="D113" s="1590" t="s">
        <v>544</v>
      </c>
      <c r="E113" s="1591"/>
      <c r="F113" s="230" t="s">
        <v>545</v>
      </c>
      <c r="G113" s="232" t="s">
        <v>546</v>
      </c>
      <c r="H113" s="231" t="s">
        <v>542</v>
      </c>
      <c r="I113" s="1583" t="s">
        <v>543</v>
      </c>
      <c r="J113" s="1584"/>
      <c r="K113" s="1590" t="s">
        <v>544</v>
      </c>
      <c r="L113" s="1591"/>
      <c r="M113" s="230" t="s">
        <v>545</v>
      </c>
      <c r="N113" s="232" t="s">
        <v>546</v>
      </c>
    </row>
    <row r="114" spans="1:16" s="510" customFormat="1" ht="24.95" customHeight="1">
      <c r="A114" s="518" t="s">
        <v>630</v>
      </c>
      <c r="B114" s="1658">
        <f>女子一覧表!B64</f>
        <v>0</v>
      </c>
      <c r="C114" s="1659"/>
      <c r="D114" s="1660" t="str">
        <f>IF(女子一覧表!B64="","",VLOOKUP(B114,女子一覧表!$B$13:$F$78,2,FALSE))</f>
        <v/>
      </c>
      <c r="E114" s="1661"/>
      <c r="F114" s="515" t="str">
        <f>IF(女子一覧表!B64="","",VLOOKUP(B114,女子一覧表!$B$13:$F$78,3,FALSE))</f>
        <v/>
      </c>
      <c r="G114" s="514" t="str">
        <f>IF(D114="","",女子一覧表!$A$7)</f>
        <v/>
      </c>
      <c r="H114" s="519" t="s">
        <v>630</v>
      </c>
      <c r="I114" s="1653" t="str">
        <f>IF(女子一覧表!L64="","",女子一覧表!B64)</f>
        <v/>
      </c>
      <c r="J114" s="1654"/>
      <c r="K114" s="1660" t="str">
        <f>IF(女子一覧表!L64="","",VLOOKUP(I114,女子一覧表!$B$13:$F$78,2,FALSE))</f>
        <v/>
      </c>
      <c r="L114" s="1661"/>
      <c r="M114" s="515" t="str">
        <f>IF(女子一覧表!L64="","",VLOOKUP(I114,女子一覧表!$B$13:$F$78,3,FALSE))</f>
        <v/>
      </c>
      <c r="N114" s="514" t="str">
        <f>IF(K114="","",女子一覧表!$A$7)</f>
        <v/>
      </c>
    </row>
    <row r="115" spans="1:16" s="228" customFormat="1" ht="13.5" customHeight="1">
      <c r="A115" s="1578" t="s">
        <v>501</v>
      </c>
      <c r="B115" s="1579"/>
      <c r="C115" s="1580" t="str">
        <f>女子一覧表!Y65</f>
        <v/>
      </c>
      <c r="D115" s="1579"/>
      <c r="E115" s="227" t="s">
        <v>511</v>
      </c>
      <c r="F115" s="1657">
        <f>女子一覧表!J65</f>
        <v>0</v>
      </c>
      <c r="G115" s="1582"/>
      <c r="H115" s="1578" t="s">
        <v>501</v>
      </c>
      <c r="I115" s="1579"/>
      <c r="J115" s="1580" t="str">
        <f>女子一覧表!Z65</f>
        <v/>
      </c>
      <c r="K115" s="1579"/>
      <c r="L115" s="227" t="s">
        <v>511</v>
      </c>
      <c r="M115" s="1657">
        <f>女子一覧表!M65</f>
        <v>0</v>
      </c>
      <c r="N115" s="1582"/>
    </row>
    <row r="116" spans="1:16" s="228" customFormat="1" ht="10.5">
      <c r="A116" s="229" t="s">
        <v>542</v>
      </c>
      <c r="B116" s="1585" t="s">
        <v>543</v>
      </c>
      <c r="C116" s="1585"/>
      <c r="D116" s="1589" t="s">
        <v>544</v>
      </c>
      <c r="E116" s="1589"/>
      <c r="F116" s="230" t="s">
        <v>545</v>
      </c>
      <c r="G116" s="232" t="s">
        <v>546</v>
      </c>
      <c r="H116" s="231" t="s">
        <v>542</v>
      </c>
      <c r="I116" s="1585" t="s">
        <v>543</v>
      </c>
      <c r="J116" s="1585"/>
      <c r="K116" s="1589" t="s">
        <v>544</v>
      </c>
      <c r="L116" s="1589"/>
      <c r="M116" s="230" t="s">
        <v>545</v>
      </c>
      <c r="N116" s="232" t="s">
        <v>546</v>
      </c>
    </row>
    <row r="117" spans="1:16" s="510" customFormat="1" ht="24.95" customHeight="1">
      <c r="A117" s="516" t="s">
        <v>630</v>
      </c>
      <c r="B117" s="1653">
        <f>女子一覧表!B65</f>
        <v>0</v>
      </c>
      <c r="C117" s="1654"/>
      <c r="D117" s="1655" t="str">
        <f>IF(女子一覧表!B65="","",VLOOKUP(B117,女子一覧表!$B$13:$F$78,2,FALSE))</f>
        <v/>
      </c>
      <c r="E117" s="1656"/>
      <c r="F117" s="513" t="str">
        <f>IF(女子一覧表!B65="","",VLOOKUP(B117,女子一覧表!$B$13:$F$78,3,FALSE))</f>
        <v/>
      </c>
      <c r="G117" s="514" t="str">
        <f>IF(D117="","",女子一覧表!$A$7)</f>
        <v/>
      </c>
      <c r="H117" s="517" t="s">
        <v>630</v>
      </c>
      <c r="I117" s="1653" t="str">
        <f>IF(女子一覧表!L65="","",女子一覧表!B65)</f>
        <v/>
      </c>
      <c r="J117" s="1654"/>
      <c r="K117" s="1655" t="str">
        <f>IF(女子一覧表!L65="","",VLOOKUP(I117,女子一覧表!$B$13:$F$78,2,FALSE))</f>
        <v/>
      </c>
      <c r="L117" s="1656"/>
      <c r="M117" s="513" t="str">
        <f>IF(女子一覧表!L65="","",VLOOKUP(I117,女子一覧表!$B$13:$F$78,3,FALSE))</f>
        <v/>
      </c>
      <c r="N117" s="514" t="str">
        <f>IF(K117="","",女子一覧表!$A$7)</f>
        <v/>
      </c>
    </row>
    <row r="118" spans="1:16" s="228" customFormat="1" ht="13.5" customHeight="1">
      <c r="A118" s="1578" t="s">
        <v>501</v>
      </c>
      <c r="B118" s="1579"/>
      <c r="C118" s="1580" t="str">
        <f>女子一覧表!Y66</f>
        <v/>
      </c>
      <c r="D118" s="1579"/>
      <c r="E118" s="227" t="s">
        <v>511</v>
      </c>
      <c r="F118" s="1657">
        <f>女子一覧表!J66</f>
        <v>0</v>
      </c>
      <c r="G118" s="1582"/>
      <c r="H118" s="1578" t="s">
        <v>501</v>
      </c>
      <c r="I118" s="1579"/>
      <c r="J118" s="1580" t="str">
        <f>女子一覧表!Z66</f>
        <v/>
      </c>
      <c r="K118" s="1579"/>
      <c r="L118" s="227" t="s">
        <v>511</v>
      </c>
      <c r="M118" s="1657">
        <f>女子一覧表!M66</f>
        <v>0</v>
      </c>
      <c r="N118" s="1582"/>
    </row>
    <row r="119" spans="1:16" s="228" customFormat="1" ht="10.5">
      <c r="A119" s="229" t="s">
        <v>542</v>
      </c>
      <c r="B119" s="1585" t="s">
        <v>543</v>
      </c>
      <c r="C119" s="1585"/>
      <c r="D119" s="1589" t="s">
        <v>544</v>
      </c>
      <c r="E119" s="1589"/>
      <c r="F119" s="230" t="s">
        <v>545</v>
      </c>
      <c r="G119" s="232" t="s">
        <v>546</v>
      </c>
      <c r="H119" s="231" t="s">
        <v>542</v>
      </c>
      <c r="I119" s="1585" t="s">
        <v>543</v>
      </c>
      <c r="J119" s="1585"/>
      <c r="K119" s="1589" t="s">
        <v>544</v>
      </c>
      <c r="L119" s="1589"/>
      <c r="M119" s="230" t="s">
        <v>545</v>
      </c>
      <c r="N119" s="232" t="s">
        <v>546</v>
      </c>
    </row>
    <row r="120" spans="1:16" s="510" customFormat="1" ht="24.95" customHeight="1">
      <c r="A120" s="516" t="s">
        <v>630</v>
      </c>
      <c r="B120" s="1653">
        <f>女子一覧表!B66</f>
        <v>0</v>
      </c>
      <c r="C120" s="1654"/>
      <c r="D120" s="1655" t="str">
        <f>IF(女子一覧表!B66="","",VLOOKUP(B120,女子一覧表!$B$13:$F$78,2,FALSE))</f>
        <v/>
      </c>
      <c r="E120" s="1656"/>
      <c r="F120" s="513" t="str">
        <f>IF(女子一覧表!B66="","",VLOOKUP(B120,女子一覧表!$B$13:$F$78,3,FALSE))</f>
        <v/>
      </c>
      <c r="G120" s="514" t="str">
        <f>IF(D120="","",女子一覧表!$A$7)</f>
        <v/>
      </c>
      <c r="H120" s="517" t="s">
        <v>630</v>
      </c>
      <c r="I120" s="1653" t="str">
        <f>IF(女子一覧表!L66="","",女子一覧表!B66)</f>
        <v/>
      </c>
      <c r="J120" s="1654"/>
      <c r="K120" s="1655" t="str">
        <f>IF(女子一覧表!L66="","",VLOOKUP(I120,女子一覧表!$B$13:$F$78,2,FALSE))</f>
        <v/>
      </c>
      <c r="L120" s="1656"/>
      <c r="M120" s="513" t="str">
        <f>IF(女子一覧表!L66="","",VLOOKUP(I120,女子一覧表!$B$13:$F$78,3,FALSE))</f>
        <v/>
      </c>
      <c r="N120" s="514" t="str">
        <f>IF(K120="","",女子一覧表!$A$7)</f>
        <v/>
      </c>
    </row>
    <row r="121" spans="1:16" s="228" customFormat="1" ht="13.5" customHeight="1">
      <c r="A121" s="1578" t="s">
        <v>501</v>
      </c>
      <c r="B121" s="1579"/>
      <c r="C121" s="1580" t="str">
        <f>女子一覧表!Y67</f>
        <v/>
      </c>
      <c r="D121" s="1579"/>
      <c r="E121" s="227" t="s">
        <v>511</v>
      </c>
      <c r="F121" s="1657">
        <f>女子一覧表!J67</f>
        <v>0</v>
      </c>
      <c r="G121" s="1582"/>
      <c r="H121" s="1578" t="s">
        <v>501</v>
      </c>
      <c r="I121" s="1579"/>
      <c r="J121" s="1580" t="str">
        <f>女子一覧表!Z67</f>
        <v/>
      </c>
      <c r="K121" s="1579"/>
      <c r="L121" s="227" t="s">
        <v>511</v>
      </c>
      <c r="M121" s="1657">
        <f>女子一覧表!M67</f>
        <v>0</v>
      </c>
      <c r="N121" s="1582"/>
    </row>
    <row r="122" spans="1:16" s="228" customFormat="1" ht="10.5">
      <c r="A122" s="229" t="s">
        <v>542</v>
      </c>
      <c r="B122" s="1585" t="s">
        <v>543</v>
      </c>
      <c r="C122" s="1585"/>
      <c r="D122" s="1589" t="s">
        <v>544</v>
      </c>
      <c r="E122" s="1589"/>
      <c r="F122" s="230" t="s">
        <v>545</v>
      </c>
      <c r="G122" s="232" t="s">
        <v>546</v>
      </c>
      <c r="H122" s="231" t="s">
        <v>542</v>
      </c>
      <c r="I122" s="1585" t="s">
        <v>543</v>
      </c>
      <c r="J122" s="1585"/>
      <c r="K122" s="1589" t="s">
        <v>544</v>
      </c>
      <c r="L122" s="1589"/>
      <c r="M122" s="230" t="s">
        <v>545</v>
      </c>
      <c r="N122" s="232" t="s">
        <v>546</v>
      </c>
    </row>
    <row r="123" spans="1:16" s="510" customFormat="1" ht="24.95" customHeight="1">
      <c r="A123" s="516" t="s">
        <v>630</v>
      </c>
      <c r="B123" s="1653">
        <f>女子一覧表!B67</f>
        <v>0</v>
      </c>
      <c r="C123" s="1654"/>
      <c r="D123" s="1655" t="str">
        <f>IF(女子一覧表!B67="","",VLOOKUP(B123,女子一覧表!$B$13:$F$78,2,FALSE))</f>
        <v/>
      </c>
      <c r="E123" s="1656"/>
      <c r="F123" s="513" t="str">
        <f>IF(女子一覧表!B67="","",VLOOKUP(B123,女子一覧表!$B$13:$F$78,3,FALSE))</f>
        <v/>
      </c>
      <c r="G123" s="514" t="str">
        <f>IF(D123="","",女子一覧表!$A$7)</f>
        <v/>
      </c>
      <c r="H123" s="517" t="s">
        <v>630</v>
      </c>
      <c r="I123" s="1653" t="str">
        <f>IF(女子一覧表!L67="","",女子一覧表!B67)</f>
        <v/>
      </c>
      <c r="J123" s="1654"/>
      <c r="K123" s="1655" t="str">
        <f>IF(女子一覧表!L67="","",VLOOKUP(I123,女子一覧表!$B$13:$F$78,2,FALSE))</f>
        <v/>
      </c>
      <c r="L123" s="1656"/>
      <c r="M123" s="513" t="str">
        <f>IF(女子一覧表!L67="","",VLOOKUP(I123,女子一覧表!$B$13:$F$78,3,FALSE))</f>
        <v/>
      </c>
      <c r="N123" s="514" t="str">
        <f>IF(K123="","",女子一覧表!$A$7)</f>
        <v/>
      </c>
    </row>
    <row r="124" spans="1:16" s="228" customFormat="1" ht="13.5" customHeight="1">
      <c r="A124" s="1578" t="s">
        <v>501</v>
      </c>
      <c r="B124" s="1579"/>
      <c r="C124" s="1580" t="str">
        <f>女子一覧表!Y68</f>
        <v/>
      </c>
      <c r="D124" s="1579"/>
      <c r="E124" s="227" t="s">
        <v>511</v>
      </c>
      <c r="F124" s="1657">
        <f>女子一覧表!J68</f>
        <v>0</v>
      </c>
      <c r="G124" s="1582"/>
      <c r="H124" s="1578" t="s">
        <v>501</v>
      </c>
      <c r="I124" s="1579"/>
      <c r="J124" s="1580" t="str">
        <f>女子一覧表!Z68</f>
        <v/>
      </c>
      <c r="K124" s="1579"/>
      <c r="L124" s="227" t="s">
        <v>511</v>
      </c>
      <c r="M124" s="1657">
        <f>女子一覧表!M68</f>
        <v>0</v>
      </c>
      <c r="N124" s="1582"/>
    </row>
    <row r="125" spans="1:16" s="228" customFormat="1" ht="10.5">
      <c r="A125" s="229" t="s">
        <v>542</v>
      </c>
      <c r="B125" s="1585" t="s">
        <v>543</v>
      </c>
      <c r="C125" s="1585"/>
      <c r="D125" s="1589" t="s">
        <v>544</v>
      </c>
      <c r="E125" s="1589"/>
      <c r="F125" s="230" t="s">
        <v>545</v>
      </c>
      <c r="G125" s="232" t="s">
        <v>546</v>
      </c>
      <c r="H125" s="231" t="s">
        <v>542</v>
      </c>
      <c r="I125" s="1585" t="s">
        <v>543</v>
      </c>
      <c r="J125" s="1585"/>
      <c r="K125" s="1589" t="s">
        <v>544</v>
      </c>
      <c r="L125" s="1589"/>
      <c r="M125" s="230" t="s">
        <v>545</v>
      </c>
      <c r="N125" s="232" t="s">
        <v>546</v>
      </c>
    </row>
    <row r="126" spans="1:16" s="510" customFormat="1" ht="24.95" customHeight="1">
      <c r="A126" s="516" t="s">
        <v>630</v>
      </c>
      <c r="B126" s="1653">
        <f>女子一覧表!B68</f>
        <v>0</v>
      </c>
      <c r="C126" s="1654"/>
      <c r="D126" s="1655" t="str">
        <f>IF(女子一覧表!B68="","",VLOOKUP(B126,女子一覧表!$B$13:$F$78,2,FALSE))</f>
        <v/>
      </c>
      <c r="E126" s="1656"/>
      <c r="F126" s="513" t="str">
        <f>IF(女子一覧表!B68="","",VLOOKUP(B126,女子一覧表!$B$13:$F$78,3,FALSE))</f>
        <v/>
      </c>
      <c r="G126" s="514" t="str">
        <f>IF(D126="","",女子一覧表!$A$7)</f>
        <v/>
      </c>
      <c r="H126" s="517" t="s">
        <v>630</v>
      </c>
      <c r="I126" s="1653" t="str">
        <f>IF(女子一覧表!L68="","",女子一覧表!B68)</f>
        <v/>
      </c>
      <c r="J126" s="1654"/>
      <c r="K126" s="1655" t="str">
        <f>IF(女子一覧表!L68="","",VLOOKUP(I126,女子一覧表!$B$13:$F$78,2,FALSE))</f>
        <v/>
      </c>
      <c r="L126" s="1656"/>
      <c r="M126" s="513" t="str">
        <f>IF(女子一覧表!L68="","",VLOOKUP(I126,女子一覧表!$B$13:$F$78,3,FALSE))</f>
        <v/>
      </c>
      <c r="N126" s="514" t="str">
        <f>IF(K126="","",女子一覧表!$A$7)</f>
        <v/>
      </c>
    </row>
    <row r="127" spans="1:16" s="228" customFormat="1" ht="13.5" customHeight="1">
      <c r="A127" s="1578" t="s">
        <v>501</v>
      </c>
      <c r="B127" s="1579"/>
      <c r="C127" s="1580" t="str">
        <f>女子一覧表!Y69</f>
        <v/>
      </c>
      <c r="D127" s="1579"/>
      <c r="E127" s="227" t="s">
        <v>511</v>
      </c>
      <c r="F127" s="1657">
        <f>女子一覧表!J69</f>
        <v>0</v>
      </c>
      <c r="G127" s="1582"/>
      <c r="H127" s="1578" t="s">
        <v>501</v>
      </c>
      <c r="I127" s="1579"/>
      <c r="J127" s="1580" t="str">
        <f>女子一覧表!Z69</f>
        <v/>
      </c>
      <c r="K127" s="1579"/>
      <c r="L127" s="227" t="s">
        <v>511</v>
      </c>
      <c r="M127" s="1657">
        <f>女子一覧表!M69</f>
        <v>0</v>
      </c>
      <c r="N127" s="1582"/>
      <c r="P127" s="233"/>
    </row>
    <row r="128" spans="1:16" s="228" customFormat="1" ht="10.5">
      <c r="A128" s="229" t="s">
        <v>542</v>
      </c>
      <c r="B128" s="1585" t="s">
        <v>543</v>
      </c>
      <c r="C128" s="1585"/>
      <c r="D128" s="1589" t="s">
        <v>544</v>
      </c>
      <c r="E128" s="1589"/>
      <c r="F128" s="230" t="s">
        <v>545</v>
      </c>
      <c r="G128" s="232" t="s">
        <v>546</v>
      </c>
      <c r="H128" s="231" t="s">
        <v>542</v>
      </c>
      <c r="I128" s="1585" t="s">
        <v>543</v>
      </c>
      <c r="J128" s="1585"/>
      <c r="K128" s="1589" t="s">
        <v>544</v>
      </c>
      <c r="L128" s="1589"/>
      <c r="M128" s="230" t="s">
        <v>545</v>
      </c>
      <c r="N128" s="232" t="s">
        <v>546</v>
      </c>
    </row>
    <row r="129" spans="1:14" s="510" customFormat="1" ht="24.95" customHeight="1">
      <c r="A129" s="516" t="s">
        <v>630</v>
      </c>
      <c r="B129" s="1653">
        <f>女子一覧表!B69</f>
        <v>0</v>
      </c>
      <c r="C129" s="1654"/>
      <c r="D129" s="1655" t="str">
        <f>IF(女子一覧表!B69="","",VLOOKUP(B129,女子一覧表!$B$13:$F$78,2,FALSE))</f>
        <v/>
      </c>
      <c r="E129" s="1656"/>
      <c r="F129" s="513" t="str">
        <f>IF(女子一覧表!B69="","",VLOOKUP(B129,女子一覧表!$B$13:$F$78,3,FALSE))</f>
        <v/>
      </c>
      <c r="G129" s="514" t="str">
        <f>IF(D129="","",女子一覧表!$A$7)</f>
        <v/>
      </c>
      <c r="H129" s="517" t="s">
        <v>630</v>
      </c>
      <c r="I129" s="1653" t="str">
        <f>IF(女子一覧表!L69="","",女子一覧表!B69)</f>
        <v/>
      </c>
      <c r="J129" s="1654"/>
      <c r="K129" s="1655" t="str">
        <f>IF(女子一覧表!L69="","",VLOOKUP(I129,女子一覧表!$B$13:$F$78,2,FALSE))</f>
        <v/>
      </c>
      <c r="L129" s="1656"/>
      <c r="M129" s="513" t="str">
        <f>IF(女子一覧表!L69="","",VLOOKUP(I129,女子一覧表!$B$13:$F$78,3,FALSE))</f>
        <v/>
      </c>
      <c r="N129" s="514" t="str">
        <f>IF(K129="","",女子一覧表!$A$7)</f>
        <v/>
      </c>
    </row>
    <row r="130" spans="1:14" s="228" customFormat="1" ht="13.5" customHeight="1">
      <c r="A130" s="1578" t="s">
        <v>501</v>
      </c>
      <c r="B130" s="1579"/>
      <c r="C130" s="1580" t="str">
        <f>女子一覧表!Y70</f>
        <v/>
      </c>
      <c r="D130" s="1579"/>
      <c r="E130" s="227" t="s">
        <v>511</v>
      </c>
      <c r="F130" s="1657">
        <f>女子一覧表!J70</f>
        <v>0</v>
      </c>
      <c r="G130" s="1582"/>
      <c r="H130" s="1578" t="s">
        <v>501</v>
      </c>
      <c r="I130" s="1579"/>
      <c r="J130" s="1580" t="str">
        <f>女子一覧表!Z70</f>
        <v/>
      </c>
      <c r="K130" s="1579"/>
      <c r="L130" s="227" t="s">
        <v>511</v>
      </c>
      <c r="M130" s="1657">
        <f>女子一覧表!M70</f>
        <v>0</v>
      </c>
      <c r="N130" s="1582"/>
    </row>
    <row r="131" spans="1:14" s="228" customFormat="1" ht="10.5">
      <c r="A131" s="229" t="s">
        <v>542</v>
      </c>
      <c r="B131" s="1585" t="s">
        <v>543</v>
      </c>
      <c r="C131" s="1585"/>
      <c r="D131" s="1589" t="s">
        <v>544</v>
      </c>
      <c r="E131" s="1589"/>
      <c r="F131" s="230" t="s">
        <v>545</v>
      </c>
      <c r="G131" s="232" t="s">
        <v>546</v>
      </c>
      <c r="H131" s="231" t="s">
        <v>542</v>
      </c>
      <c r="I131" s="1585" t="s">
        <v>543</v>
      </c>
      <c r="J131" s="1585"/>
      <c r="K131" s="1589" t="s">
        <v>544</v>
      </c>
      <c r="L131" s="1589"/>
      <c r="M131" s="230" t="s">
        <v>545</v>
      </c>
      <c r="N131" s="232" t="s">
        <v>546</v>
      </c>
    </row>
    <row r="132" spans="1:14" s="510" customFormat="1" ht="24.95" customHeight="1">
      <c r="A132" s="516" t="s">
        <v>630</v>
      </c>
      <c r="B132" s="1653">
        <f>女子一覧表!B70</f>
        <v>0</v>
      </c>
      <c r="C132" s="1654"/>
      <c r="D132" s="1655" t="str">
        <f>IF(女子一覧表!B70="","",VLOOKUP(B132,女子一覧表!$B$13:$F$78,2,FALSE))</f>
        <v/>
      </c>
      <c r="E132" s="1656"/>
      <c r="F132" s="513" t="str">
        <f>IF(女子一覧表!B70="","",VLOOKUP(B132,女子一覧表!$B$13:$F$78,3,FALSE))</f>
        <v/>
      </c>
      <c r="G132" s="514" t="str">
        <f>IF(D132="","",女子一覧表!$A$7)</f>
        <v/>
      </c>
      <c r="H132" s="517" t="s">
        <v>630</v>
      </c>
      <c r="I132" s="1653" t="str">
        <f>IF(女子一覧表!L70="","",女子一覧表!B70)</f>
        <v/>
      </c>
      <c r="J132" s="1654"/>
      <c r="K132" s="1655" t="str">
        <f>IF(女子一覧表!L70="","",VLOOKUP(I132,女子一覧表!$B$13:$F$78,2,FALSE))</f>
        <v/>
      </c>
      <c r="L132" s="1656"/>
      <c r="M132" s="513" t="str">
        <f>IF(女子一覧表!L70="","",VLOOKUP(I132,女子一覧表!$B$13:$F$78,3,FALSE))</f>
        <v/>
      </c>
      <c r="N132" s="514" t="str">
        <f>IF(K132="","",女子一覧表!$A$7)</f>
        <v/>
      </c>
    </row>
    <row r="133" spans="1:14" s="228" customFormat="1" ht="13.5" customHeight="1">
      <c r="A133" s="1578" t="s">
        <v>501</v>
      </c>
      <c r="B133" s="1579"/>
      <c r="C133" s="1580" t="str">
        <f>女子一覧表!Y71</f>
        <v/>
      </c>
      <c r="D133" s="1579"/>
      <c r="E133" s="227" t="s">
        <v>511</v>
      </c>
      <c r="F133" s="1657">
        <f>女子一覧表!J71</f>
        <v>0</v>
      </c>
      <c r="G133" s="1582"/>
      <c r="H133" s="1578" t="s">
        <v>501</v>
      </c>
      <c r="I133" s="1579"/>
      <c r="J133" s="1580" t="str">
        <f>女子一覧表!Z71</f>
        <v/>
      </c>
      <c r="K133" s="1579"/>
      <c r="L133" s="227" t="s">
        <v>511</v>
      </c>
      <c r="M133" s="1657">
        <f>女子一覧表!M71</f>
        <v>0</v>
      </c>
      <c r="N133" s="1582"/>
    </row>
    <row r="134" spans="1:14" s="228" customFormat="1" ht="10.5">
      <c r="A134" s="229" t="s">
        <v>542</v>
      </c>
      <c r="B134" s="1585" t="s">
        <v>543</v>
      </c>
      <c r="C134" s="1585"/>
      <c r="D134" s="1589" t="s">
        <v>544</v>
      </c>
      <c r="E134" s="1589"/>
      <c r="F134" s="230" t="s">
        <v>545</v>
      </c>
      <c r="G134" s="232" t="s">
        <v>546</v>
      </c>
      <c r="H134" s="231" t="s">
        <v>542</v>
      </c>
      <c r="I134" s="1585" t="s">
        <v>543</v>
      </c>
      <c r="J134" s="1585"/>
      <c r="K134" s="1589" t="s">
        <v>544</v>
      </c>
      <c r="L134" s="1589"/>
      <c r="M134" s="230" t="s">
        <v>545</v>
      </c>
      <c r="N134" s="232" t="s">
        <v>546</v>
      </c>
    </row>
    <row r="135" spans="1:14" s="510" customFormat="1" ht="24.95" customHeight="1">
      <c r="A135" s="516" t="s">
        <v>630</v>
      </c>
      <c r="B135" s="1653">
        <f>女子一覧表!B71</f>
        <v>0</v>
      </c>
      <c r="C135" s="1654"/>
      <c r="D135" s="1655" t="str">
        <f>IF(女子一覧表!B71="","",VLOOKUP(B135,女子一覧表!$B$13:$F$78,2,FALSE))</f>
        <v/>
      </c>
      <c r="E135" s="1656"/>
      <c r="F135" s="513" t="str">
        <f>IF(女子一覧表!B71="","",VLOOKUP(B135,女子一覧表!$B$13:$F$78,3,FALSE))</f>
        <v/>
      </c>
      <c r="G135" s="514" t="str">
        <f>IF(D135="","",女子一覧表!$A$7)</f>
        <v/>
      </c>
      <c r="H135" s="517" t="s">
        <v>630</v>
      </c>
      <c r="I135" s="1653" t="str">
        <f>IF(女子一覧表!L71="","",女子一覧表!B71)</f>
        <v/>
      </c>
      <c r="J135" s="1654"/>
      <c r="K135" s="1655" t="str">
        <f>IF(女子一覧表!L71="","",VLOOKUP(I135,女子一覧表!$B$13:$F$78,2,FALSE))</f>
        <v/>
      </c>
      <c r="L135" s="1656"/>
      <c r="M135" s="513" t="str">
        <f>IF(女子一覧表!L71="","",VLOOKUP(I135,女子一覧表!$B$13:$F$78,3,FALSE))</f>
        <v/>
      </c>
      <c r="N135" s="514" t="str">
        <f>IF(K135="","",女子一覧表!$A$7)</f>
        <v/>
      </c>
    </row>
    <row r="136" spans="1:14" s="228" customFormat="1" ht="13.5" customHeight="1">
      <c r="A136" s="1578" t="s">
        <v>501</v>
      </c>
      <c r="B136" s="1579"/>
      <c r="C136" s="1580" t="str">
        <f>女子一覧表!Y72</f>
        <v/>
      </c>
      <c r="D136" s="1579"/>
      <c r="E136" s="227" t="s">
        <v>511</v>
      </c>
      <c r="F136" s="1657">
        <f>女子一覧表!J72</f>
        <v>0</v>
      </c>
      <c r="G136" s="1582"/>
      <c r="H136" s="1578" t="s">
        <v>501</v>
      </c>
      <c r="I136" s="1579"/>
      <c r="J136" s="1580" t="str">
        <f>女子一覧表!Z72</f>
        <v/>
      </c>
      <c r="K136" s="1579"/>
      <c r="L136" s="227" t="s">
        <v>511</v>
      </c>
      <c r="M136" s="1657">
        <f>女子一覧表!M72</f>
        <v>0</v>
      </c>
      <c r="N136" s="1582"/>
    </row>
    <row r="137" spans="1:14" s="228" customFormat="1" ht="10.5">
      <c r="A137" s="229" t="s">
        <v>542</v>
      </c>
      <c r="B137" s="1585" t="s">
        <v>543</v>
      </c>
      <c r="C137" s="1585"/>
      <c r="D137" s="1589" t="s">
        <v>544</v>
      </c>
      <c r="E137" s="1589"/>
      <c r="F137" s="230" t="s">
        <v>545</v>
      </c>
      <c r="G137" s="232" t="s">
        <v>546</v>
      </c>
      <c r="H137" s="231" t="s">
        <v>542</v>
      </c>
      <c r="I137" s="1585" t="s">
        <v>543</v>
      </c>
      <c r="J137" s="1585"/>
      <c r="K137" s="1589" t="s">
        <v>544</v>
      </c>
      <c r="L137" s="1589"/>
      <c r="M137" s="230" t="s">
        <v>545</v>
      </c>
      <c r="N137" s="232" t="s">
        <v>546</v>
      </c>
    </row>
    <row r="138" spans="1:14" s="510" customFormat="1" ht="24.95" customHeight="1">
      <c r="A138" s="516" t="s">
        <v>630</v>
      </c>
      <c r="B138" s="1653">
        <f>女子一覧表!B72</f>
        <v>0</v>
      </c>
      <c r="C138" s="1654"/>
      <c r="D138" s="1655" t="str">
        <f>IF(女子一覧表!B72="","",VLOOKUP(B138,女子一覧表!$B$13:$F$78,2,FALSE))</f>
        <v/>
      </c>
      <c r="E138" s="1656"/>
      <c r="F138" s="513" t="str">
        <f>IF(女子一覧表!B72="","",VLOOKUP(B138,女子一覧表!$B$13:$F$78,3,FALSE))</f>
        <v/>
      </c>
      <c r="G138" s="514" t="str">
        <f>IF(D138="","",女子一覧表!$A$7)</f>
        <v/>
      </c>
      <c r="H138" s="517" t="s">
        <v>630</v>
      </c>
      <c r="I138" s="1653" t="str">
        <f>IF(女子一覧表!L72="","",女子一覧表!B72)</f>
        <v/>
      </c>
      <c r="J138" s="1654"/>
      <c r="K138" s="1655" t="str">
        <f>IF(女子一覧表!L72="","",VLOOKUP(I138,女子一覧表!$B$13:$F$78,2,FALSE))</f>
        <v/>
      </c>
      <c r="L138" s="1656"/>
      <c r="M138" s="513" t="str">
        <f>IF(女子一覧表!L72="","",VLOOKUP(I138,女子一覧表!$B$13:$F$78,3,FALSE))</f>
        <v/>
      </c>
      <c r="N138" s="514" t="str">
        <f>IF(K138="","",女子一覧表!$A$7)</f>
        <v/>
      </c>
    </row>
    <row r="139" spans="1:14" s="228" customFormat="1" ht="13.5" customHeight="1">
      <c r="A139" s="1578" t="s">
        <v>501</v>
      </c>
      <c r="B139" s="1579"/>
      <c r="C139" s="1580" t="str">
        <f>女子一覧表!Y73</f>
        <v/>
      </c>
      <c r="D139" s="1579"/>
      <c r="E139" s="227" t="s">
        <v>511</v>
      </c>
      <c r="F139" s="1657">
        <f>女子一覧表!J73</f>
        <v>0</v>
      </c>
      <c r="G139" s="1582"/>
      <c r="H139" s="1578" t="s">
        <v>501</v>
      </c>
      <c r="I139" s="1579"/>
      <c r="J139" s="1580" t="str">
        <f>女子一覧表!Z73</f>
        <v/>
      </c>
      <c r="K139" s="1579"/>
      <c r="L139" s="227" t="s">
        <v>511</v>
      </c>
      <c r="M139" s="1657">
        <f>女子一覧表!M73</f>
        <v>0</v>
      </c>
      <c r="N139" s="1582"/>
    </row>
    <row r="140" spans="1:14" s="228" customFormat="1" ht="10.5">
      <c r="A140" s="229" t="s">
        <v>542</v>
      </c>
      <c r="B140" s="1585" t="s">
        <v>543</v>
      </c>
      <c r="C140" s="1585"/>
      <c r="D140" s="1589" t="s">
        <v>544</v>
      </c>
      <c r="E140" s="1589"/>
      <c r="F140" s="230" t="s">
        <v>545</v>
      </c>
      <c r="G140" s="232" t="s">
        <v>546</v>
      </c>
      <c r="H140" s="231" t="s">
        <v>542</v>
      </c>
      <c r="I140" s="1585" t="s">
        <v>543</v>
      </c>
      <c r="J140" s="1585"/>
      <c r="K140" s="1589" t="s">
        <v>544</v>
      </c>
      <c r="L140" s="1589"/>
      <c r="M140" s="230" t="s">
        <v>545</v>
      </c>
      <c r="N140" s="232" t="s">
        <v>546</v>
      </c>
    </row>
    <row r="141" spans="1:14" s="510" customFormat="1" ht="24.95" customHeight="1">
      <c r="A141" s="516" t="s">
        <v>630</v>
      </c>
      <c r="B141" s="1653">
        <f>女子一覧表!B73</f>
        <v>0</v>
      </c>
      <c r="C141" s="1654"/>
      <c r="D141" s="1655" t="str">
        <f>IF(女子一覧表!B73="","",VLOOKUP(B141,女子一覧表!$B$13:$F$78,2,FALSE))</f>
        <v/>
      </c>
      <c r="E141" s="1656"/>
      <c r="F141" s="513" t="str">
        <f>IF(女子一覧表!B73="","",VLOOKUP(B141,女子一覧表!$B$13:$F$78,3,FALSE))</f>
        <v/>
      </c>
      <c r="G141" s="514" t="str">
        <f>IF(D141="","",女子一覧表!$A$7)</f>
        <v/>
      </c>
      <c r="H141" s="517" t="s">
        <v>630</v>
      </c>
      <c r="I141" s="1653" t="str">
        <f>IF(女子一覧表!L73="","",女子一覧表!B73)</f>
        <v/>
      </c>
      <c r="J141" s="1654"/>
      <c r="K141" s="1655" t="str">
        <f>IF(女子一覧表!L73="","",VLOOKUP(I141,女子一覧表!$B$13:$F$78,2,FALSE))</f>
        <v/>
      </c>
      <c r="L141" s="1656"/>
      <c r="M141" s="513" t="str">
        <f>IF(女子一覧表!L73="","",VLOOKUP(I141,女子一覧表!$B$13:$F$78,3,FALSE))</f>
        <v/>
      </c>
      <c r="N141" s="514" t="str">
        <f>IF(K141="","",女子一覧表!$A$7)</f>
        <v/>
      </c>
    </row>
    <row r="142" spans="1:14" s="228" customFormat="1" ht="13.5" customHeight="1">
      <c r="A142" s="1578" t="s">
        <v>501</v>
      </c>
      <c r="B142" s="1579"/>
      <c r="C142" s="1580" t="str">
        <f>女子一覧表!Y74</f>
        <v/>
      </c>
      <c r="D142" s="1579"/>
      <c r="E142" s="227" t="s">
        <v>511</v>
      </c>
      <c r="F142" s="1657">
        <f>女子一覧表!J74</f>
        <v>0</v>
      </c>
      <c r="G142" s="1582"/>
      <c r="H142" s="1578" t="s">
        <v>501</v>
      </c>
      <c r="I142" s="1579"/>
      <c r="J142" s="1580" t="str">
        <f>女子一覧表!Z74</f>
        <v/>
      </c>
      <c r="K142" s="1579"/>
      <c r="L142" s="227" t="s">
        <v>511</v>
      </c>
      <c r="M142" s="1657">
        <f>女子一覧表!M74</f>
        <v>0</v>
      </c>
      <c r="N142" s="1582"/>
    </row>
    <row r="143" spans="1:14" s="228" customFormat="1" ht="10.5">
      <c r="A143" s="229" t="s">
        <v>542</v>
      </c>
      <c r="B143" s="1585" t="s">
        <v>543</v>
      </c>
      <c r="C143" s="1585"/>
      <c r="D143" s="1589" t="s">
        <v>544</v>
      </c>
      <c r="E143" s="1589"/>
      <c r="F143" s="230" t="s">
        <v>545</v>
      </c>
      <c r="G143" s="232" t="s">
        <v>546</v>
      </c>
      <c r="H143" s="231" t="s">
        <v>542</v>
      </c>
      <c r="I143" s="1585" t="s">
        <v>543</v>
      </c>
      <c r="J143" s="1585"/>
      <c r="K143" s="1589" t="s">
        <v>544</v>
      </c>
      <c r="L143" s="1589"/>
      <c r="M143" s="230" t="s">
        <v>545</v>
      </c>
      <c r="N143" s="232" t="s">
        <v>546</v>
      </c>
    </row>
    <row r="144" spans="1:14" s="510" customFormat="1" ht="24.95" customHeight="1">
      <c r="A144" s="516" t="s">
        <v>630</v>
      </c>
      <c r="B144" s="1653">
        <f>女子一覧表!B74</f>
        <v>0</v>
      </c>
      <c r="C144" s="1654"/>
      <c r="D144" s="1655" t="str">
        <f>IF(女子一覧表!B74="","",VLOOKUP(B144,女子一覧表!$B$13:$F$78,2,FALSE))</f>
        <v/>
      </c>
      <c r="E144" s="1656"/>
      <c r="F144" s="513" t="str">
        <f>IF(女子一覧表!B74="","",VLOOKUP(B144,女子一覧表!$B$13:$F$78,3,FALSE))</f>
        <v/>
      </c>
      <c r="G144" s="514" t="str">
        <f>IF(D144="","",女子一覧表!$A$7)</f>
        <v/>
      </c>
      <c r="H144" s="517" t="s">
        <v>630</v>
      </c>
      <c r="I144" s="1653" t="str">
        <f>IF(女子一覧表!L74="","",女子一覧表!B74)</f>
        <v/>
      </c>
      <c r="J144" s="1654"/>
      <c r="K144" s="1655" t="str">
        <f>IF(女子一覧表!L74="","",VLOOKUP(I144,女子一覧表!$B$13:$F$78,2,FALSE))</f>
        <v/>
      </c>
      <c r="L144" s="1656"/>
      <c r="M144" s="513" t="str">
        <f>IF(女子一覧表!L74="","",VLOOKUP(I144,女子一覧表!$B$13:$F$78,3,FALSE))</f>
        <v/>
      </c>
      <c r="N144" s="514" t="str">
        <f>IF(K144="","",女子一覧表!$A$7)</f>
        <v/>
      </c>
    </row>
    <row r="145" spans="1:24" s="228" customFormat="1" ht="13.5" customHeight="1">
      <c r="A145" s="1578" t="s">
        <v>501</v>
      </c>
      <c r="B145" s="1579"/>
      <c r="C145" s="1580" t="str">
        <f>女子一覧表!Y75</f>
        <v/>
      </c>
      <c r="D145" s="1579"/>
      <c r="E145" s="227" t="s">
        <v>511</v>
      </c>
      <c r="F145" s="1657">
        <f>女子一覧表!J75</f>
        <v>0</v>
      </c>
      <c r="G145" s="1582"/>
      <c r="H145" s="1578" t="s">
        <v>501</v>
      </c>
      <c r="I145" s="1579"/>
      <c r="J145" s="1580" t="str">
        <f>女子一覧表!Z75</f>
        <v/>
      </c>
      <c r="K145" s="1579"/>
      <c r="L145" s="227" t="s">
        <v>511</v>
      </c>
      <c r="M145" s="1657">
        <f>女子一覧表!M75</f>
        <v>0</v>
      </c>
      <c r="N145" s="1582"/>
    </row>
    <row r="146" spans="1:24" s="228" customFormat="1" ht="10.5">
      <c r="A146" s="229" t="s">
        <v>542</v>
      </c>
      <c r="B146" s="1583" t="s">
        <v>543</v>
      </c>
      <c r="C146" s="1584"/>
      <c r="D146" s="1590" t="s">
        <v>544</v>
      </c>
      <c r="E146" s="1591"/>
      <c r="F146" s="230" t="s">
        <v>545</v>
      </c>
      <c r="G146" s="232" t="s">
        <v>546</v>
      </c>
      <c r="H146" s="231" t="s">
        <v>542</v>
      </c>
      <c r="I146" s="1583" t="s">
        <v>543</v>
      </c>
      <c r="J146" s="1584"/>
      <c r="K146" s="1590" t="s">
        <v>544</v>
      </c>
      <c r="L146" s="1591"/>
      <c r="M146" s="230" t="s">
        <v>545</v>
      </c>
      <c r="N146" s="232" t="s">
        <v>546</v>
      </c>
    </row>
    <row r="147" spans="1:24" s="510" customFormat="1" ht="24.95" customHeight="1">
      <c r="A147" s="516" t="s">
        <v>630</v>
      </c>
      <c r="B147" s="1653">
        <f>女子一覧表!B75</f>
        <v>0</v>
      </c>
      <c r="C147" s="1654"/>
      <c r="D147" s="1655" t="str">
        <f>IF(女子一覧表!B75="","",VLOOKUP(B147,女子一覧表!$B$13:$F$78,2,FALSE))</f>
        <v/>
      </c>
      <c r="E147" s="1656"/>
      <c r="F147" s="513" t="str">
        <f>IF(女子一覧表!B75="","",VLOOKUP(B147,女子一覧表!$B$13:$F$78,3,FALSE))</f>
        <v/>
      </c>
      <c r="G147" s="514" t="str">
        <f>IF(D147="","",女子一覧表!$A$7)</f>
        <v/>
      </c>
      <c r="H147" s="517" t="s">
        <v>630</v>
      </c>
      <c r="I147" s="1653" t="str">
        <f>IF(女子一覧表!L75="","",女子一覧表!B75)</f>
        <v/>
      </c>
      <c r="J147" s="1654"/>
      <c r="K147" s="1655" t="str">
        <f>IF(女子一覧表!L75="","",VLOOKUP(I147,女子一覧表!$B$13:$F$78,2,FALSE))</f>
        <v/>
      </c>
      <c r="L147" s="1656"/>
      <c r="M147" s="513" t="str">
        <f>IF(女子一覧表!L75="","",VLOOKUP(I147,女子一覧表!$B$13:$F$78,3,FALSE))</f>
        <v/>
      </c>
      <c r="N147" s="514" t="str">
        <f>IF(K147="","",女子一覧表!$A$7)</f>
        <v/>
      </c>
    </row>
    <row r="148" spans="1:24" s="228" customFormat="1" ht="13.5" customHeight="1">
      <c r="A148" s="1578" t="s">
        <v>501</v>
      </c>
      <c r="B148" s="1579"/>
      <c r="C148" s="1580" t="str">
        <f>女子一覧表!Y76</f>
        <v/>
      </c>
      <c r="D148" s="1579"/>
      <c r="E148" s="227" t="s">
        <v>511</v>
      </c>
      <c r="F148" s="1657">
        <f>女子一覧表!J76</f>
        <v>0</v>
      </c>
      <c r="G148" s="1582"/>
      <c r="H148" s="1578" t="s">
        <v>501</v>
      </c>
      <c r="I148" s="1579"/>
      <c r="J148" s="1580" t="str">
        <f>女子一覧表!Z76</f>
        <v/>
      </c>
      <c r="K148" s="1579"/>
      <c r="L148" s="227" t="s">
        <v>511</v>
      </c>
      <c r="M148" s="1657">
        <f>女子一覧表!M76</f>
        <v>0</v>
      </c>
      <c r="N148" s="1582"/>
    </row>
    <row r="149" spans="1:24" s="228" customFormat="1" ht="10.5">
      <c r="A149" s="229" t="s">
        <v>542</v>
      </c>
      <c r="B149" s="1585" t="s">
        <v>543</v>
      </c>
      <c r="C149" s="1585"/>
      <c r="D149" s="1589" t="s">
        <v>544</v>
      </c>
      <c r="E149" s="1589"/>
      <c r="F149" s="230" t="s">
        <v>545</v>
      </c>
      <c r="G149" s="232" t="s">
        <v>546</v>
      </c>
      <c r="H149" s="231" t="s">
        <v>542</v>
      </c>
      <c r="I149" s="1585" t="s">
        <v>543</v>
      </c>
      <c r="J149" s="1585"/>
      <c r="K149" s="1589" t="s">
        <v>544</v>
      </c>
      <c r="L149" s="1589"/>
      <c r="M149" s="230" t="s">
        <v>545</v>
      </c>
      <c r="N149" s="232" t="s">
        <v>546</v>
      </c>
    </row>
    <row r="150" spans="1:24" s="510" customFormat="1" ht="24.95" customHeight="1">
      <c r="A150" s="516" t="s">
        <v>630</v>
      </c>
      <c r="B150" s="1653">
        <f>女子一覧表!B76</f>
        <v>0</v>
      </c>
      <c r="C150" s="1654"/>
      <c r="D150" s="1655" t="str">
        <f>IF(女子一覧表!B76="","",VLOOKUP(B150,女子一覧表!$B$13:$F$78,2,FALSE))</f>
        <v/>
      </c>
      <c r="E150" s="1656"/>
      <c r="F150" s="513" t="str">
        <f>IF(女子一覧表!B76="","",VLOOKUP(B150,女子一覧表!$B$13:$F$78,3,FALSE))</f>
        <v/>
      </c>
      <c r="G150" s="514" t="str">
        <f>IF(D150="","",女子一覧表!$A$7)</f>
        <v/>
      </c>
      <c r="H150" s="517" t="s">
        <v>630</v>
      </c>
      <c r="I150" s="1653" t="str">
        <f>IF(女子一覧表!L76="","",女子一覧表!B76)</f>
        <v/>
      </c>
      <c r="J150" s="1654"/>
      <c r="K150" s="1655" t="str">
        <f>IF(女子一覧表!L76="","",VLOOKUP(I150,女子一覧表!$B$13:$F$78,2,FALSE))</f>
        <v/>
      </c>
      <c r="L150" s="1656"/>
      <c r="M150" s="513" t="str">
        <f>IF(女子一覧表!L76="","",VLOOKUP(I150,女子一覧表!$B$13:$F$78,3,FALSE))</f>
        <v/>
      </c>
      <c r="N150" s="514" t="str">
        <f>IF(K150="","",女子一覧表!$A$7)</f>
        <v/>
      </c>
    </row>
    <row r="151" spans="1:24" s="228" customFormat="1" ht="13.5" customHeight="1">
      <c r="A151" s="1578" t="s">
        <v>501</v>
      </c>
      <c r="B151" s="1579"/>
      <c r="C151" s="1580" t="str">
        <f>女子一覧表!Y77</f>
        <v/>
      </c>
      <c r="D151" s="1579"/>
      <c r="E151" s="227" t="s">
        <v>511</v>
      </c>
      <c r="F151" s="1657">
        <f>女子一覧表!J77</f>
        <v>0</v>
      </c>
      <c r="G151" s="1582"/>
      <c r="H151" s="1578" t="s">
        <v>501</v>
      </c>
      <c r="I151" s="1579"/>
      <c r="J151" s="1580" t="str">
        <f>女子一覧表!Z77</f>
        <v/>
      </c>
      <c r="K151" s="1579"/>
      <c r="L151" s="227" t="s">
        <v>511</v>
      </c>
      <c r="M151" s="1657">
        <f>女子一覧表!M77</f>
        <v>0</v>
      </c>
      <c r="N151" s="1582"/>
    </row>
    <row r="152" spans="1:24" s="228" customFormat="1" ht="10.5">
      <c r="A152" s="229" t="s">
        <v>542</v>
      </c>
      <c r="B152" s="1585" t="s">
        <v>543</v>
      </c>
      <c r="C152" s="1585"/>
      <c r="D152" s="1589" t="s">
        <v>544</v>
      </c>
      <c r="E152" s="1589"/>
      <c r="F152" s="230" t="s">
        <v>545</v>
      </c>
      <c r="G152" s="232" t="s">
        <v>546</v>
      </c>
      <c r="H152" s="231" t="s">
        <v>542</v>
      </c>
      <c r="I152" s="1585" t="s">
        <v>543</v>
      </c>
      <c r="J152" s="1585"/>
      <c r="K152" s="1589" t="s">
        <v>544</v>
      </c>
      <c r="L152" s="1589"/>
      <c r="M152" s="230" t="s">
        <v>545</v>
      </c>
      <c r="N152" s="232" t="s">
        <v>546</v>
      </c>
    </row>
    <row r="153" spans="1:24" s="510" customFormat="1" ht="24.95" customHeight="1">
      <c r="A153" s="516" t="s">
        <v>630</v>
      </c>
      <c r="B153" s="1653">
        <f>女子一覧表!B77</f>
        <v>0</v>
      </c>
      <c r="C153" s="1654"/>
      <c r="D153" s="1655" t="str">
        <f>IF(女子一覧表!B77="","",VLOOKUP(B153,女子一覧表!$B$13:$F$78,2,FALSE))</f>
        <v/>
      </c>
      <c r="E153" s="1656"/>
      <c r="F153" s="513" t="str">
        <f>IF(女子一覧表!B77="","",VLOOKUP(B153,女子一覧表!$B$13:$F$78,3,FALSE))</f>
        <v/>
      </c>
      <c r="G153" s="514" t="str">
        <f>IF(D153="","",女子一覧表!$A$7)</f>
        <v/>
      </c>
      <c r="H153" s="517" t="s">
        <v>630</v>
      </c>
      <c r="I153" s="1653" t="str">
        <f>IF(女子一覧表!L77="","",女子一覧表!B77)</f>
        <v/>
      </c>
      <c r="J153" s="1654"/>
      <c r="K153" s="1655" t="str">
        <f>IF(女子一覧表!L77="","",VLOOKUP(I153,女子一覧表!$B$13:$F$78,2,FALSE))</f>
        <v/>
      </c>
      <c r="L153" s="1656"/>
      <c r="M153" s="513" t="str">
        <f>IF(女子一覧表!L77="","",VLOOKUP(I153,女子一覧表!$B$13:$F$78,3,FALSE))</f>
        <v/>
      </c>
      <c r="N153" s="514" t="str">
        <f>IF(K153="","",女子一覧表!$A$7)</f>
        <v/>
      </c>
    </row>
    <row r="154" spans="1:24" s="228" customFormat="1" ht="13.5" customHeight="1">
      <c r="A154" s="1578" t="s">
        <v>501</v>
      </c>
      <c r="B154" s="1579"/>
      <c r="C154" s="1580" t="str">
        <f>女子一覧表!Y78</f>
        <v/>
      </c>
      <c r="D154" s="1579"/>
      <c r="E154" s="227" t="s">
        <v>511</v>
      </c>
      <c r="F154" s="1657">
        <f>女子一覧表!J78</f>
        <v>0</v>
      </c>
      <c r="G154" s="1582"/>
      <c r="H154" s="1578" t="s">
        <v>501</v>
      </c>
      <c r="I154" s="1579"/>
      <c r="J154" s="1580" t="str">
        <f>女子一覧表!Z78</f>
        <v/>
      </c>
      <c r="K154" s="1579"/>
      <c r="L154" s="227" t="s">
        <v>511</v>
      </c>
      <c r="M154" s="1657">
        <f>女子一覧表!M78</f>
        <v>0</v>
      </c>
      <c r="N154" s="1582"/>
    </row>
    <row r="155" spans="1:24" s="228" customFormat="1" ht="10.5">
      <c r="A155" s="229" t="s">
        <v>542</v>
      </c>
      <c r="B155" s="1583" t="s">
        <v>543</v>
      </c>
      <c r="C155" s="1584"/>
      <c r="D155" s="1590" t="s">
        <v>544</v>
      </c>
      <c r="E155" s="1591"/>
      <c r="F155" s="230" t="s">
        <v>545</v>
      </c>
      <c r="G155" s="232" t="s">
        <v>546</v>
      </c>
      <c r="H155" s="231" t="s">
        <v>542</v>
      </c>
      <c r="I155" s="1583" t="s">
        <v>543</v>
      </c>
      <c r="J155" s="1584"/>
      <c r="K155" s="1590" t="s">
        <v>544</v>
      </c>
      <c r="L155" s="1591"/>
      <c r="M155" s="230" t="s">
        <v>545</v>
      </c>
      <c r="N155" s="232" t="s">
        <v>546</v>
      </c>
    </row>
    <row r="156" spans="1:24" s="510" customFormat="1" ht="24.95" customHeight="1">
      <c r="A156" s="516" t="s">
        <v>630</v>
      </c>
      <c r="B156" s="1653">
        <f>女子一覧表!B78</f>
        <v>0</v>
      </c>
      <c r="C156" s="1654"/>
      <c r="D156" s="1655" t="str">
        <f>IF(女子一覧表!B78="","",VLOOKUP(B156,女子一覧表!$B$13:$F$78,2,FALSE))</f>
        <v/>
      </c>
      <c r="E156" s="1656"/>
      <c r="F156" s="513" t="str">
        <f>IF(女子一覧表!B78="","",VLOOKUP(B156,女子一覧表!$B$13:$F$78,3,FALSE))</f>
        <v/>
      </c>
      <c r="G156" s="514" t="str">
        <f>IF(D156="","",女子一覧表!$A$7)</f>
        <v/>
      </c>
      <c r="H156" s="517" t="s">
        <v>630</v>
      </c>
      <c r="I156" s="1653" t="str">
        <f>IF(女子一覧表!L78="","",女子一覧表!B78)</f>
        <v/>
      </c>
      <c r="J156" s="1654"/>
      <c r="K156" s="1655" t="str">
        <f>IF(女子一覧表!L78="","",VLOOKUP(I156,女子一覧表!$B$13:$F$78,2,FALSE))</f>
        <v/>
      </c>
      <c r="L156" s="1656"/>
      <c r="M156" s="513" t="str">
        <f>IF(女子一覧表!L78="","",VLOOKUP(I156,女子一覧表!$B$13:$F$78,3,FALSE))</f>
        <v/>
      </c>
      <c r="N156" s="514" t="str">
        <f>IF(K156="","",女子一覧表!$A$7)</f>
        <v/>
      </c>
    </row>
    <row r="157" spans="1:24" s="228" customFormat="1" ht="6.75" customHeight="1">
      <c r="A157" s="234"/>
      <c r="B157" s="235"/>
      <c r="C157" s="235"/>
      <c r="D157" s="236"/>
      <c r="E157" s="236"/>
      <c r="F157" s="237"/>
      <c r="G157" s="238"/>
      <c r="H157" s="234"/>
      <c r="I157" s="235"/>
      <c r="J157" s="235"/>
      <c r="K157" s="236"/>
      <c r="L157" s="236"/>
      <c r="M157" s="237"/>
      <c r="N157" s="238"/>
    </row>
    <row r="158" spans="1:24" s="228" customFormat="1" ht="10.5" customHeight="1">
      <c r="A158" s="1605" t="s">
        <v>548</v>
      </c>
      <c r="B158" s="1605"/>
      <c r="C158" s="1605"/>
      <c r="D158" s="1605"/>
      <c r="E158" s="1605"/>
      <c r="F158" s="1605"/>
      <c r="G158" s="1605"/>
      <c r="H158" s="1605"/>
      <c r="I158" s="1605"/>
      <c r="J158" s="1605"/>
      <c r="K158" s="1605"/>
      <c r="L158" s="1605"/>
      <c r="M158" s="1605"/>
      <c r="N158" s="1605"/>
    </row>
    <row r="159" spans="1:24" s="228" customFormat="1" ht="24.75" hidden="1" customHeight="1">
      <c r="A159" s="239"/>
      <c r="B159" s="240"/>
      <c r="C159" s="240"/>
      <c r="D159" s="241"/>
      <c r="E159" s="241"/>
      <c r="F159" s="242"/>
      <c r="G159" s="243"/>
      <c r="H159" s="239"/>
      <c r="I159" s="240"/>
      <c r="J159" s="240"/>
      <c r="K159" s="241"/>
      <c r="L159" s="241"/>
      <c r="M159" s="242"/>
      <c r="N159" s="243"/>
    </row>
    <row r="160" spans="1:24" s="228" customFormat="1" ht="13.5" customHeight="1">
      <c r="A160" s="1641" t="s">
        <v>501</v>
      </c>
      <c r="B160" s="1642"/>
      <c r="C160" s="1601"/>
      <c r="D160" s="1602"/>
      <c r="E160" s="569" t="s">
        <v>511</v>
      </c>
      <c r="F160" s="1606"/>
      <c r="G160" s="1607"/>
      <c r="H160" s="1641" t="s">
        <v>501</v>
      </c>
      <c r="I160" s="1642"/>
      <c r="J160" s="1601"/>
      <c r="K160" s="1602"/>
      <c r="L160" s="569" t="s">
        <v>511</v>
      </c>
      <c r="M160" s="1606"/>
      <c r="N160" s="1607"/>
      <c r="Q160" s="228" t="s">
        <v>514</v>
      </c>
      <c r="X160" s="228" t="s">
        <v>600</v>
      </c>
    </row>
    <row r="161" spans="1:24" s="244" customFormat="1" ht="13.5" customHeight="1">
      <c r="A161" s="1643" t="s">
        <v>546</v>
      </c>
      <c r="B161" s="1644"/>
      <c r="C161" s="1644"/>
      <c r="D161" s="1647">
        <f>男子一覧表!$A$7</f>
        <v>0</v>
      </c>
      <c r="E161" s="1648"/>
      <c r="F161" s="1648"/>
      <c r="G161" s="691" t="s">
        <v>533</v>
      </c>
      <c r="H161" s="1643" t="s">
        <v>546</v>
      </c>
      <c r="I161" s="1644"/>
      <c r="J161" s="1644"/>
      <c r="K161" s="1647">
        <f>男子一覧表!$A$7</f>
        <v>0</v>
      </c>
      <c r="L161" s="1648"/>
      <c r="M161" s="1648"/>
      <c r="N161" s="691" t="s">
        <v>534</v>
      </c>
      <c r="Q161" s="244" t="s">
        <v>564</v>
      </c>
      <c r="X161" s="244" t="s">
        <v>601</v>
      </c>
    </row>
    <row r="162" spans="1:24" s="228" customFormat="1" ht="12" customHeight="1">
      <c r="A162" s="1645" t="s">
        <v>562</v>
      </c>
      <c r="B162" s="1649" t="s">
        <v>565</v>
      </c>
      <c r="C162" s="1649"/>
      <c r="D162" s="1649" t="s">
        <v>551</v>
      </c>
      <c r="E162" s="1649"/>
      <c r="F162" s="1649"/>
      <c r="G162" s="570" t="s">
        <v>545</v>
      </c>
      <c r="H162" s="1650" t="s">
        <v>562</v>
      </c>
      <c r="I162" s="1649" t="s">
        <v>565</v>
      </c>
      <c r="J162" s="1649"/>
      <c r="K162" s="1649" t="s">
        <v>551</v>
      </c>
      <c r="L162" s="1649"/>
      <c r="M162" s="1649"/>
      <c r="N162" s="570" t="s">
        <v>545</v>
      </c>
      <c r="Q162" s="228" t="s">
        <v>566</v>
      </c>
      <c r="X162" s="228" t="s">
        <v>602</v>
      </c>
    </row>
    <row r="163" spans="1:24" s="510" customFormat="1" ht="20.100000000000001" customHeight="1">
      <c r="A163" s="1645"/>
      <c r="B163" s="1613"/>
      <c r="C163" s="1613"/>
      <c r="D163" s="1640" t="str">
        <f>IF(B163="","",VLOOKUP(B163,女子一覧表!$B$13:$C$78,2,FALSE))</f>
        <v/>
      </c>
      <c r="E163" s="1640"/>
      <c r="F163" s="1640"/>
      <c r="G163" s="571" t="str">
        <f>IF(B163="","",VLOOKUP(B163,女子一覧表!$B$13:$E$78,3,FALSE))</f>
        <v/>
      </c>
      <c r="H163" s="1650"/>
      <c r="I163" s="1613"/>
      <c r="J163" s="1613"/>
      <c r="K163" s="1640" t="str">
        <f>IF(I163="","",VLOOKUP(I163,女子一覧表!$B$13:$C$78,2,FALSE))</f>
        <v/>
      </c>
      <c r="L163" s="1640"/>
      <c r="M163" s="1640"/>
      <c r="N163" s="571" t="str">
        <f>IF(I163="","",VLOOKUP(I163,女子一覧表!$B$13:$E$78,3,FALSE))</f>
        <v/>
      </c>
      <c r="Q163" s="510" t="s">
        <v>626</v>
      </c>
    </row>
    <row r="164" spans="1:24" s="510" customFormat="1" ht="20.100000000000001" customHeight="1">
      <c r="A164" s="1645"/>
      <c r="B164" s="1613"/>
      <c r="C164" s="1613"/>
      <c r="D164" s="1640" t="str">
        <f>IF(B164="","",VLOOKUP(B164,女子一覧表!$B$13:$C$78,2,FALSE))</f>
        <v/>
      </c>
      <c r="E164" s="1640"/>
      <c r="F164" s="1640"/>
      <c r="G164" s="571" t="str">
        <f>IF(B164="","",VLOOKUP(B164,女子一覧表!$B$13:$E$78,3,FALSE))</f>
        <v/>
      </c>
      <c r="H164" s="1650"/>
      <c r="I164" s="1613"/>
      <c r="J164" s="1613"/>
      <c r="K164" s="1640" t="str">
        <f>IF(I164="","",VLOOKUP(I164,女子一覧表!$B$13:$C$78,2,FALSE))</f>
        <v/>
      </c>
      <c r="L164" s="1640"/>
      <c r="M164" s="1640"/>
      <c r="N164" s="571" t="str">
        <f>IF(I164="","",VLOOKUP(I164,女子一覧表!$B$13:$E$78,3,FALSE))</f>
        <v/>
      </c>
      <c r="Q164" s="510" t="s">
        <v>627</v>
      </c>
    </row>
    <row r="165" spans="1:24" s="510" customFormat="1" ht="20.100000000000001" customHeight="1">
      <c r="A165" s="1645"/>
      <c r="B165" s="1613"/>
      <c r="C165" s="1613"/>
      <c r="D165" s="1640" t="str">
        <f>IF(B165="","",VLOOKUP(B165,女子一覧表!$B$13:$C$78,2,FALSE))</f>
        <v/>
      </c>
      <c r="E165" s="1640"/>
      <c r="F165" s="1640"/>
      <c r="G165" s="571" t="str">
        <f>IF(B165="","",VLOOKUP(B165,女子一覧表!$B$13:$E$78,3,FALSE))</f>
        <v/>
      </c>
      <c r="H165" s="1650"/>
      <c r="I165" s="1613"/>
      <c r="J165" s="1613"/>
      <c r="K165" s="1640" t="str">
        <f>IF(I165="","",VLOOKUP(I165,女子一覧表!$B$13:$C$78,2,FALSE))</f>
        <v/>
      </c>
      <c r="L165" s="1640"/>
      <c r="M165" s="1640"/>
      <c r="N165" s="571" t="str">
        <f>IF(I165="","",VLOOKUP(I165,女子一覧表!$B$13:$E$78,3,FALSE))</f>
        <v/>
      </c>
    </row>
    <row r="166" spans="1:24" s="510" customFormat="1" ht="20.100000000000001" customHeight="1">
      <c r="A166" s="1645"/>
      <c r="B166" s="1613"/>
      <c r="C166" s="1613"/>
      <c r="D166" s="1640" t="str">
        <f>IF(B166="","",VLOOKUP(B166,女子一覧表!$B$13:$C$78,2,FALSE))</f>
        <v/>
      </c>
      <c r="E166" s="1640"/>
      <c r="F166" s="1640"/>
      <c r="G166" s="571" t="str">
        <f>IF(B166="","",VLOOKUP(B166,女子一覧表!$B$13:$E$78,3,FALSE))</f>
        <v/>
      </c>
      <c r="H166" s="1650"/>
      <c r="I166" s="1613"/>
      <c r="J166" s="1613"/>
      <c r="K166" s="1640" t="str">
        <f>IF(I166="","",VLOOKUP(I166,女子一覧表!$B$13:$C$78,2,FALSE))</f>
        <v/>
      </c>
      <c r="L166" s="1640"/>
      <c r="M166" s="1640"/>
      <c r="N166" s="571" t="str">
        <f>IF(I166="","",VLOOKUP(I166,女子一覧表!$B$13:$E$78,3,FALSE))</f>
        <v/>
      </c>
    </row>
    <row r="167" spans="1:24" s="510" customFormat="1" ht="20.100000000000001" customHeight="1">
      <c r="A167" s="1645"/>
      <c r="B167" s="1613"/>
      <c r="C167" s="1613"/>
      <c r="D167" s="1640" t="str">
        <f>IF(B167="","",VLOOKUP(B167,女子一覧表!$B$13:$C$78,2,FALSE))</f>
        <v/>
      </c>
      <c r="E167" s="1640"/>
      <c r="F167" s="1640"/>
      <c r="G167" s="571" t="str">
        <f>IF(B167="","",VLOOKUP(B167,女子一覧表!$B$13:$E$78,3,FALSE))</f>
        <v/>
      </c>
      <c r="H167" s="1650"/>
      <c r="I167" s="1613"/>
      <c r="J167" s="1613"/>
      <c r="K167" s="1640" t="str">
        <f>IF(I167="","",VLOOKUP(I167,女子一覧表!$B$13:$C$78,2,FALSE))</f>
        <v/>
      </c>
      <c r="L167" s="1640"/>
      <c r="M167" s="1640"/>
      <c r="N167" s="571" t="str">
        <f>IF(I167="","",VLOOKUP(I167,女子一覧表!$B$13:$E$78,3,FALSE))</f>
        <v/>
      </c>
    </row>
    <row r="168" spans="1:24" s="510" customFormat="1" ht="20.100000000000001" customHeight="1">
      <c r="A168" s="1646"/>
      <c r="B168" s="1617"/>
      <c r="C168" s="1617"/>
      <c r="D168" s="1640" t="str">
        <f>IF(B168="","",VLOOKUP(B168,女子一覧表!$B$13:$C$78,2,FALSE))</f>
        <v/>
      </c>
      <c r="E168" s="1640"/>
      <c r="F168" s="1640"/>
      <c r="G168" s="571" t="str">
        <f>IF(B168="","",VLOOKUP(B168,女子一覧表!$B$13:$E$78,3,FALSE))</f>
        <v/>
      </c>
      <c r="H168" s="1651"/>
      <c r="I168" s="1617"/>
      <c r="J168" s="1617"/>
      <c r="K168" s="1640" t="str">
        <f>IF(I168="","",VLOOKUP(I168,女子一覧表!$B$13:$C$78,2,FALSE))</f>
        <v/>
      </c>
      <c r="L168" s="1640"/>
      <c r="M168" s="1640"/>
      <c r="N168" s="571" t="str">
        <f>IF(I168="","",VLOOKUP(I168,女子一覧表!$B$13:$E$78,3,FALSE))</f>
        <v/>
      </c>
    </row>
    <row r="169" spans="1:24" s="228" customFormat="1" ht="13.5" customHeight="1">
      <c r="A169" s="1641" t="s">
        <v>501</v>
      </c>
      <c r="B169" s="1642"/>
      <c r="C169" s="1601"/>
      <c r="D169" s="1602"/>
      <c r="E169" s="569" t="s">
        <v>511</v>
      </c>
      <c r="F169" s="1606"/>
      <c r="G169" s="1607"/>
      <c r="H169" s="1641" t="s">
        <v>501</v>
      </c>
      <c r="I169" s="1642"/>
      <c r="J169" s="1601"/>
      <c r="K169" s="1602"/>
      <c r="L169" s="569" t="s">
        <v>511</v>
      </c>
      <c r="M169" s="1606"/>
      <c r="N169" s="1607"/>
    </row>
    <row r="170" spans="1:24" s="244" customFormat="1" ht="13.5" customHeight="1">
      <c r="A170" s="1643" t="s">
        <v>546</v>
      </c>
      <c r="B170" s="1644"/>
      <c r="C170" s="1644"/>
      <c r="D170" s="1647">
        <f>男子一覧表!$A$7</f>
        <v>0</v>
      </c>
      <c r="E170" s="1648"/>
      <c r="F170" s="1648"/>
      <c r="G170" s="691" t="s">
        <v>535</v>
      </c>
      <c r="H170" s="1643" t="s">
        <v>546</v>
      </c>
      <c r="I170" s="1644"/>
      <c r="J170" s="1644"/>
      <c r="K170" s="1647">
        <f>男子一覧表!$A$7</f>
        <v>0</v>
      </c>
      <c r="L170" s="1648"/>
      <c r="M170" s="1648"/>
      <c r="N170" s="691" t="s">
        <v>536</v>
      </c>
    </row>
    <row r="171" spans="1:24" s="228" customFormat="1" ht="12" customHeight="1">
      <c r="A171" s="1645" t="s">
        <v>562</v>
      </c>
      <c r="B171" s="1649" t="s">
        <v>565</v>
      </c>
      <c r="C171" s="1649"/>
      <c r="D171" s="1649" t="s">
        <v>551</v>
      </c>
      <c r="E171" s="1649"/>
      <c r="F171" s="1649"/>
      <c r="G171" s="570" t="s">
        <v>545</v>
      </c>
      <c r="H171" s="1650" t="s">
        <v>562</v>
      </c>
      <c r="I171" s="1649" t="s">
        <v>565</v>
      </c>
      <c r="J171" s="1649"/>
      <c r="K171" s="1649" t="s">
        <v>551</v>
      </c>
      <c r="L171" s="1649"/>
      <c r="M171" s="1649"/>
      <c r="N171" s="570" t="s">
        <v>545</v>
      </c>
    </row>
    <row r="172" spans="1:24" s="510" customFormat="1" ht="20.100000000000001" customHeight="1">
      <c r="A172" s="1645"/>
      <c r="B172" s="1613"/>
      <c r="C172" s="1613"/>
      <c r="D172" s="1640" t="str">
        <f>IF(B172="","",VLOOKUP(B172,女子一覧表!$B$13:$C$78,2,FALSE))</f>
        <v/>
      </c>
      <c r="E172" s="1640"/>
      <c r="F172" s="1640"/>
      <c r="G172" s="571" t="str">
        <f>IF(B172="","",VLOOKUP(B172,女子一覧表!$B$13:$E$78,3,FALSE))</f>
        <v/>
      </c>
      <c r="H172" s="1650"/>
      <c r="I172" s="1613"/>
      <c r="J172" s="1613"/>
      <c r="K172" s="1640" t="str">
        <f>IF(I172="","",VLOOKUP(I172,女子一覧表!$B$13:$C$78,2,FALSE))</f>
        <v/>
      </c>
      <c r="L172" s="1640"/>
      <c r="M172" s="1640"/>
      <c r="N172" s="571" t="str">
        <f>IF(I172="","",VLOOKUP(I172,女子一覧表!$B$13:$E$78,3,FALSE))</f>
        <v/>
      </c>
    </row>
    <row r="173" spans="1:24" s="510" customFormat="1" ht="20.100000000000001" customHeight="1">
      <c r="A173" s="1645"/>
      <c r="B173" s="1613"/>
      <c r="C173" s="1613"/>
      <c r="D173" s="1640" t="str">
        <f>IF(B173="","",VLOOKUP(B173,女子一覧表!$B$13:$C$78,2,FALSE))</f>
        <v/>
      </c>
      <c r="E173" s="1640"/>
      <c r="F173" s="1640"/>
      <c r="G173" s="571" t="str">
        <f>IF(B173="","",VLOOKUP(B173,女子一覧表!$B$13:$E$78,3,FALSE))</f>
        <v/>
      </c>
      <c r="H173" s="1650"/>
      <c r="I173" s="1613"/>
      <c r="J173" s="1613"/>
      <c r="K173" s="1640" t="str">
        <f>IF(I173="","",VLOOKUP(I173,女子一覧表!$B$13:$C$78,2,FALSE))</f>
        <v/>
      </c>
      <c r="L173" s="1640"/>
      <c r="M173" s="1640"/>
      <c r="N173" s="571" t="str">
        <f>IF(I173="","",VLOOKUP(I173,女子一覧表!$B$13:$E$78,3,FALSE))</f>
        <v/>
      </c>
    </row>
    <row r="174" spans="1:24" s="510" customFormat="1" ht="20.100000000000001" customHeight="1">
      <c r="A174" s="1645"/>
      <c r="B174" s="1613"/>
      <c r="C174" s="1613"/>
      <c r="D174" s="1640" t="str">
        <f>IF(B174="","",VLOOKUP(B174,女子一覧表!$B$13:$C$78,2,FALSE))</f>
        <v/>
      </c>
      <c r="E174" s="1640"/>
      <c r="F174" s="1640"/>
      <c r="G174" s="571" t="str">
        <f>IF(B174="","",VLOOKUP(B174,女子一覧表!$B$13:$E$78,3,FALSE))</f>
        <v/>
      </c>
      <c r="H174" s="1650"/>
      <c r="I174" s="1613"/>
      <c r="J174" s="1613"/>
      <c r="K174" s="1640" t="str">
        <f>IF(I174="","",VLOOKUP(I174,女子一覧表!$B$13:$C$78,2,FALSE))</f>
        <v/>
      </c>
      <c r="L174" s="1640"/>
      <c r="M174" s="1640"/>
      <c r="N174" s="571" t="str">
        <f>IF(I174="","",VLOOKUP(I174,女子一覧表!$B$13:$E$78,3,FALSE))</f>
        <v/>
      </c>
    </row>
    <row r="175" spans="1:24" s="510" customFormat="1" ht="20.100000000000001" customHeight="1">
      <c r="A175" s="1645"/>
      <c r="B175" s="1613"/>
      <c r="C175" s="1613"/>
      <c r="D175" s="1640" t="str">
        <f>IF(B175="","",VLOOKUP(B175,女子一覧表!$B$13:$C$78,2,FALSE))</f>
        <v/>
      </c>
      <c r="E175" s="1640"/>
      <c r="F175" s="1640"/>
      <c r="G175" s="571" t="str">
        <f>IF(B175="","",VLOOKUP(B175,女子一覧表!$B$13:$E$78,3,FALSE))</f>
        <v/>
      </c>
      <c r="H175" s="1650"/>
      <c r="I175" s="1613"/>
      <c r="J175" s="1613"/>
      <c r="K175" s="1640" t="str">
        <f>IF(I175="","",VLOOKUP(I175,女子一覧表!$B$13:$C$78,2,FALSE))</f>
        <v/>
      </c>
      <c r="L175" s="1640"/>
      <c r="M175" s="1640"/>
      <c r="N175" s="571" t="str">
        <f>IF(I175="","",VLOOKUP(I175,女子一覧表!$B$13:$E$78,3,FALSE))</f>
        <v/>
      </c>
    </row>
    <row r="176" spans="1:24" s="510" customFormat="1" ht="20.100000000000001" customHeight="1">
      <c r="A176" s="1645"/>
      <c r="B176" s="1613"/>
      <c r="C176" s="1613"/>
      <c r="D176" s="1640" t="str">
        <f>IF(B176="","",VLOOKUP(B176,女子一覧表!$B$13:$C$78,2,FALSE))</f>
        <v/>
      </c>
      <c r="E176" s="1640"/>
      <c r="F176" s="1640"/>
      <c r="G176" s="571" t="str">
        <f>IF(B176="","",VLOOKUP(B176,女子一覧表!$B$13:$E$78,3,FALSE))</f>
        <v/>
      </c>
      <c r="H176" s="1650"/>
      <c r="I176" s="1613"/>
      <c r="J176" s="1613"/>
      <c r="K176" s="1640" t="str">
        <f>IF(I176="","",VLOOKUP(I176,女子一覧表!$B$13:$C$78,2,FALSE))</f>
        <v/>
      </c>
      <c r="L176" s="1640"/>
      <c r="M176" s="1640"/>
      <c r="N176" s="571" t="str">
        <f>IF(I176="","",VLOOKUP(I176,女子一覧表!$B$13:$E$78,3,FALSE))</f>
        <v/>
      </c>
    </row>
    <row r="177" spans="1:14" s="510" customFormat="1" ht="20.100000000000001" customHeight="1">
      <c r="A177" s="1646"/>
      <c r="B177" s="1617"/>
      <c r="C177" s="1617"/>
      <c r="D177" s="1640" t="str">
        <f>IF(B177="","",VLOOKUP(B177,女子一覧表!$B$13:$C$78,2,FALSE))</f>
        <v/>
      </c>
      <c r="E177" s="1640"/>
      <c r="F177" s="1640"/>
      <c r="G177" s="571" t="str">
        <f>IF(B177="","",VLOOKUP(B177,女子一覧表!$B$13:$E$78,3,FALSE))</f>
        <v/>
      </c>
      <c r="H177" s="1651"/>
      <c r="I177" s="1617"/>
      <c r="J177" s="1617"/>
      <c r="K177" s="1640" t="str">
        <f>IF(I177="","",VLOOKUP(I177,女子一覧表!$B$13:$C$78,2,FALSE))</f>
        <v/>
      </c>
      <c r="L177" s="1640"/>
      <c r="M177" s="1640"/>
      <c r="N177" s="571" t="str">
        <f>IF(I177="","",VLOOKUP(I177,女子一覧表!$B$13:$E$78,3,FALSE))</f>
        <v/>
      </c>
    </row>
    <row r="178" spans="1:14" s="228" customFormat="1" ht="13.5" customHeight="1">
      <c r="A178" s="1641" t="s">
        <v>501</v>
      </c>
      <c r="B178" s="1642"/>
      <c r="C178" s="1601"/>
      <c r="D178" s="1602"/>
      <c r="E178" s="569" t="s">
        <v>511</v>
      </c>
      <c r="F178" s="1606"/>
      <c r="G178" s="1607"/>
      <c r="H178" s="1641" t="s">
        <v>501</v>
      </c>
      <c r="I178" s="1642"/>
      <c r="J178" s="1601"/>
      <c r="K178" s="1602"/>
      <c r="L178" s="569" t="s">
        <v>511</v>
      </c>
      <c r="M178" s="1606"/>
      <c r="N178" s="1607"/>
    </row>
    <row r="179" spans="1:14" s="244" customFormat="1" ht="13.5" customHeight="1">
      <c r="A179" s="1643" t="s">
        <v>546</v>
      </c>
      <c r="B179" s="1644"/>
      <c r="C179" s="1644"/>
      <c r="D179" s="1647">
        <f>男子一覧表!$A$7</f>
        <v>0</v>
      </c>
      <c r="E179" s="1648"/>
      <c r="F179" s="1648"/>
      <c r="G179" s="691" t="s">
        <v>537</v>
      </c>
      <c r="H179" s="1643" t="s">
        <v>546</v>
      </c>
      <c r="I179" s="1644"/>
      <c r="J179" s="1644"/>
      <c r="K179" s="1647">
        <f>男子一覧表!$A$7</f>
        <v>0</v>
      </c>
      <c r="L179" s="1648"/>
      <c r="M179" s="1648"/>
      <c r="N179" s="691"/>
    </row>
    <row r="180" spans="1:14" s="228" customFormat="1" ht="12" customHeight="1">
      <c r="A180" s="1645" t="s">
        <v>562</v>
      </c>
      <c r="B180" s="1649" t="s">
        <v>565</v>
      </c>
      <c r="C180" s="1649"/>
      <c r="D180" s="1649" t="s">
        <v>551</v>
      </c>
      <c r="E180" s="1649"/>
      <c r="F180" s="1649"/>
      <c r="G180" s="570" t="s">
        <v>545</v>
      </c>
      <c r="H180" s="1650" t="s">
        <v>562</v>
      </c>
      <c r="I180" s="1649" t="s">
        <v>565</v>
      </c>
      <c r="J180" s="1649"/>
      <c r="K180" s="1649" t="s">
        <v>551</v>
      </c>
      <c r="L180" s="1649"/>
      <c r="M180" s="1649"/>
      <c r="N180" s="570" t="s">
        <v>545</v>
      </c>
    </row>
    <row r="181" spans="1:14" s="510" customFormat="1" ht="20.100000000000001" customHeight="1">
      <c r="A181" s="1645"/>
      <c r="B181" s="1613"/>
      <c r="C181" s="1613"/>
      <c r="D181" s="1640" t="str">
        <f>IF(B181="","",VLOOKUP(B181,女子一覧表!$B$13:$C$78,2,FALSE))</f>
        <v/>
      </c>
      <c r="E181" s="1640"/>
      <c r="F181" s="1640"/>
      <c r="G181" s="571" t="str">
        <f>IF(B181="","",VLOOKUP(B181,女子一覧表!$B$13:$E$78,3,FALSE))</f>
        <v/>
      </c>
      <c r="H181" s="1650"/>
      <c r="I181" s="1613"/>
      <c r="J181" s="1613"/>
      <c r="K181" s="1640" t="str">
        <f>IF(I181="","",VLOOKUP(I181,女子一覧表!$B$13:$C$78,2,FALSE))</f>
        <v/>
      </c>
      <c r="L181" s="1640"/>
      <c r="M181" s="1640"/>
      <c r="N181" s="571" t="str">
        <f>IF(I181="","",VLOOKUP(I181,女子一覧表!$B$13:$E$78,3,FALSE))</f>
        <v/>
      </c>
    </row>
    <row r="182" spans="1:14" s="510" customFormat="1" ht="20.100000000000001" customHeight="1">
      <c r="A182" s="1645"/>
      <c r="B182" s="1613"/>
      <c r="C182" s="1613"/>
      <c r="D182" s="1640" t="str">
        <f>IF(B182="","",VLOOKUP(B182,女子一覧表!$B$13:$C$78,2,FALSE))</f>
        <v/>
      </c>
      <c r="E182" s="1640"/>
      <c r="F182" s="1640"/>
      <c r="G182" s="571" t="str">
        <f>IF(B182="","",VLOOKUP(B182,女子一覧表!$B$13:$E$78,3,FALSE))</f>
        <v/>
      </c>
      <c r="H182" s="1650"/>
      <c r="I182" s="1613"/>
      <c r="J182" s="1613"/>
      <c r="K182" s="1640" t="str">
        <f>IF(I182="","",VLOOKUP(I182,女子一覧表!$B$13:$C$78,2,FALSE))</f>
        <v/>
      </c>
      <c r="L182" s="1640"/>
      <c r="M182" s="1640"/>
      <c r="N182" s="571" t="str">
        <f>IF(I182="","",VLOOKUP(I182,女子一覧表!$B$13:$E$78,3,FALSE))</f>
        <v/>
      </c>
    </row>
    <row r="183" spans="1:14" s="510" customFormat="1" ht="20.100000000000001" customHeight="1">
      <c r="A183" s="1645"/>
      <c r="B183" s="1613"/>
      <c r="C183" s="1613"/>
      <c r="D183" s="1640" t="str">
        <f>IF(B183="","",VLOOKUP(B183,女子一覧表!$B$13:$C$78,2,FALSE))</f>
        <v/>
      </c>
      <c r="E183" s="1640"/>
      <c r="F183" s="1640"/>
      <c r="G183" s="571" t="str">
        <f>IF(B183="","",VLOOKUP(B183,女子一覧表!$B$13:$E$78,3,FALSE))</f>
        <v/>
      </c>
      <c r="H183" s="1650"/>
      <c r="I183" s="1613"/>
      <c r="J183" s="1613"/>
      <c r="K183" s="1640" t="str">
        <f>IF(I183="","",VLOOKUP(I183,女子一覧表!$B$13:$C$78,2,FALSE))</f>
        <v/>
      </c>
      <c r="L183" s="1640"/>
      <c r="M183" s="1640"/>
      <c r="N183" s="571" t="str">
        <f>IF(I183="","",VLOOKUP(I183,女子一覧表!$B$13:$E$78,3,FALSE))</f>
        <v/>
      </c>
    </row>
    <row r="184" spans="1:14" s="510" customFormat="1" ht="20.100000000000001" customHeight="1">
      <c r="A184" s="1645"/>
      <c r="B184" s="1613"/>
      <c r="C184" s="1613"/>
      <c r="D184" s="1640" t="str">
        <f>IF(B184="","",VLOOKUP(B184,女子一覧表!$B$13:$C$78,2,FALSE))</f>
        <v/>
      </c>
      <c r="E184" s="1640"/>
      <c r="F184" s="1640"/>
      <c r="G184" s="571" t="str">
        <f>IF(B184="","",VLOOKUP(B184,女子一覧表!$B$13:$E$78,3,FALSE))</f>
        <v/>
      </c>
      <c r="H184" s="1650"/>
      <c r="I184" s="1613"/>
      <c r="J184" s="1613"/>
      <c r="K184" s="1640" t="str">
        <f>IF(I184="","",VLOOKUP(I184,女子一覧表!$B$13:$C$78,2,FALSE))</f>
        <v/>
      </c>
      <c r="L184" s="1640"/>
      <c r="M184" s="1640"/>
      <c r="N184" s="571" t="str">
        <f>IF(I184="","",VLOOKUP(I184,女子一覧表!$B$13:$E$78,3,FALSE))</f>
        <v/>
      </c>
    </row>
    <row r="185" spans="1:14" s="510" customFormat="1" ht="20.100000000000001" customHeight="1">
      <c r="A185" s="1645"/>
      <c r="B185" s="1613"/>
      <c r="C185" s="1613"/>
      <c r="D185" s="1640" t="str">
        <f>IF(B185="","",VLOOKUP(B185,女子一覧表!$B$13:$C$78,2,FALSE))</f>
        <v/>
      </c>
      <c r="E185" s="1640"/>
      <c r="F185" s="1640"/>
      <c r="G185" s="571" t="str">
        <f>IF(B185="","",VLOOKUP(B185,女子一覧表!$B$13:$E$78,3,FALSE))</f>
        <v/>
      </c>
      <c r="H185" s="1650"/>
      <c r="I185" s="1613"/>
      <c r="J185" s="1613"/>
      <c r="K185" s="1640" t="str">
        <f>IF(I185="","",VLOOKUP(I185,女子一覧表!$B$13:$C$78,2,FALSE))</f>
        <v/>
      </c>
      <c r="L185" s="1640"/>
      <c r="M185" s="1640"/>
      <c r="N185" s="571" t="str">
        <f>IF(I185="","",VLOOKUP(I185,女子一覧表!$B$13:$E$78,3,FALSE))</f>
        <v/>
      </c>
    </row>
    <row r="186" spans="1:14" s="510" customFormat="1" ht="20.100000000000001" customHeight="1">
      <c r="A186" s="1646"/>
      <c r="B186" s="1617"/>
      <c r="C186" s="1617"/>
      <c r="D186" s="1652" t="str">
        <f>IF(B186="","",VLOOKUP(B186,女子一覧表!$B$13:$C$78,2,FALSE))</f>
        <v/>
      </c>
      <c r="E186" s="1652"/>
      <c r="F186" s="1652"/>
      <c r="G186" s="572" t="str">
        <f>IF(B186="","",VLOOKUP(B186,女子一覧表!$B$13:$E$78,3,FALSE))</f>
        <v/>
      </c>
      <c r="H186" s="1651"/>
      <c r="I186" s="1617"/>
      <c r="J186" s="1617"/>
      <c r="K186" s="1652" t="str">
        <f>IF(I186="","",VLOOKUP(I186,女子一覧表!$B$13:$C$78,2,FALSE))</f>
        <v/>
      </c>
      <c r="L186" s="1652"/>
      <c r="M186" s="1652"/>
      <c r="N186" s="572" t="str">
        <f>IF(I186="","",VLOOKUP(I186,女子一覧表!$B$13:$E$78,3,FALSE))</f>
        <v/>
      </c>
    </row>
    <row r="187" spans="1:14" s="228" customFormat="1" ht="13.5" customHeight="1">
      <c r="A187" s="1641" t="s">
        <v>501</v>
      </c>
      <c r="B187" s="1642"/>
      <c r="C187" s="1601"/>
      <c r="D187" s="1602"/>
      <c r="E187" s="569" t="s">
        <v>511</v>
      </c>
      <c r="F187" s="1606"/>
      <c r="G187" s="1607"/>
      <c r="H187" s="1641" t="s">
        <v>501</v>
      </c>
      <c r="I187" s="1642"/>
      <c r="J187" s="1601"/>
      <c r="K187" s="1602"/>
      <c r="L187" s="569" t="s">
        <v>511</v>
      </c>
      <c r="M187" s="1606"/>
      <c r="N187" s="1607"/>
    </row>
    <row r="188" spans="1:14" s="244" customFormat="1" ht="13.5" customHeight="1">
      <c r="A188" s="1643" t="s">
        <v>546</v>
      </c>
      <c r="B188" s="1644"/>
      <c r="C188" s="1644"/>
      <c r="D188" s="1647">
        <f>男子一覧表!$A$7</f>
        <v>0</v>
      </c>
      <c r="E188" s="1648"/>
      <c r="F188" s="1648"/>
      <c r="G188" s="691" t="s">
        <v>537</v>
      </c>
      <c r="H188" s="1643" t="s">
        <v>546</v>
      </c>
      <c r="I188" s="1644"/>
      <c r="J188" s="1644"/>
      <c r="K188" s="1647">
        <f>男子一覧表!$A$7</f>
        <v>0</v>
      </c>
      <c r="L188" s="1648"/>
      <c r="M188" s="1648"/>
      <c r="N188" s="691"/>
    </row>
    <row r="189" spans="1:14" s="228" customFormat="1" ht="12" customHeight="1">
      <c r="A189" s="1645" t="s">
        <v>562</v>
      </c>
      <c r="B189" s="1649" t="s">
        <v>565</v>
      </c>
      <c r="C189" s="1649"/>
      <c r="D189" s="1649" t="s">
        <v>551</v>
      </c>
      <c r="E189" s="1649"/>
      <c r="F189" s="1649"/>
      <c r="G189" s="570" t="s">
        <v>545</v>
      </c>
      <c r="H189" s="1650" t="s">
        <v>562</v>
      </c>
      <c r="I189" s="1649" t="s">
        <v>565</v>
      </c>
      <c r="J189" s="1649"/>
      <c r="K189" s="1649" t="s">
        <v>551</v>
      </c>
      <c r="L189" s="1649"/>
      <c r="M189" s="1649"/>
      <c r="N189" s="570" t="s">
        <v>545</v>
      </c>
    </row>
    <row r="190" spans="1:14" s="510" customFormat="1" ht="20.100000000000001" customHeight="1">
      <c r="A190" s="1645"/>
      <c r="B190" s="1613"/>
      <c r="C190" s="1613"/>
      <c r="D190" s="1640" t="str">
        <f>IF(B190="","",VLOOKUP(B190,女子一覧表!$B$13:$C$78,2,FALSE))</f>
        <v/>
      </c>
      <c r="E190" s="1640"/>
      <c r="F190" s="1640"/>
      <c r="G190" s="571" t="str">
        <f>IF(B190="","",VLOOKUP(B190,女子一覧表!$B$13:$E$78,3,FALSE))</f>
        <v/>
      </c>
      <c r="H190" s="1650"/>
      <c r="I190" s="1613"/>
      <c r="J190" s="1613"/>
      <c r="K190" s="1640" t="str">
        <f>IF(I190="","",VLOOKUP(I190,女子一覧表!$B$13:$C$78,2,FALSE))</f>
        <v/>
      </c>
      <c r="L190" s="1640"/>
      <c r="M190" s="1640"/>
      <c r="N190" s="571" t="str">
        <f>IF(I190="","",VLOOKUP(I190,女子一覧表!$B$13:$E$78,3,FALSE))</f>
        <v/>
      </c>
    </row>
    <row r="191" spans="1:14" s="510" customFormat="1" ht="20.100000000000001" customHeight="1">
      <c r="A191" s="1645"/>
      <c r="B191" s="1613"/>
      <c r="C191" s="1613"/>
      <c r="D191" s="1640" t="str">
        <f>IF(B191="","",VLOOKUP(B191,女子一覧表!$B$13:$C$78,2,FALSE))</f>
        <v/>
      </c>
      <c r="E191" s="1640"/>
      <c r="F191" s="1640"/>
      <c r="G191" s="571" t="str">
        <f>IF(B191="","",VLOOKUP(B191,女子一覧表!$B$13:$E$78,3,FALSE))</f>
        <v/>
      </c>
      <c r="H191" s="1650"/>
      <c r="I191" s="1613"/>
      <c r="J191" s="1613"/>
      <c r="K191" s="1640" t="str">
        <f>IF(I191="","",VLOOKUP(I191,女子一覧表!$B$13:$C$78,2,FALSE))</f>
        <v/>
      </c>
      <c r="L191" s="1640"/>
      <c r="M191" s="1640"/>
      <c r="N191" s="571" t="str">
        <f>IF(I191="","",VLOOKUP(I191,女子一覧表!$B$13:$E$78,3,FALSE))</f>
        <v/>
      </c>
    </row>
    <row r="192" spans="1:14" s="510" customFormat="1" ht="20.100000000000001" customHeight="1">
      <c r="A192" s="1645"/>
      <c r="B192" s="1613"/>
      <c r="C192" s="1613"/>
      <c r="D192" s="1640" t="str">
        <f>IF(B192="","",VLOOKUP(B192,女子一覧表!$B$13:$C$78,2,FALSE))</f>
        <v/>
      </c>
      <c r="E192" s="1640"/>
      <c r="F192" s="1640"/>
      <c r="G192" s="571" t="str">
        <f>IF(B192="","",VLOOKUP(B192,女子一覧表!$B$13:$E$78,3,FALSE))</f>
        <v/>
      </c>
      <c r="H192" s="1650"/>
      <c r="I192" s="1613"/>
      <c r="J192" s="1613"/>
      <c r="K192" s="1640" t="str">
        <f>IF(I192="","",VLOOKUP(I192,女子一覧表!$B$13:$C$78,2,FALSE))</f>
        <v/>
      </c>
      <c r="L192" s="1640"/>
      <c r="M192" s="1640"/>
      <c r="N192" s="571" t="str">
        <f>IF(I192="","",VLOOKUP(I192,女子一覧表!$B$13:$E$78,3,FALSE))</f>
        <v/>
      </c>
    </row>
    <row r="193" spans="1:14" s="510" customFormat="1" ht="20.100000000000001" customHeight="1">
      <c r="A193" s="1645"/>
      <c r="B193" s="1613"/>
      <c r="C193" s="1613"/>
      <c r="D193" s="1640" t="str">
        <f>IF(B193="","",VLOOKUP(B193,女子一覧表!$B$13:$C$78,2,FALSE))</f>
        <v/>
      </c>
      <c r="E193" s="1640"/>
      <c r="F193" s="1640"/>
      <c r="G193" s="571" t="str">
        <f>IF(B193="","",VLOOKUP(B193,女子一覧表!$B$13:$E$78,3,FALSE))</f>
        <v/>
      </c>
      <c r="H193" s="1650"/>
      <c r="I193" s="1613"/>
      <c r="J193" s="1613"/>
      <c r="K193" s="1640" t="str">
        <f>IF(I193="","",VLOOKUP(I193,女子一覧表!$B$13:$C$78,2,FALSE))</f>
        <v/>
      </c>
      <c r="L193" s="1640"/>
      <c r="M193" s="1640"/>
      <c r="N193" s="571" t="str">
        <f>IF(I193="","",VLOOKUP(I193,女子一覧表!$B$13:$E$78,3,FALSE))</f>
        <v/>
      </c>
    </row>
    <row r="194" spans="1:14" s="510" customFormat="1" ht="20.100000000000001" customHeight="1">
      <c r="A194" s="1645"/>
      <c r="B194" s="1613"/>
      <c r="C194" s="1613"/>
      <c r="D194" s="1640" t="str">
        <f>IF(B194="","",VLOOKUP(B194,女子一覧表!$B$13:$C$78,2,FALSE))</f>
        <v/>
      </c>
      <c r="E194" s="1640"/>
      <c r="F194" s="1640"/>
      <c r="G194" s="571" t="str">
        <f>IF(B194="","",VLOOKUP(B194,女子一覧表!$B$13:$E$78,3,FALSE))</f>
        <v/>
      </c>
      <c r="H194" s="1650"/>
      <c r="I194" s="1613"/>
      <c r="J194" s="1613"/>
      <c r="K194" s="1640" t="str">
        <f>IF(I194="","",VLOOKUP(I194,女子一覧表!$B$13:$C$78,2,FALSE))</f>
        <v/>
      </c>
      <c r="L194" s="1640"/>
      <c r="M194" s="1640"/>
      <c r="N194" s="571" t="str">
        <f>IF(I194="","",VLOOKUP(I194,女子一覧表!$B$13:$E$78,3,FALSE))</f>
        <v/>
      </c>
    </row>
    <row r="195" spans="1:14" s="510" customFormat="1" ht="20.100000000000001" customHeight="1">
      <c r="A195" s="1646"/>
      <c r="B195" s="1617"/>
      <c r="C195" s="1617"/>
      <c r="D195" s="1652" t="str">
        <f>IF(B195="","",VLOOKUP(B195,女子一覧表!$B$13:$C$78,2,FALSE))</f>
        <v/>
      </c>
      <c r="E195" s="1652"/>
      <c r="F195" s="1652"/>
      <c r="G195" s="572" t="str">
        <f>IF(B195="","",VLOOKUP(B195,女子一覧表!$B$13:$E$78,3,FALSE))</f>
        <v/>
      </c>
      <c r="H195" s="1651"/>
      <c r="I195" s="1617"/>
      <c r="J195" s="1617"/>
      <c r="K195" s="1652" t="str">
        <f>IF(I195="","",VLOOKUP(I195,女子一覧表!$B$13:$C$78,2,FALSE))</f>
        <v/>
      </c>
      <c r="L195" s="1652"/>
      <c r="M195" s="1652"/>
      <c r="N195" s="572" t="str">
        <f>IF(I195="","",VLOOKUP(I195,女子一覧表!$B$13:$E$78,3,FALSE))</f>
        <v/>
      </c>
    </row>
  </sheetData>
  <sheetProtection sheet="1" objects="1" scenarios="1"/>
  <mergeCells count="867">
    <mergeCell ref="M187:N187"/>
    <mergeCell ref="A189:A195"/>
    <mergeCell ref="B189:C189"/>
    <mergeCell ref="D189:F189"/>
    <mergeCell ref="D191:F191"/>
    <mergeCell ref="B195:C195"/>
    <mergeCell ref="K188:M188"/>
    <mergeCell ref="B191:C191"/>
    <mergeCell ref="K189:M189"/>
    <mergeCell ref="H189:H195"/>
    <mergeCell ref="I195:J195"/>
    <mergeCell ref="K193:M193"/>
    <mergeCell ref="I194:J194"/>
    <mergeCell ref="K194:M194"/>
    <mergeCell ref="B193:C193"/>
    <mergeCell ref="D193:F193"/>
    <mergeCell ref="B192:C192"/>
    <mergeCell ref="D192:F192"/>
    <mergeCell ref="D190:F190"/>
    <mergeCell ref="H188:J188"/>
    <mergeCell ref="D195:F195"/>
    <mergeCell ref="B194:C194"/>
    <mergeCell ref="D194:F194"/>
    <mergeCell ref="B190:C190"/>
    <mergeCell ref="K195:M195"/>
    <mergeCell ref="I192:J192"/>
    <mergeCell ref="K192:M192"/>
    <mergeCell ref="I193:J193"/>
    <mergeCell ref="A188:C188"/>
    <mergeCell ref="D188:F188"/>
    <mergeCell ref="I191:J191"/>
    <mergeCell ref="K191:M191"/>
    <mergeCell ref="I190:J190"/>
    <mergeCell ref="K190:M190"/>
    <mergeCell ref="B107:C107"/>
    <mergeCell ref="D107:E107"/>
    <mergeCell ref="B108:C108"/>
    <mergeCell ref="A187:B187"/>
    <mergeCell ref="C187:D187"/>
    <mergeCell ref="F187:G187"/>
    <mergeCell ref="D173:F173"/>
    <mergeCell ref="A169:B169"/>
    <mergeCell ref="I189:J189"/>
    <mergeCell ref="H187:I187"/>
    <mergeCell ref="J187:K187"/>
    <mergeCell ref="D108:E108"/>
    <mergeCell ref="K116:L116"/>
    <mergeCell ref="K117:L117"/>
    <mergeCell ref="I117:J117"/>
    <mergeCell ref="D110:E110"/>
    <mergeCell ref="K111:L111"/>
    <mergeCell ref="J112:K112"/>
    <mergeCell ref="A112:B112"/>
    <mergeCell ref="D111:E111"/>
    <mergeCell ref="C112:D112"/>
    <mergeCell ref="D120:E120"/>
    <mergeCell ref="C121:D121"/>
    <mergeCell ref="F121:G121"/>
    <mergeCell ref="F100:G100"/>
    <mergeCell ref="B99:C99"/>
    <mergeCell ref="D99:E99"/>
    <mergeCell ref="B98:C98"/>
    <mergeCell ref="D98:E98"/>
    <mergeCell ref="B101:C101"/>
    <mergeCell ref="A100:B100"/>
    <mergeCell ref="B102:C102"/>
    <mergeCell ref="D102:E102"/>
    <mergeCell ref="C100:D100"/>
    <mergeCell ref="D101:E101"/>
    <mergeCell ref="B95:C95"/>
    <mergeCell ref="D95:E95"/>
    <mergeCell ref="D96:E96"/>
    <mergeCell ref="A97:B97"/>
    <mergeCell ref="C97:D97"/>
    <mergeCell ref="B96:C96"/>
    <mergeCell ref="K96:L96"/>
    <mergeCell ref="J94:K94"/>
    <mergeCell ref="K90:L90"/>
    <mergeCell ref="K92:L92"/>
    <mergeCell ref="I95:J95"/>
    <mergeCell ref="I96:J96"/>
    <mergeCell ref="K95:L95"/>
    <mergeCell ref="H91:I91"/>
    <mergeCell ref="F97:G97"/>
    <mergeCell ref="I165:J165"/>
    <mergeCell ref="I110:J110"/>
    <mergeCell ref="J115:K115"/>
    <mergeCell ref="J142:K142"/>
    <mergeCell ref="H142:I142"/>
    <mergeCell ref="K144:L144"/>
    <mergeCell ref="I144:J144"/>
    <mergeCell ref="H151:I151"/>
    <mergeCell ref="H161:J161"/>
    <mergeCell ref="H160:I160"/>
    <mergeCell ref="K161:M161"/>
    <mergeCell ref="J160:K160"/>
    <mergeCell ref="M154:N154"/>
    <mergeCell ref="I156:J156"/>
    <mergeCell ref="M151:N151"/>
    <mergeCell ref="M160:N160"/>
    <mergeCell ref="M115:N115"/>
    <mergeCell ref="H121:I121"/>
    <mergeCell ref="M133:N133"/>
    <mergeCell ref="M142:N142"/>
    <mergeCell ref="K114:L114"/>
    <mergeCell ref="C88:D88"/>
    <mergeCell ref="F88:G88"/>
    <mergeCell ref="B90:C90"/>
    <mergeCell ref="D90:E90"/>
    <mergeCell ref="J88:K88"/>
    <mergeCell ref="I90:J90"/>
    <mergeCell ref="H88:I88"/>
    <mergeCell ref="B89:C89"/>
    <mergeCell ref="D89:E89"/>
    <mergeCell ref="I89:J89"/>
    <mergeCell ref="K89:L89"/>
    <mergeCell ref="M88:N88"/>
    <mergeCell ref="K78:L78"/>
    <mergeCell ref="K86:L86"/>
    <mergeCell ref="A81:G81"/>
    <mergeCell ref="A80:N80"/>
    <mergeCell ref="B79:C79"/>
    <mergeCell ref="D79:E79"/>
    <mergeCell ref="I79:J79"/>
    <mergeCell ref="H81:N81"/>
    <mergeCell ref="A88:B88"/>
    <mergeCell ref="K87:L87"/>
    <mergeCell ref="B87:C87"/>
    <mergeCell ref="C82:D82"/>
    <mergeCell ref="A85:B85"/>
    <mergeCell ref="C85:D85"/>
    <mergeCell ref="D87:E87"/>
    <mergeCell ref="I87:J87"/>
    <mergeCell ref="F85:G85"/>
    <mergeCell ref="J85:K85"/>
    <mergeCell ref="B84:C84"/>
    <mergeCell ref="K79:L79"/>
    <mergeCell ref="B83:C83"/>
    <mergeCell ref="K84:L84"/>
    <mergeCell ref="J82:K82"/>
    <mergeCell ref="M85:N85"/>
    <mergeCell ref="H85:I85"/>
    <mergeCell ref="K83:L83"/>
    <mergeCell ref="C77:D77"/>
    <mergeCell ref="A77:B77"/>
    <mergeCell ref="F77:G77"/>
    <mergeCell ref="I84:J84"/>
    <mergeCell ref="A82:B82"/>
    <mergeCell ref="F82:G82"/>
    <mergeCell ref="H82:I82"/>
    <mergeCell ref="B78:C78"/>
    <mergeCell ref="D78:E78"/>
    <mergeCell ref="I78:J78"/>
    <mergeCell ref="D84:E84"/>
    <mergeCell ref="M82:N82"/>
    <mergeCell ref="B75:C75"/>
    <mergeCell ref="D75:E75"/>
    <mergeCell ref="B86:C86"/>
    <mergeCell ref="D86:E86"/>
    <mergeCell ref="I86:J86"/>
    <mergeCell ref="H77:I77"/>
    <mergeCell ref="J77:K77"/>
    <mergeCell ref="I75:J75"/>
    <mergeCell ref="K75:L75"/>
    <mergeCell ref="D83:E83"/>
    <mergeCell ref="I83:J83"/>
    <mergeCell ref="M59:N59"/>
    <mergeCell ref="H59:I59"/>
    <mergeCell ref="I61:J61"/>
    <mergeCell ref="F62:G62"/>
    <mergeCell ref="B64:C64"/>
    <mergeCell ref="D64:E64"/>
    <mergeCell ref="A62:B62"/>
    <mergeCell ref="F74:G74"/>
    <mergeCell ref="H74:I74"/>
    <mergeCell ref="I69:J69"/>
    <mergeCell ref="H68:I68"/>
    <mergeCell ref="H65:I65"/>
    <mergeCell ref="F68:G68"/>
    <mergeCell ref="B66:C66"/>
    <mergeCell ref="D66:E66"/>
    <mergeCell ref="A74:B74"/>
    <mergeCell ref="C74:D74"/>
    <mergeCell ref="D70:E70"/>
    <mergeCell ref="B69:C69"/>
    <mergeCell ref="D69:E69"/>
    <mergeCell ref="C68:D68"/>
    <mergeCell ref="A68:B68"/>
    <mergeCell ref="A65:B65"/>
    <mergeCell ref="B70:C70"/>
    <mergeCell ref="M74:N74"/>
    <mergeCell ref="K73:L73"/>
    <mergeCell ref="J62:K62"/>
    <mergeCell ref="I60:J60"/>
    <mergeCell ref="K60:L60"/>
    <mergeCell ref="K61:L61"/>
    <mergeCell ref="M71:N71"/>
    <mergeCell ref="M77:N77"/>
    <mergeCell ref="K69:L69"/>
    <mergeCell ref="K70:L70"/>
    <mergeCell ref="K72:L72"/>
    <mergeCell ref="H71:I71"/>
    <mergeCell ref="J71:K71"/>
    <mergeCell ref="I64:J64"/>
    <mergeCell ref="M62:N62"/>
    <mergeCell ref="M68:N68"/>
    <mergeCell ref="K64:L64"/>
    <mergeCell ref="J65:K65"/>
    <mergeCell ref="M65:N65"/>
    <mergeCell ref="I70:J70"/>
    <mergeCell ref="I72:J72"/>
    <mergeCell ref="J56:K56"/>
    <mergeCell ref="H56:I56"/>
    <mergeCell ref="D67:E67"/>
    <mergeCell ref="I67:J67"/>
    <mergeCell ref="K67:L67"/>
    <mergeCell ref="B76:C76"/>
    <mergeCell ref="J74:K74"/>
    <mergeCell ref="B73:C73"/>
    <mergeCell ref="D73:E73"/>
    <mergeCell ref="I73:J73"/>
    <mergeCell ref="D76:E76"/>
    <mergeCell ref="I76:J76"/>
    <mergeCell ref="K76:L76"/>
    <mergeCell ref="C65:D65"/>
    <mergeCell ref="C62:D62"/>
    <mergeCell ref="K58:L58"/>
    <mergeCell ref="B67:C67"/>
    <mergeCell ref="D61:E61"/>
    <mergeCell ref="F65:G65"/>
    <mergeCell ref="A71:B71"/>
    <mergeCell ref="B72:C72"/>
    <mergeCell ref="D72:E72"/>
    <mergeCell ref="C71:D71"/>
    <mergeCell ref="F71:G71"/>
    <mergeCell ref="K54:L54"/>
    <mergeCell ref="I55:J55"/>
    <mergeCell ref="K63:L63"/>
    <mergeCell ref="I66:J66"/>
    <mergeCell ref="K66:L66"/>
    <mergeCell ref="J68:K68"/>
    <mergeCell ref="K57:L57"/>
    <mergeCell ref="D54:E54"/>
    <mergeCell ref="A47:B47"/>
    <mergeCell ref="C47:D47"/>
    <mergeCell ref="F47:G47"/>
    <mergeCell ref="H47:I47"/>
    <mergeCell ref="D49:E49"/>
    <mergeCell ref="B58:C58"/>
    <mergeCell ref="D52:E52"/>
    <mergeCell ref="K52:L52"/>
    <mergeCell ref="B54:C54"/>
    <mergeCell ref="K55:L55"/>
    <mergeCell ref="B63:C63"/>
    <mergeCell ref="D63:E63"/>
    <mergeCell ref="I63:J63"/>
    <mergeCell ref="B61:C61"/>
    <mergeCell ref="H62:I62"/>
    <mergeCell ref="J59:K59"/>
    <mergeCell ref="M53:N53"/>
    <mergeCell ref="C53:D53"/>
    <mergeCell ref="D48:E48"/>
    <mergeCell ref="K49:L49"/>
    <mergeCell ref="B52:C52"/>
    <mergeCell ref="J53:K53"/>
    <mergeCell ref="H53:I53"/>
    <mergeCell ref="F53:G53"/>
    <mergeCell ref="A50:B50"/>
    <mergeCell ref="B51:C51"/>
    <mergeCell ref="I49:J49"/>
    <mergeCell ref="F50:G50"/>
    <mergeCell ref="H50:I50"/>
    <mergeCell ref="B49:C49"/>
    <mergeCell ref="I51:J51"/>
    <mergeCell ref="J50:K50"/>
    <mergeCell ref="C50:D50"/>
    <mergeCell ref="I52:J52"/>
    <mergeCell ref="K51:L51"/>
    <mergeCell ref="A53:B53"/>
    <mergeCell ref="I48:J48"/>
    <mergeCell ref="M50:N50"/>
    <mergeCell ref="K48:L48"/>
    <mergeCell ref="B48:C48"/>
    <mergeCell ref="K39:L39"/>
    <mergeCell ref="K40:L40"/>
    <mergeCell ref="I40:J40"/>
    <mergeCell ref="I39:J39"/>
    <mergeCell ref="J44:K44"/>
    <mergeCell ref="J47:K47"/>
    <mergeCell ref="D46:E46"/>
    <mergeCell ref="I45:J45"/>
    <mergeCell ref="K45:L45"/>
    <mergeCell ref="I46:J46"/>
    <mergeCell ref="K46:L46"/>
    <mergeCell ref="D40:E40"/>
    <mergeCell ref="H41:I41"/>
    <mergeCell ref="F41:G41"/>
    <mergeCell ref="C44:D44"/>
    <mergeCell ref="D31:E31"/>
    <mergeCell ref="B27:C27"/>
    <mergeCell ref="D27:E27"/>
    <mergeCell ref="B33:C33"/>
    <mergeCell ref="D34:E34"/>
    <mergeCell ref="D33:E33"/>
    <mergeCell ref="C29:D29"/>
    <mergeCell ref="B28:C28"/>
    <mergeCell ref="A41:B41"/>
    <mergeCell ref="B34:C34"/>
    <mergeCell ref="C41:D41"/>
    <mergeCell ref="A38:B38"/>
    <mergeCell ref="A20:B20"/>
    <mergeCell ref="D28:E28"/>
    <mergeCell ref="A29:B29"/>
    <mergeCell ref="B31:C31"/>
    <mergeCell ref="A3:N3"/>
    <mergeCell ref="M8:N8"/>
    <mergeCell ref="B12:C12"/>
    <mergeCell ref="D12:E12"/>
    <mergeCell ref="I12:J12"/>
    <mergeCell ref="H5:I5"/>
    <mergeCell ref="J5:K5"/>
    <mergeCell ref="M5:N5"/>
    <mergeCell ref="B25:C25"/>
    <mergeCell ref="F14:G14"/>
    <mergeCell ref="A8:B8"/>
    <mergeCell ref="A11:B11"/>
    <mergeCell ref="B9:C9"/>
    <mergeCell ref="D13:E13"/>
    <mergeCell ref="B10:C10"/>
    <mergeCell ref="B13:C13"/>
    <mergeCell ref="A14:B14"/>
    <mergeCell ref="B16:C16"/>
    <mergeCell ref="C11:D11"/>
    <mergeCell ref="C5:D5"/>
    <mergeCell ref="D6:E6"/>
    <mergeCell ref="M11:N11"/>
    <mergeCell ref="J14:K14"/>
    <mergeCell ref="K13:L13"/>
    <mergeCell ref="M56:N56"/>
    <mergeCell ref="F5:G5"/>
    <mergeCell ref="F8:G8"/>
    <mergeCell ref="K6:L6"/>
    <mergeCell ref="C8:D8"/>
    <mergeCell ref="I7:J7"/>
    <mergeCell ref="K7:L7"/>
    <mergeCell ref="I6:J6"/>
    <mergeCell ref="D7:E7"/>
    <mergeCell ref="K10:L10"/>
    <mergeCell ref="J8:K8"/>
    <mergeCell ref="H8:I8"/>
    <mergeCell ref="D9:E9"/>
    <mergeCell ref="K9:L9"/>
    <mergeCell ref="D10:E10"/>
    <mergeCell ref="M41:N41"/>
    <mergeCell ref="B42:C42"/>
    <mergeCell ref="D42:E42"/>
    <mergeCell ref="I42:J42"/>
    <mergeCell ref="K42:L42"/>
    <mergeCell ref="D51:E51"/>
    <mergeCell ref="I54:J54"/>
    <mergeCell ref="B60:C60"/>
    <mergeCell ref="B57:C57"/>
    <mergeCell ref="C38:D38"/>
    <mergeCell ref="B39:C39"/>
    <mergeCell ref="D39:E39"/>
    <mergeCell ref="F38:G38"/>
    <mergeCell ref="H38:I38"/>
    <mergeCell ref="I57:J57"/>
    <mergeCell ref="C56:D56"/>
    <mergeCell ref="I58:J58"/>
    <mergeCell ref="C59:D59"/>
    <mergeCell ref="D55:E55"/>
    <mergeCell ref="D60:E60"/>
    <mergeCell ref="B55:C55"/>
    <mergeCell ref="F56:G56"/>
    <mergeCell ref="F59:G59"/>
    <mergeCell ref="A59:B59"/>
    <mergeCell ref="A56:B56"/>
    <mergeCell ref="D58:E58"/>
    <mergeCell ref="D57:E57"/>
    <mergeCell ref="B40:C40"/>
    <mergeCell ref="A44:B44"/>
    <mergeCell ref="I28:J28"/>
    <mergeCell ref="K28:L28"/>
    <mergeCell ref="F26:G26"/>
    <mergeCell ref="H26:I26"/>
    <mergeCell ref="I33:J33"/>
    <mergeCell ref="K33:L33"/>
    <mergeCell ref="M35:N35"/>
    <mergeCell ref="M38:N38"/>
    <mergeCell ref="B36:C36"/>
    <mergeCell ref="D36:E36"/>
    <mergeCell ref="I36:J36"/>
    <mergeCell ref="K36:L36"/>
    <mergeCell ref="D37:E37"/>
    <mergeCell ref="C35:D35"/>
    <mergeCell ref="I37:J37"/>
    <mergeCell ref="B37:C37"/>
    <mergeCell ref="J35:K35"/>
    <mergeCell ref="K37:L37"/>
    <mergeCell ref="F35:G35"/>
    <mergeCell ref="J38:K38"/>
    <mergeCell ref="C32:D32"/>
    <mergeCell ref="B30:C30"/>
    <mergeCell ref="D30:E30"/>
    <mergeCell ref="A32:B32"/>
    <mergeCell ref="A4:G4"/>
    <mergeCell ref="H4:N4"/>
    <mergeCell ref="J41:K41"/>
    <mergeCell ref="A5:B5"/>
    <mergeCell ref="B6:C6"/>
    <mergeCell ref="B7:C7"/>
    <mergeCell ref="J11:K11"/>
    <mergeCell ref="I10:J10"/>
    <mergeCell ref="I9:J9"/>
    <mergeCell ref="M17:N17"/>
    <mergeCell ref="J20:K20"/>
    <mergeCell ref="M20:N20"/>
    <mergeCell ref="C14:D14"/>
    <mergeCell ref="H17:I17"/>
    <mergeCell ref="F17:G17"/>
    <mergeCell ref="I16:J16"/>
    <mergeCell ref="K15:L15"/>
    <mergeCell ref="K16:L16"/>
    <mergeCell ref="I15:J15"/>
    <mergeCell ref="M23:N23"/>
    <mergeCell ref="I34:J34"/>
    <mergeCell ref="K34:L34"/>
    <mergeCell ref="M26:N26"/>
    <mergeCell ref="M32:N32"/>
    <mergeCell ref="H14:I14"/>
    <mergeCell ref="F32:G32"/>
    <mergeCell ref="H32:I32"/>
    <mergeCell ref="J32:K32"/>
    <mergeCell ref="I31:J31"/>
    <mergeCell ref="K31:L31"/>
    <mergeCell ref="M29:N29"/>
    <mergeCell ref="M14:N14"/>
    <mergeCell ref="F11:G11"/>
    <mergeCell ref="I19:J19"/>
    <mergeCell ref="I18:J18"/>
    <mergeCell ref="F23:G23"/>
    <mergeCell ref="H23:I23"/>
    <mergeCell ref="K25:L25"/>
    <mergeCell ref="I24:J24"/>
    <mergeCell ref="K24:L24"/>
    <mergeCell ref="K18:L18"/>
    <mergeCell ref="J23:K23"/>
    <mergeCell ref="K19:L19"/>
    <mergeCell ref="H20:I20"/>
    <mergeCell ref="I21:J21"/>
    <mergeCell ref="K21:L21"/>
    <mergeCell ref="K12:L12"/>
    <mergeCell ref="I13:J13"/>
    <mergeCell ref="H11:I11"/>
    <mergeCell ref="B15:C15"/>
    <mergeCell ref="D15:E15"/>
    <mergeCell ref="I25:J25"/>
    <mergeCell ref="J17:K17"/>
    <mergeCell ref="C20:D20"/>
    <mergeCell ref="F20:G20"/>
    <mergeCell ref="D25:E25"/>
    <mergeCell ref="B21:C21"/>
    <mergeCell ref="D21:E21"/>
    <mergeCell ref="B22:C22"/>
    <mergeCell ref="D22:E22"/>
    <mergeCell ref="I22:J22"/>
    <mergeCell ref="K22:L22"/>
    <mergeCell ref="D16:E16"/>
    <mergeCell ref="A17:B17"/>
    <mergeCell ref="C17:D17"/>
    <mergeCell ref="A23:B23"/>
    <mergeCell ref="B19:C19"/>
    <mergeCell ref="D18:E18"/>
    <mergeCell ref="C23:D23"/>
    <mergeCell ref="B18:C18"/>
    <mergeCell ref="B24:C24"/>
    <mergeCell ref="D24:E24"/>
    <mergeCell ref="D19:E19"/>
    <mergeCell ref="M47:N47"/>
    <mergeCell ref="B43:C43"/>
    <mergeCell ref="D43:E43"/>
    <mergeCell ref="I43:J43"/>
    <mergeCell ref="K43:L43"/>
    <mergeCell ref="B45:C45"/>
    <mergeCell ref="M44:N44"/>
    <mergeCell ref="H44:I44"/>
    <mergeCell ref="D45:E45"/>
    <mergeCell ref="F44:G44"/>
    <mergeCell ref="B46:C46"/>
    <mergeCell ref="A26:B26"/>
    <mergeCell ref="C26:D26"/>
    <mergeCell ref="H35:I35"/>
    <mergeCell ref="A35:B35"/>
    <mergeCell ref="I30:J30"/>
    <mergeCell ref="K30:L30"/>
    <mergeCell ref="J26:K26"/>
    <mergeCell ref="F29:G29"/>
    <mergeCell ref="H29:I29"/>
    <mergeCell ref="J29:K29"/>
    <mergeCell ref="I27:J27"/>
    <mergeCell ref="K27:L27"/>
    <mergeCell ref="M94:N94"/>
    <mergeCell ref="B93:C93"/>
    <mergeCell ref="D93:E93"/>
    <mergeCell ref="I93:J93"/>
    <mergeCell ref="K93:L93"/>
    <mergeCell ref="M91:N91"/>
    <mergeCell ref="B92:C92"/>
    <mergeCell ref="D92:E92"/>
    <mergeCell ref="I92:J92"/>
    <mergeCell ref="C91:D91"/>
    <mergeCell ref="F91:G91"/>
    <mergeCell ref="C94:D94"/>
    <mergeCell ref="F94:G94"/>
    <mergeCell ref="A91:B91"/>
    <mergeCell ref="J91:K91"/>
    <mergeCell ref="A94:B94"/>
    <mergeCell ref="H94:I94"/>
    <mergeCell ref="M97:N97"/>
    <mergeCell ref="H97:I97"/>
    <mergeCell ref="M100:N100"/>
    <mergeCell ref="K101:L101"/>
    <mergeCell ref="I101:J101"/>
    <mergeCell ref="J97:K97"/>
    <mergeCell ref="J100:K100"/>
    <mergeCell ref="K98:L98"/>
    <mergeCell ref="I98:J98"/>
    <mergeCell ref="K99:L99"/>
    <mergeCell ref="I99:J99"/>
    <mergeCell ref="H100:I100"/>
    <mergeCell ref="M103:N103"/>
    <mergeCell ref="M106:N106"/>
    <mergeCell ref="H106:I106"/>
    <mergeCell ref="F106:G106"/>
    <mergeCell ref="J106:K106"/>
    <mergeCell ref="C103:D103"/>
    <mergeCell ref="F103:G103"/>
    <mergeCell ref="I105:J105"/>
    <mergeCell ref="K105:L105"/>
    <mergeCell ref="B104:C104"/>
    <mergeCell ref="D104:E104"/>
    <mergeCell ref="A106:B106"/>
    <mergeCell ref="C106:D106"/>
    <mergeCell ref="B105:C105"/>
    <mergeCell ref="D105:E105"/>
    <mergeCell ref="A103:B103"/>
    <mergeCell ref="K102:L102"/>
    <mergeCell ref="I108:J108"/>
    <mergeCell ref="K104:L104"/>
    <mergeCell ref="H103:I103"/>
    <mergeCell ref="J103:K103"/>
    <mergeCell ref="I104:J104"/>
    <mergeCell ref="I107:J107"/>
    <mergeCell ref="K107:L107"/>
    <mergeCell ref="K108:L108"/>
    <mergeCell ref="I102:J102"/>
    <mergeCell ref="M109:N109"/>
    <mergeCell ref="H109:I109"/>
    <mergeCell ref="J109:K109"/>
    <mergeCell ref="B113:C113"/>
    <mergeCell ref="D113:E113"/>
    <mergeCell ref="I113:J113"/>
    <mergeCell ref="K113:L113"/>
    <mergeCell ref="I111:J111"/>
    <mergeCell ref="M112:N112"/>
    <mergeCell ref="B111:C111"/>
    <mergeCell ref="K110:L110"/>
    <mergeCell ref="A109:B109"/>
    <mergeCell ref="C109:D109"/>
    <mergeCell ref="F109:G109"/>
    <mergeCell ref="B110:C110"/>
    <mergeCell ref="B119:C119"/>
    <mergeCell ref="D119:E119"/>
    <mergeCell ref="I119:J119"/>
    <mergeCell ref="F112:G112"/>
    <mergeCell ref="H112:I112"/>
    <mergeCell ref="B116:C116"/>
    <mergeCell ref="B117:C117"/>
    <mergeCell ref="D117:E117"/>
    <mergeCell ref="D116:E116"/>
    <mergeCell ref="I116:J116"/>
    <mergeCell ref="B114:C114"/>
    <mergeCell ref="D114:E114"/>
    <mergeCell ref="F115:G115"/>
    <mergeCell ref="A115:B115"/>
    <mergeCell ref="C115:D115"/>
    <mergeCell ref="I114:J114"/>
    <mergeCell ref="H115:I115"/>
    <mergeCell ref="B122:C122"/>
    <mergeCell ref="D122:E122"/>
    <mergeCell ref="I122:J122"/>
    <mergeCell ref="K122:L122"/>
    <mergeCell ref="I123:J123"/>
    <mergeCell ref="K123:L123"/>
    <mergeCell ref="B128:C128"/>
    <mergeCell ref="D128:E128"/>
    <mergeCell ref="M118:N118"/>
    <mergeCell ref="H118:I118"/>
    <mergeCell ref="J118:K118"/>
    <mergeCell ref="K119:L119"/>
    <mergeCell ref="M124:N124"/>
    <mergeCell ref="B123:C123"/>
    <mergeCell ref="D123:E123"/>
    <mergeCell ref="I120:J120"/>
    <mergeCell ref="M121:N121"/>
    <mergeCell ref="B120:C120"/>
    <mergeCell ref="J121:K121"/>
    <mergeCell ref="A121:B121"/>
    <mergeCell ref="K120:L120"/>
    <mergeCell ref="A118:B118"/>
    <mergeCell ref="C118:D118"/>
    <mergeCell ref="F118:G118"/>
    <mergeCell ref="F124:G124"/>
    <mergeCell ref="A124:B124"/>
    <mergeCell ref="C124:D124"/>
    <mergeCell ref="H124:I124"/>
    <mergeCell ref="D125:E125"/>
    <mergeCell ref="I125:J125"/>
    <mergeCell ref="K125:L125"/>
    <mergeCell ref="I128:J128"/>
    <mergeCell ref="J124:K124"/>
    <mergeCell ref="D126:E126"/>
    <mergeCell ref="K126:L126"/>
    <mergeCell ref="I126:J126"/>
    <mergeCell ref="B125:C125"/>
    <mergeCell ref="K128:L128"/>
    <mergeCell ref="J127:K127"/>
    <mergeCell ref="B126:C126"/>
    <mergeCell ref="B132:C132"/>
    <mergeCell ref="D132:E132"/>
    <mergeCell ref="I129:J129"/>
    <mergeCell ref="M130:N130"/>
    <mergeCell ref="B129:C129"/>
    <mergeCell ref="M127:N127"/>
    <mergeCell ref="H127:I127"/>
    <mergeCell ref="B131:C131"/>
    <mergeCell ref="D131:E131"/>
    <mergeCell ref="I131:J131"/>
    <mergeCell ref="K131:L131"/>
    <mergeCell ref="I132:J132"/>
    <mergeCell ref="K132:L132"/>
    <mergeCell ref="K129:L129"/>
    <mergeCell ref="J130:K130"/>
    <mergeCell ref="A130:B130"/>
    <mergeCell ref="A127:B127"/>
    <mergeCell ref="C127:D127"/>
    <mergeCell ref="F127:G127"/>
    <mergeCell ref="C130:D130"/>
    <mergeCell ref="F130:G130"/>
    <mergeCell ref="D129:E129"/>
    <mergeCell ref="H130:I130"/>
    <mergeCell ref="F133:G133"/>
    <mergeCell ref="A133:B133"/>
    <mergeCell ref="C133:D133"/>
    <mergeCell ref="H133:I133"/>
    <mergeCell ref="K134:L134"/>
    <mergeCell ref="I137:J137"/>
    <mergeCell ref="J133:K133"/>
    <mergeCell ref="D135:E135"/>
    <mergeCell ref="K135:L135"/>
    <mergeCell ref="I135:J135"/>
    <mergeCell ref="D137:E137"/>
    <mergeCell ref="H136:I136"/>
    <mergeCell ref="J136:K136"/>
    <mergeCell ref="B140:C140"/>
    <mergeCell ref="D140:E140"/>
    <mergeCell ref="I140:J140"/>
    <mergeCell ref="K140:L140"/>
    <mergeCell ref="B135:C135"/>
    <mergeCell ref="B134:C134"/>
    <mergeCell ref="D134:E134"/>
    <mergeCell ref="I134:J134"/>
    <mergeCell ref="M139:N139"/>
    <mergeCell ref="B138:C138"/>
    <mergeCell ref="D138:E138"/>
    <mergeCell ref="C139:D139"/>
    <mergeCell ref="F139:G139"/>
    <mergeCell ref="A136:B136"/>
    <mergeCell ref="C136:D136"/>
    <mergeCell ref="F136:G136"/>
    <mergeCell ref="I138:J138"/>
    <mergeCell ref="K138:L138"/>
    <mergeCell ref="J139:K139"/>
    <mergeCell ref="A139:B139"/>
    <mergeCell ref="H139:I139"/>
    <mergeCell ref="K137:L137"/>
    <mergeCell ref="B137:C137"/>
    <mergeCell ref="M136:N136"/>
    <mergeCell ref="B141:C141"/>
    <mergeCell ref="D141:E141"/>
    <mergeCell ref="F142:G142"/>
    <mergeCell ref="A142:B142"/>
    <mergeCell ref="C142:D142"/>
    <mergeCell ref="I141:J141"/>
    <mergeCell ref="K141:L141"/>
    <mergeCell ref="B143:C143"/>
    <mergeCell ref="D143:E143"/>
    <mergeCell ref="I143:J143"/>
    <mergeCell ref="K143:L143"/>
    <mergeCell ref="B144:C144"/>
    <mergeCell ref="D144:E144"/>
    <mergeCell ref="M145:N145"/>
    <mergeCell ref="H145:I145"/>
    <mergeCell ref="J145:K145"/>
    <mergeCell ref="C145:D145"/>
    <mergeCell ref="A145:B145"/>
    <mergeCell ref="F145:G145"/>
    <mergeCell ref="M148:N148"/>
    <mergeCell ref="B147:C147"/>
    <mergeCell ref="D147:E147"/>
    <mergeCell ref="C148:D148"/>
    <mergeCell ref="F148:G148"/>
    <mergeCell ref="H148:I148"/>
    <mergeCell ref="K147:L147"/>
    <mergeCell ref="B149:C149"/>
    <mergeCell ref="D149:E149"/>
    <mergeCell ref="I149:J149"/>
    <mergeCell ref="K149:L149"/>
    <mergeCell ref="A148:B148"/>
    <mergeCell ref="I150:J150"/>
    <mergeCell ref="K146:L146"/>
    <mergeCell ref="I147:J147"/>
    <mergeCell ref="B150:C150"/>
    <mergeCell ref="D150:E150"/>
    <mergeCell ref="J148:K148"/>
    <mergeCell ref="B146:C146"/>
    <mergeCell ref="D146:E146"/>
    <mergeCell ref="I146:J146"/>
    <mergeCell ref="K150:L150"/>
    <mergeCell ref="B152:C152"/>
    <mergeCell ref="D152:E152"/>
    <mergeCell ref="I152:J152"/>
    <mergeCell ref="K152:L152"/>
    <mergeCell ref="F151:G151"/>
    <mergeCell ref="A151:B151"/>
    <mergeCell ref="C151:D151"/>
    <mergeCell ref="J151:K151"/>
    <mergeCell ref="B156:C156"/>
    <mergeCell ref="D156:E156"/>
    <mergeCell ref="A154:B154"/>
    <mergeCell ref="C154:D154"/>
    <mergeCell ref="K156:L156"/>
    <mergeCell ref="A161:C161"/>
    <mergeCell ref="B153:C153"/>
    <mergeCell ref="B165:C165"/>
    <mergeCell ref="I162:J162"/>
    <mergeCell ref="B163:C163"/>
    <mergeCell ref="B162:C162"/>
    <mergeCell ref="D162:F162"/>
    <mergeCell ref="D153:E153"/>
    <mergeCell ref="K153:L153"/>
    <mergeCell ref="I153:J153"/>
    <mergeCell ref="K162:M162"/>
    <mergeCell ref="A158:N158"/>
    <mergeCell ref="I155:J155"/>
    <mergeCell ref="K155:L155"/>
    <mergeCell ref="H154:I154"/>
    <mergeCell ref="J154:K154"/>
    <mergeCell ref="F154:G154"/>
    <mergeCell ref="D155:E155"/>
    <mergeCell ref="B155:C155"/>
    <mergeCell ref="A160:B160"/>
    <mergeCell ref="C160:D160"/>
    <mergeCell ref="F160:G160"/>
    <mergeCell ref="D161:F161"/>
    <mergeCell ref="H162:H168"/>
    <mergeCell ref="D163:F163"/>
    <mergeCell ref="D165:F165"/>
    <mergeCell ref="A171:A177"/>
    <mergeCell ref="K170:M170"/>
    <mergeCell ref="B171:C171"/>
    <mergeCell ref="D171:F171"/>
    <mergeCell ref="B168:C168"/>
    <mergeCell ref="D168:F168"/>
    <mergeCell ref="B167:C167"/>
    <mergeCell ref="I171:J171"/>
    <mergeCell ref="A162:A168"/>
    <mergeCell ref="I163:J163"/>
    <mergeCell ref="M169:N169"/>
    <mergeCell ref="K165:M165"/>
    <mergeCell ref="K166:M166"/>
    <mergeCell ref="K163:M163"/>
    <mergeCell ref="B164:C164"/>
    <mergeCell ref="I168:J168"/>
    <mergeCell ref="D166:F166"/>
    <mergeCell ref="K171:M171"/>
    <mergeCell ref="K172:M172"/>
    <mergeCell ref="I166:J166"/>
    <mergeCell ref="B166:C166"/>
    <mergeCell ref="I173:J173"/>
    <mergeCell ref="C178:D178"/>
    <mergeCell ref="B184:C184"/>
    <mergeCell ref="D180:F180"/>
    <mergeCell ref="H169:I169"/>
    <mergeCell ref="D164:F164"/>
    <mergeCell ref="H170:J170"/>
    <mergeCell ref="D167:F167"/>
    <mergeCell ref="J169:K169"/>
    <mergeCell ref="C169:D169"/>
    <mergeCell ref="F169:G169"/>
    <mergeCell ref="A170:C170"/>
    <mergeCell ref="D170:F170"/>
    <mergeCell ref="K168:M168"/>
    <mergeCell ref="I167:J167"/>
    <mergeCell ref="K167:M167"/>
    <mergeCell ref="I164:J164"/>
    <mergeCell ref="K164:M164"/>
    <mergeCell ref="B177:C177"/>
    <mergeCell ref="I175:J175"/>
    <mergeCell ref="I177:J177"/>
    <mergeCell ref="I176:J176"/>
    <mergeCell ref="D176:F176"/>
    <mergeCell ref="D177:F177"/>
    <mergeCell ref="K177:M177"/>
    <mergeCell ref="B185:C185"/>
    <mergeCell ref="I181:J181"/>
    <mergeCell ref="I180:J180"/>
    <mergeCell ref="I186:J186"/>
    <mergeCell ref="K186:M186"/>
    <mergeCell ref="I183:J183"/>
    <mergeCell ref="K182:M182"/>
    <mergeCell ref="H179:J179"/>
    <mergeCell ref="D185:F185"/>
    <mergeCell ref="D181:F181"/>
    <mergeCell ref="H180:H186"/>
    <mergeCell ref="D182:F182"/>
    <mergeCell ref="I185:J185"/>
    <mergeCell ref="B186:C186"/>
    <mergeCell ref="D186:F186"/>
    <mergeCell ref="K183:M183"/>
    <mergeCell ref="I184:J184"/>
    <mergeCell ref="K184:M184"/>
    <mergeCell ref="K185:M185"/>
    <mergeCell ref="H171:H177"/>
    <mergeCell ref="D174:F174"/>
    <mergeCell ref="B175:C175"/>
    <mergeCell ref="D175:F175"/>
    <mergeCell ref="B172:C172"/>
    <mergeCell ref="B176:C176"/>
    <mergeCell ref="B173:C173"/>
    <mergeCell ref="B174:C174"/>
    <mergeCell ref="D172:F172"/>
    <mergeCell ref="I172:J172"/>
    <mergeCell ref="I174:J174"/>
    <mergeCell ref="K175:M175"/>
    <mergeCell ref="K176:M176"/>
    <mergeCell ref="K174:M174"/>
    <mergeCell ref="K173:M173"/>
    <mergeCell ref="B183:C183"/>
    <mergeCell ref="D184:F184"/>
    <mergeCell ref="A178:B178"/>
    <mergeCell ref="I182:J182"/>
    <mergeCell ref="B182:C182"/>
    <mergeCell ref="J178:K178"/>
    <mergeCell ref="A179:C179"/>
    <mergeCell ref="A180:A186"/>
    <mergeCell ref="D183:F183"/>
    <mergeCell ref="F178:G178"/>
    <mergeCell ref="D179:F179"/>
    <mergeCell ref="B180:C180"/>
    <mergeCell ref="B181:C181"/>
    <mergeCell ref="K180:M180"/>
    <mergeCell ref="K181:M181"/>
    <mergeCell ref="K179:M179"/>
    <mergeCell ref="H178:I178"/>
    <mergeCell ref="M178:N178"/>
  </mergeCells>
  <phoneticPr fontId="22"/>
  <dataValidations count="5">
    <dataValidation imeMode="disabled" allowBlank="1" showInputMessage="1" showErrorMessage="1" sqref="I163:J168 B163:C168 I172:J177 B172:C177 I181:J186 B181:C186 I190:J195 B190:C195"/>
    <dataValidation imeMode="off" allowBlank="1" showInputMessage="1" showErrorMessage="1" sqref="F109 M103 F103 F100 M100 M97 F97 F94 M94 M91 F91 F88 M88 M85 F85 F82 M82 F154 M77 M106 F106 M109 F142 M136 F136 F133 M133 M130 F130 F127 M127 M124 F124 F121 M121 M118 F118 F115 M115 M112 F112 M139 F139 M142 F151 M145 F145 M148 F148 M151 M74 F71 M71 F68 M68 F74 M65 F62 M62 F35 M35 M38 F38 F41 M41 M44 F44 F47 M47 M50 F50 F53 M53 M56 F56 F59 M59 F65 M32 F29 M29 F8 F77 M5 F32 F5 M8 M11 F11 F14 M14 M17 F17 F20 M20 M23 F23 F26 M26 M154"/>
    <dataValidation type="list" errorStyle="information" imeMode="disabled" allowBlank="1" showInputMessage="1" showErrorMessage="1" sqref="N179 N188">
      <formula1>$Q$160:$Q$164</formula1>
    </dataValidation>
    <dataValidation type="list" errorStyle="information" imeMode="disabled" allowBlank="1" showInputMessage="1" showErrorMessage="1" sqref="G161 N161 G170 N170 G179 G188">
      <formula1>$Q$160:$Q$164</formula1>
    </dataValidation>
    <dataValidation type="list" allowBlank="1" showInputMessage="1" showErrorMessage="1" sqref="C160:D160 J160:K160 J169:K169 C169:D169 C178:D178 J178:K178 C187:D187 J187:K187">
      <formula1>$X$160:$X$162</formula1>
    </dataValidation>
  </dataValidations>
  <printOptions horizontalCentered="1"/>
  <pageMargins left="0.98425196850393704" right="0.98425196850393704" top="0.59055118110236227" bottom="0.59055118110236227" header="0.51181102362204722" footer="0.51181102362204722"/>
  <pageSetup paperSize="9" orientation="portrait" horizontalDpi="300" verticalDpi="300" r:id="rId1"/>
  <headerFooter alignWithMargins="0"/>
  <rowBreaks count="3" manualBreakCount="3">
    <brk id="49" max="16383" man="1"/>
    <brk id="99" max="16383" man="1"/>
    <brk id="147" max="16383" man="1"/>
  </rowBreaks>
  <drawing r:id="rId2"/>
</worksheet>
</file>

<file path=xl/worksheets/sheet21.xml><?xml version="1.0" encoding="utf-8"?>
<worksheet xmlns="http://schemas.openxmlformats.org/spreadsheetml/2006/main" xmlns:r="http://schemas.openxmlformats.org/officeDocument/2006/relationships">
  <sheetPr codeName="Sheet11"/>
  <dimension ref="A1:D111"/>
  <sheetViews>
    <sheetView workbookViewId="0">
      <selection activeCell="M23" sqref="M23"/>
    </sheetView>
  </sheetViews>
  <sheetFormatPr defaultRowHeight="13.5"/>
  <cols>
    <col min="1" max="1" width="3.75" customWidth="1"/>
    <col min="2" max="2" width="5.125" customWidth="1"/>
    <col min="3" max="3" width="3" customWidth="1"/>
    <col min="4" max="4" width="5.5" customWidth="1"/>
    <col min="5" max="5" width="21.75" customWidth="1"/>
  </cols>
  <sheetData>
    <row r="1" spans="1:4">
      <c r="A1" s="85">
        <v>1</v>
      </c>
      <c r="B1" s="86" t="s">
        <v>418</v>
      </c>
      <c r="C1" s="85" t="s">
        <v>417</v>
      </c>
      <c r="D1" s="85" t="s">
        <v>417</v>
      </c>
    </row>
    <row r="2" spans="1:4">
      <c r="A2" s="85"/>
      <c r="B2" s="85"/>
      <c r="C2" s="85"/>
      <c r="D2" s="85"/>
    </row>
    <row r="3" spans="1:4">
      <c r="A3" s="85"/>
      <c r="B3" s="85"/>
      <c r="C3" s="85"/>
      <c r="D3" s="85"/>
    </row>
    <row r="4" spans="1:4">
      <c r="A4" s="85"/>
      <c r="B4" s="85"/>
      <c r="C4" s="85"/>
      <c r="D4" s="85"/>
    </row>
    <row r="5" spans="1:4">
      <c r="A5" s="85"/>
      <c r="B5" s="85"/>
      <c r="C5" s="85"/>
      <c r="D5" s="85"/>
    </row>
    <row r="6" spans="1:4">
      <c r="A6" s="85"/>
      <c r="B6" s="85"/>
      <c r="C6" s="85"/>
      <c r="D6" s="85"/>
    </row>
    <row r="7" spans="1:4">
      <c r="A7" s="85"/>
      <c r="B7" s="85"/>
      <c r="C7" s="85"/>
      <c r="D7" s="85"/>
    </row>
    <row r="8" spans="1:4">
      <c r="A8" s="85"/>
      <c r="B8" s="85"/>
      <c r="C8" s="85"/>
      <c r="D8" s="85"/>
    </row>
    <row r="9" spans="1:4">
      <c r="A9" s="85"/>
      <c r="B9" s="85"/>
      <c r="C9" s="85"/>
      <c r="D9" s="85"/>
    </row>
    <row r="10" spans="1:4">
      <c r="A10" s="85"/>
      <c r="B10" s="85"/>
      <c r="C10" s="85"/>
      <c r="D10" s="85"/>
    </row>
    <row r="11" spans="1:4">
      <c r="A11" s="85"/>
      <c r="B11" s="85"/>
      <c r="C11" s="85"/>
      <c r="D11" s="85"/>
    </row>
    <row r="12" spans="1:4">
      <c r="A12" s="85"/>
      <c r="B12" s="85"/>
      <c r="C12" s="85"/>
      <c r="D12" s="85"/>
    </row>
    <row r="13" spans="1:4">
      <c r="A13" s="85"/>
      <c r="B13" s="85"/>
      <c r="C13" s="85"/>
      <c r="D13" s="85"/>
    </row>
    <row r="14" spans="1:4">
      <c r="A14" s="85"/>
      <c r="B14" s="85"/>
      <c r="C14" s="85"/>
      <c r="D14" s="85"/>
    </row>
    <row r="15" spans="1:4">
      <c r="A15" s="85"/>
      <c r="B15" s="85"/>
      <c r="C15" s="85"/>
      <c r="D15" s="85"/>
    </row>
    <row r="16" spans="1:4">
      <c r="A16" s="85"/>
      <c r="B16" s="85"/>
      <c r="C16" s="85"/>
      <c r="D16" s="85"/>
    </row>
    <row r="17" spans="1:4">
      <c r="A17" s="85"/>
      <c r="B17" s="85"/>
      <c r="C17" s="85"/>
      <c r="D17" s="85"/>
    </row>
    <row r="18" spans="1:4">
      <c r="A18" s="85"/>
      <c r="B18" s="85"/>
      <c r="C18" s="85"/>
      <c r="D18" s="85"/>
    </row>
    <row r="19" spans="1:4">
      <c r="A19" s="85"/>
      <c r="B19" s="85"/>
      <c r="C19" s="85"/>
      <c r="D19" s="85"/>
    </row>
    <row r="20" spans="1:4">
      <c r="A20" s="85"/>
      <c r="B20" s="85"/>
      <c r="C20" s="85"/>
      <c r="D20" s="85"/>
    </row>
    <row r="21" spans="1:4">
      <c r="A21" s="85"/>
      <c r="B21" s="85"/>
      <c r="C21" s="85"/>
      <c r="D21" s="85"/>
    </row>
    <row r="22" spans="1:4">
      <c r="A22" s="85"/>
      <c r="B22" s="85"/>
      <c r="C22" s="85"/>
      <c r="D22" s="85"/>
    </row>
    <row r="23" spans="1:4">
      <c r="A23" s="85"/>
      <c r="B23" s="85"/>
      <c r="C23" s="85"/>
      <c r="D23" s="85"/>
    </row>
    <row r="24" spans="1:4">
      <c r="A24" s="85"/>
      <c r="B24" s="85"/>
      <c r="C24" s="85"/>
      <c r="D24" s="85"/>
    </row>
    <row r="25" spans="1:4">
      <c r="A25" s="85"/>
      <c r="B25" s="85"/>
      <c r="C25" s="85"/>
      <c r="D25" s="85"/>
    </row>
    <row r="26" spans="1:4">
      <c r="A26" s="85"/>
      <c r="B26" s="85"/>
      <c r="C26" s="85"/>
      <c r="D26" s="85"/>
    </row>
    <row r="27" spans="1:4">
      <c r="A27" s="85"/>
      <c r="B27" s="85"/>
      <c r="C27" s="85"/>
      <c r="D27" s="85"/>
    </row>
    <row r="28" spans="1:4">
      <c r="A28" s="85"/>
      <c r="B28" s="85"/>
      <c r="C28" s="85"/>
      <c r="D28" s="85"/>
    </row>
    <row r="29" spans="1:4">
      <c r="A29" s="85"/>
      <c r="B29" s="85"/>
      <c r="C29" s="85"/>
      <c r="D29" s="85"/>
    </row>
    <row r="30" spans="1:4">
      <c r="A30" s="85"/>
      <c r="B30" s="85"/>
      <c r="C30" s="85"/>
      <c r="D30" s="85"/>
    </row>
    <row r="31" spans="1:4">
      <c r="A31" s="85"/>
      <c r="B31" s="85"/>
      <c r="C31" s="85"/>
      <c r="D31" s="85"/>
    </row>
    <row r="32" spans="1:4">
      <c r="A32" s="85"/>
      <c r="B32" s="85"/>
      <c r="C32" s="85"/>
      <c r="D32" s="85"/>
    </row>
    <row r="33" spans="1:4">
      <c r="A33" s="85"/>
      <c r="B33" s="85"/>
      <c r="C33" s="85"/>
      <c r="D33" s="85"/>
    </row>
    <row r="34" spans="1:4">
      <c r="A34" s="85"/>
      <c r="B34" s="85"/>
      <c r="C34" s="85"/>
      <c r="D34" s="85"/>
    </row>
    <row r="35" spans="1:4">
      <c r="A35" s="85"/>
      <c r="B35" s="85"/>
      <c r="C35" s="85"/>
      <c r="D35" s="85"/>
    </row>
    <row r="36" spans="1:4">
      <c r="A36" s="85"/>
      <c r="B36" s="85"/>
      <c r="C36" s="85"/>
      <c r="D36" s="85"/>
    </row>
    <row r="37" spans="1:4">
      <c r="A37" s="85"/>
      <c r="B37" s="85"/>
      <c r="C37" s="85"/>
      <c r="D37" s="85"/>
    </row>
    <row r="38" spans="1:4">
      <c r="A38" s="85"/>
      <c r="B38" s="85"/>
      <c r="C38" s="85"/>
      <c r="D38" s="85"/>
    </row>
    <row r="39" spans="1:4">
      <c r="A39" s="85"/>
      <c r="B39" s="85"/>
      <c r="C39" s="85"/>
      <c r="D39" s="85"/>
    </row>
    <row r="40" spans="1:4">
      <c r="A40" s="85"/>
      <c r="B40" s="85"/>
      <c r="C40" s="85"/>
      <c r="D40" s="85"/>
    </row>
    <row r="41" spans="1:4">
      <c r="A41" s="85"/>
      <c r="B41" s="85"/>
      <c r="C41" s="85"/>
      <c r="D41" s="85"/>
    </row>
    <row r="42" spans="1:4">
      <c r="A42" s="85"/>
      <c r="B42" s="85"/>
      <c r="C42" s="85"/>
      <c r="D42" s="85"/>
    </row>
    <row r="43" spans="1:4">
      <c r="A43" s="85"/>
      <c r="B43" s="85"/>
      <c r="C43" s="85"/>
      <c r="D43" s="85"/>
    </row>
    <row r="44" spans="1:4">
      <c r="A44" s="85"/>
      <c r="B44" s="85"/>
      <c r="C44" s="85"/>
      <c r="D44" s="85"/>
    </row>
    <row r="45" spans="1:4">
      <c r="A45" s="85"/>
      <c r="B45" s="85"/>
      <c r="C45" s="85"/>
      <c r="D45" s="85"/>
    </row>
    <row r="46" spans="1:4">
      <c r="A46" s="85"/>
      <c r="B46" s="85"/>
      <c r="C46" s="85"/>
      <c r="D46" s="85"/>
    </row>
    <row r="47" spans="1:4">
      <c r="A47" s="85"/>
      <c r="B47" s="85"/>
      <c r="C47" s="85"/>
      <c r="D47" s="85"/>
    </row>
    <row r="48" spans="1:4">
      <c r="A48" s="85"/>
      <c r="B48" s="85"/>
      <c r="C48" s="85"/>
      <c r="D48" s="85"/>
    </row>
    <row r="49" spans="1:4">
      <c r="A49" s="85"/>
      <c r="B49" s="85"/>
      <c r="C49" s="85"/>
      <c r="D49" s="85"/>
    </row>
    <row r="50" spans="1:4">
      <c r="A50" s="85"/>
      <c r="B50" s="85"/>
      <c r="C50" s="85"/>
      <c r="D50" s="85"/>
    </row>
    <row r="51" spans="1:4">
      <c r="A51" s="85"/>
      <c r="B51" s="85"/>
      <c r="C51" s="85"/>
      <c r="D51" s="85"/>
    </row>
    <row r="52" spans="1:4">
      <c r="A52" s="85"/>
      <c r="B52" s="85"/>
      <c r="C52" s="85"/>
      <c r="D52" s="85"/>
    </row>
    <row r="53" spans="1:4">
      <c r="A53" s="85"/>
      <c r="B53" s="85"/>
      <c r="C53" s="85"/>
      <c r="D53" s="85"/>
    </row>
    <row r="54" spans="1:4">
      <c r="A54" s="85"/>
      <c r="B54" s="85"/>
      <c r="C54" s="85"/>
      <c r="D54" s="85"/>
    </row>
    <row r="55" spans="1:4">
      <c r="A55" s="85"/>
      <c r="B55" s="85"/>
      <c r="C55" s="85"/>
      <c r="D55" s="85"/>
    </row>
    <row r="56" spans="1:4">
      <c r="A56" s="85"/>
      <c r="B56" s="85"/>
      <c r="C56" s="85"/>
      <c r="D56" s="85"/>
    </row>
    <row r="57" spans="1:4">
      <c r="A57" s="85"/>
      <c r="B57" s="85"/>
      <c r="C57" s="85"/>
      <c r="D57" s="85"/>
    </row>
    <row r="58" spans="1:4">
      <c r="A58" s="85"/>
      <c r="B58" s="85"/>
      <c r="C58" s="85"/>
      <c r="D58" s="85"/>
    </row>
    <row r="59" spans="1:4">
      <c r="A59" s="85"/>
      <c r="B59" s="85"/>
      <c r="C59" s="85"/>
      <c r="D59" s="85"/>
    </row>
    <row r="60" spans="1:4">
      <c r="A60" s="85"/>
      <c r="B60" s="85"/>
      <c r="C60" s="85"/>
      <c r="D60" s="85"/>
    </row>
    <row r="61" spans="1:4">
      <c r="A61" s="85"/>
      <c r="B61" s="85"/>
      <c r="C61" s="85"/>
      <c r="D61" s="85"/>
    </row>
    <row r="62" spans="1:4">
      <c r="A62" s="85"/>
      <c r="B62" s="85"/>
      <c r="C62" s="85"/>
      <c r="D62" s="85"/>
    </row>
    <row r="63" spans="1:4">
      <c r="A63" s="85"/>
      <c r="B63" s="85"/>
      <c r="C63" s="85"/>
      <c r="D63" s="85"/>
    </row>
    <row r="64" spans="1:4">
      <c r="A64" s="85"/>
      <c r="B64" s="85"/>
      <c r="C64" s="85"/>
      <c r="D64" s="85"/>
    </row>
    <row r="65" spans="1:4">
      <c r="A65" s="85"/>
      <c r="B65" s="85"/>
      <c r="C65" s="85"/>
      <c r="D65" s="85"/>
    </row>
    <row r="66" spans="1:4">
      <c r="A66" s="85"/>
      <c r="B66" s="85"/>
      <c r="C66" s="85"/>
      <c r="D66" s="85"/>
    </row>
    <row r="67" spans="1:4">
      <c r="A67" s="85"/>
      <c r="B67" s="85"/>
      <c r="C67" s="85"/>
      <c r="D67" s="85"/>
    </row>
    <row r="68" spans="1:4">
      <c r="A68" s="85"/>
      <c r="B68" s="85"/>
      <c r="C68" s="85"/>
      <c r="D68" s="85"/>
    </row>
    <row r="69" spans="1:4">
      <c r="A69" s="85"/>
      <c r="B69" s="85"/>
      <c r="C69" s="85"/>
      <c r="D69" s="85"/>
    </row>
    <row r="70" spans="1:4">
      <c r="A70" s="85"/>
      <c r="B70" s="85"/>
      <c r="C70" s="85"/>
      <c r="D70" s="85"/>
    </row>
    <row r="71" spans="1:4">
      <c r="A71" s="85"/>
      <c r="B71" s="85"/>
      <c r="C71" s="85"/>
      <c r="D71" s="85"/>
    </row>
    <row r="72" spans="1:4">
      <c r="A72" s="85"/>
      <c r="B72" s="85"/>
      <c r="C72" s="85"/>
      <c r="D72" s="85"/>
    </row>
    <row r="73" spans="1:4">
      <c r="A73" s="85"/>
      <c r="B73" s="85"/>
      <c r="C73" s="85"/>
      <c r="D73" s="85"/>
    </row>
    <row r="74" spans="1:4">
      <c r="A74" s="85"/>
      <c r="B74" s="85"/>
      <c r="C74" s="85"/>
      <c r="D74" s="85"/>
    </row>
    <row r="75" spans="1:4">
      <c r="A75" s="85"/>
      <c r="B75" s="85"/>
      <c r="C75" s="85"/>
      <c r="D75" s="85"/>
    </row>
    <row r="76" spans="1:4">
      <c r="A76" s="85"/>
      <c r="B76" s="85"/>
      <c r="C76" s="85"/>
      <c r="D76" s="85"/>
    </row>
    <row r="77" spans="1:4">
      <c r="A77" s="85"/>
      <c r="B77" s="85"/>
      <c r="C77" s="85"/>
      <c r="D77" s="85"/>
    </row>
    <row r="78" spans="1:4">
      <c r="A78" s="85"/>
      <c r="B78" s="85"/>
      <c r="C78" s="85"/>
      <c r="D78" s="85"/>
    </row>
    <row r="79" spans="1:4">
      <c r="A79" s="85"/>
      <c r="B79" s="85"/>
      <c r="C79" s="85"/>
      <c r="D79" s="85"/>
    </row>
    <row r="80" spans="1:4">
      <c r="A80" s="85"/>
      <c r="B80" s="85"/>
      <c r="C80" s="85"/>
      <c r="D80" s="85"/>
    </row>
    <row r="81" spans="1:4">
      <c r="A81" s="85"/>
      <c r="B81" s="85"/>
      <c r="C81" s="85"/>
      <c r="D81" s="85"/>
    </row>
    <row r="82" spans="1:4">
      <c r="A82" s="85"/>
      <c r="B82" s="85"/>
      <c r="C82" s="85"/>
      <c r="D82" s="85"/>
    </row>
    <row r="83" spans="1:4">
      <c r="A83" s="85"/>
      <c r="B83" s="85"/>
      <c r="C83" s="85"/>
      <c r="D83" s="85"/>
    </row>
    <row r="84" spans="1:4">
      <c r="A84" s="85"/>
      <c r="B84" s="85"/>
      <c r="C84" s="85"/>
      <c r="D84" s="85"/>
    </row>
    <row r="85" spans="1:4">
      <c r="A85" s="85"/>
      <c r="B85" s="85"/>
      <c r="C85" s="85"/>
      <c r="D85" s="85"/>
    </row>
    <row r="86" spans="1:4">
      <c r="A86" s="85"/>
      <c r="B86" s="85"/>
      <c r="C86" s="85"/>
      <c r="D86" s="85"/>
    </row>
    <row r="87" spans="1:4">
      <c r="A87" s="85"/>
      <c r="B87" s="85"/>
      <c r="C87" s="85"/>
      <c r="D87" s="85"/>
    </row>
    <row r="88" spans="1:4">
      <c r="A88" s="85"/>
      <c r="B88" s="85"/>
      <c r="C88" s="85"/>
      <c r="D88" s="85"/>
    </row>
    <row r="89" spans="1:4">
      <c r="A89" s="85"/>
      <c r="B89" s="85"/>
      <c r="C89" s="85"/>
      <c r="D89" s="85"/>
    </row>
    <row r="90" spans="1:4">
      <c r="A90" s="85"/>
      <c r="B90" s="85"/>
      <c r="C90" s="85"/>
      <c r="D90" s="85"/>
    </row>
    <row r="91" spans="1:4">
      <c r="A91" s="85"/>
      <c r="B91" s="85"/>
      <c r="C91" s="85"/>
      <c r="D91" s="85"/>
    </row>
    <row r="92" spans="1:4">
      <c r="A92" s="85"/>
      <c r="B92" s="85"/>
      <c r="C92" s="85"/>
      <c r="D92" s="85"/>
    </row>
    <row r="93" spans="1:4">
      <c r="A93" s="85"/>
      <c r="B93" s="85"/>
      <c r="C93" s="85"/>
      <c r="D93" s="85"/>
    </row>
    <row r="94" spans="1:4">
      <c r="A94" s="85"/>
      <c r="B94" s="85"/>
      <c r="C94" s="85"/>
      <c r="D94" s="85"/>
    </row>
    <row r="95" spans="1:4">
      <c r="A95" s="85"/>
      <c r="B95" s="85"/>
      <c r="C95" s="85"/>
      <c r="D95" s="85"/>
    </row>
    <row r="96" spans="1:4">
      <c r="A96" s="85"/>
      <c r="B96" s="85"/>
      <c r="C96" s="85"/>
      <c r="D96" s="85"/>
    </row>
    <row r="97" spans="1:4">
      <c r="A97" s="85"/>
      <c r="B97" s="85"/>
      <c r="C97" s="85"/>
      <c r="D97" s="85"/>
    </row>
    <row r="98" spans="1:4">
      <c r="A98" s="85"/>
      <c r="B98" s="85"/>
      <c r="C98" s="85"/>
      <c r="D98" s="85"/>
    </row>
    <row r="99" spans="1:4">
      <c r="A99" s="85"/>
      <c r="B99" s="85"/>
      <c r="C99" s="85"/>
      <c r="D99" s="85"/>
    </row>
    <row r="100" spans="1:4">
      <c r="A100" s="85"/>
      <c r="B100" s="85"/>
      <c r="C100" s="85"/>
      <c r="D100" s="85"/>
    </row>
    <row r="101" spans="1:4">
      <c r="A101" s="85"/>
      <c r="B101" s="85"/>
      <c r="C101" s="85"/>
      <c r="D101" s="85"/>
    </row>
    <row r="102" spans="1:4">
      <c r="A102" s="85"/>
      <c r="B102" s="85"/>
      <c r="C102" s="85"/>
      <c r="D102" s="85"/>
    </row>
    <row r="103" spans="1:4">
      <c r="A103" s="85"/>
      <c r="B103" s="85"/>
      <c r="C103" s="85"/>
      <c r="D103" s="85"/>
    </row>
    <row r="104" spans="1:4">
      <c r="A104" s="85"/>
      <c r="B104" s="85"/>
      <c r="C104" s="85"/>
      <c r="D104" s="85"/>
    </row>
    <row r="105" spans="1:4">
      <c r="A105" s="85"/>
      <c r="B105" s="85"/>
      <c r="C105" s="85"/>
      <c r="D105" s="85"/>
    </row>
    <row r="106" spans="1:4">
      <c r="A106" s="85"/>
      <c r="B106" s="85"/>
      <c r="C106" s="85"/>
      <c r="D106" s="85"/>
    </row>
    <row r="107" spans="1:4">
      <c r="A107" s="85"/>
      <c r="B107" s="85"/>
      <c r="C107" s="85"/>
      <c r="D107" s="85"/>
    </row>
    <row r="108" spans="1:4">
      <c r="A108" s="85"/>
      <c r="B108" s="85"/>
      <c r="C108" s="85"/>
      <c r="D108" s="85"/>
    </row>
    <row r="109" spans="1:4">
      <c r="A109" s="85"/>
      <c r="B109" s="85"/>
      <c r="C109" s="85"/>
      <c r="D109" s="85"/>
    </row>
    <row r="110" spans="1:4">
      <c r="A110" s="85"/>
      <c r="B110" s="85"/>
      <c r="C110" s="85"/>
      <c r="D110" s="85"/>
    </row>
    <row r="111" spans="1:4">
      <c r="A111" s="85"/>
      <c r="B111" s="85"/>
      <c r="C111" s="85"/>
      <c r="D111" s="85"/>
    </row>
  </sheetData>
  <autoFilter ref="A1:D112"/>
  <phoneticPr fontId="5"/>
  <pageMargins left="0.78700000000000003" right="0.78700000000000003" top="0.98399999999999999" bottom="0.98399999999999999" header="0.51200000000000001" footer="0.51200000000000001"/>
  <headerFooter alignWithMargins="0"/>
</worksheet>
</file>

<file path=xl/worksheets/sheet22.xml><?xml version="1.0" encoding="utf-8"?>
<worksheet xmlns="http://schemas.openxmlformats.org/spreadsheetml/2006/main" xmlns:r="http://schemas.openxmlformats.org/officeDocument/2006/relationships">
  <sheetPr codeName="Sheet13"/>
  <dimension ref="A1:W36"/>
  <sheetViews>
    <sheetView showGridLines="0" topLeftCell="A13" workbookViewId="0">
      <selection activeCell="D32" sqref="D32"/>
    </sheetView>
  </sheetViews>
  <sheetFormatPr defaultRowHeight="13.5"/>
  <cols>
    <col min="1" max="1" width="19.75" style="70" bestFit="1" customWidth="1"/>
    <col min="2" max="2" width="8.625" style="2" customWidth="1"/>
    <col min="3" max="3" width="0.625" style="2" customWidth="1"/>
    <col min="4" max="4" width="19.75" style="7" bestFit="1" customWidth="1"/>
    <col min="5" max="5" width="10.125" customWidth="1"/>
    <col min="6" max="6" width="0.625" customWidth="1"/>
    <col min="7" max="7" width="9.25" style="7" customWidth="1"/>
    <col min="8" max="8" width="9.875" customWidth="1"/>
    <col min="9" max="9" width="0.5" customWidth="1"/>
    <col min="10" max="10" width="15.375" style="7" bestFit="1" customWidth="1"/>
    <col min="11" max="11" width="11.75" customWidth="1"/>
    <col min="12" max="12" width="0.5" customWidth="1"/>
    <col min="13" max="13" width="10.375" style="7" customWidth="1"/>
    <col min="14" max="14" width="10.125" customWidth="1"/>
    <col min="15" max="15" width="0.5" customWidth="1"/>
    <col min="16" max="16" width="15.25" bestFit="1" customWidth="1"/>
    <col min="17" max="17" width="11.875" customWidth="1"/>
    <col min="18" max="18" width="0.375" customWidth="1"/>
    <col min="19" max="19" width="12" style="7" customWidth="1"/>
    <col min="20" max="20" width="11" customWidth="1"/>
    <col min="21" max="21" width="0.5" customWidth="1"/>
    <col min="22" max="22" width="16.25" style="7" bestFit="1" customWidth="1"/>
    <col min="23" max="23" width="9.625" customWidth="1"/>
    <col min="24" max="24" width="5.125" customWidth="1"/>
  </cols>
  <sheetData>
    <row r="1" spans="1:23">
      <c r="A1" s="63" t="s">
        <v>251</v>
      </c>
      <c r="B1" s="42"/>
      <c r="C1"/>
      <c r="D1" s="63" t="s">
        <v>252</v>
      </c>
      <c r="E1" s="43"/>
      <c r="G1" s="64" t="s">
        <v>253</v>
      </c>
      <c r="H1" s="42"/>
      <c r="J1" s="63" t="s">
        <v>254</v>
      </c>
      <c r="K1" s="42"/>
      <c r="M1" s="64" t="s">
        <v>255</v>
      </c>
      <c r="N1" s="42"/>
      <c r="P1" s="44" t="s">
        <v>357</v>
      </c>
      <c r="Q1" s="42"/>
      <c r="S1" s="64" t="s">
        <v>256</v>
      </c>
      <c r="T1" s="42"/>
      <c r="V1" s="1113" t="s">
        <v>790</v>
      </c>
      <c r="W1" s="1114"/>
    </row>
    <row r="2" spans="1:23">
      <c r="A2" s="65">
        <v>100</v>
      </c>
      <c r="B2" s="46">
        <v>1</v>
      </c>
      <c r="D2" s="65" t="s">
        <v>206</v>
      </c>
      <c r="E2" s="46">
        <v>1</v>
      </c>
      <c r="G2" s="66" t="s">
        <v>224</v>
      </c>
      <c r="H2" s="48">
        <v>1</v>
      </c>
      <c r="J2" s="67" t="s">
        <v>211</v>
      </c>
      <c r="K2" s="48"/>
      <c r="M2" s="66">
        <v>100</v>
      </c>
      <c r="N2" s="48">
        <v>101</v>
      </c>
      <c r="P2" s="47" t="s">
        <v>216</v>
      </c>
      <c r="Q2" s="48">
        <v>1</v>
      </c>
      <c r="S2" s="66">
        <v>100</v>
      </c>
      <c r="T2" s="48">
        <v>1</v>
      </c>
      <c r="V2" s="1113">
        <v>100</v>
      </c>
      <c r="W2" s="1114">
        <v>3</v>
      </c>
    </row>
    <row r="3" spans="1:23">
      <c r="A3" s="65">
        <v>200</v>
      </c>
      <c r="B3" s="46">
        <v>2</v>
      </c>
      <c r="D3" s="65" t="s">
        <v>207</v>
      </c>
      <c r="E3" s="46">
        <v>2</v>
      </c>
      <c r="G3" s="66">
        <v>100</v>
      </c>
      <c r="H3" s="48">
        <v>2</v>
      </c>
      <c r="J3" s="67" t="s">
        <v>212</v>
      </c>
      <c r="K3" s="48"/>
      <c r="M3" s="66">
        <v>200</v>
      </c>
      <c r="N3" s="48">
        <v>102</v>
      </c>
      <c r="P3" s="47" t="s">
        <v>217</v>
      </c>
      <c r="Q3" s="48">
        <v>2</v>
      </c>
      <c r="S3" s="66">
        <v>200</v>
      </c>
      <c r="T3" s="48">
        <v>2</v>
      </c>
      <c r="V3" s="1113">
        <v>3000</v>
      </c>
      <c r="W3" s="1114">
        <v>6</v>
      </c>
    </row>
    <row r="4" spans="1:23">
      <c r="A4" s="65">
        <v>400</v>
      </c>
      <c r="B4" s="46">
        <v>3</v>
      </c>
      <c r="D4" s="65" t="s">
        <v>208</v>
      </c>
      <c r="E4" s="46">
        <v>3</v>
      </c>
      <c r="G4" s="66">
        <v>1500</v>
      </c>
      <c r="H4" s="48">
        <v>3</v>
      </c>
      <c r="J4" s="65" t="s">
        <v>313</v>
      </c>
      <c r="K4" s="48"/>
      <c r="M4" s="66">
        <v>400</v>
      </c>
      <c r="N4" s="48">
        <v>103</v>
      </c>
      <c r="P4" s="47" t="s">
        <v>333</v>
      </c>
      <c r="Q4" s="48">
        <v>3</v>
      </c>
      <c r="S4" s="66">
        <v>400</v>
      </c>
      <c r="T4" s="48">
        <v>3</v>
      </c>
      <c r="V4" s="631"/>
      <c r="W4" s="11"/>
    </row>
    <row r="5" spans="1:23">
      <c r="A5" s="65">
        <v>800</v>
      </c>
      <c r="B5" s="46">
        <v>4</v>
      </c>
      <c r="D5" s="65" t="s">
        <v>209</v>
      </c>
      <c r="E5" s="46">
        <v>4</v>
      </c>
      <c r="G5" s="66">
        <v>3000</v>
      </c>
      <c r="H5" s="48">
        <v>4</v>
      </c>
      <c r="J5" s="67" t="s">
        <v>314</v>
      </c>
      <c r="K5" s="48"/>
      <c r="M5" s="66">
        <v>800</v>
      </c>
      <c r="N5" s="48">
        <v>104</v>
      </c>
      <c r="P5" s="47" t="s">
        <v>334</v>
      </c>
      <c r="Q5" s="48">
        <v>4</v>
      </c>
      <c r="S5" s="66">
        <v>800</v>
      </c>
      <c r="T5" s="48">
        <v>4</v>
      </c>
      <c r="V5" s="631"/>
      <c r="W5" s="11"/>
    </row>
    <row r="6" spans="1:23">
      <c r="A6" s="65">
        <v>1500</v>
      </c>
      <c r="B6" s="46">
        <v>5</v>
      </c>
      <c r="D6" s="65">
        <v>100</v>
      </c>
      <c r="E6" s="46">
        <v>5</v>
      </c>
      <c r="G6" s="68" t="s">
        <v>257</v>
      </c>
      <c r="H6" s="50">
        <v>5</v>
      </c>
      <c r="J6" s="67" t="s">
        <v>315</v>
      </c>
      <c r="K6" s="48"/>
      <c r="M6" s="66">
        <v>1500</v>
      </c>
      <c r="N6" s="48">
        <v>105</v>
      </c>
      <c r="P6" s="47" t="s">
        <v>335</v>
      </c>
      <c r="Q6" s="48">
        <v>5</v>
      </c>
      <c r="S6" s="66">
        <v>3000</v>
      </c>
      <c r="T6" s="48">
        <v>5</v>
      </c>
      <c r="V6" s="631"/>
      <c r="W6" s="11"/>
    </row>
    <row r="7" spans="1:23">
      <c r="A7" s="65">
        <v>5000</v>
      </c>
      <c r="B7" s="46">
        <v>6</v>
      </c>
      <c r="D7" s="65">
        <v>200</v>
      </c>
      <c r="E7" s="46">
        <v>6</v>
      </c>
      <c r="J7" s="67" t="s">
        <v>316</v>
      </c>
      <c r="K7" s="48"/>
      <c r="M7" s="66">
        <v>3000</v>
      </c>
      <c r="N7" s="48">
        <v>106</v>
      </c>
      <c r="P7" s="47" t="s">
        <v>358</v>
      </c>
      <c r="Q7" s="48">
        <v>6</v>
      </c>
      <c r="S7" s="66" t="s">
        <v>258</v>
      </c>
      <c r="T7" s="48">
        <v>6</v>
      </c>
      <c r="V7" s="631"/>
      <c r="W7" s="11"/>
    </row>
    <row r="8" spans="1:23">
      <c r="A8" s="65">
        <v>10000</v>
      </c>
      <c r="B8" s="46">
        <v>7</v>
      </c>
      <c r="D8" s="65">
        <v>400</v>
      </c>
      <c r="E8" s="46">
        <v>7</v>
      </c>
      <c r="J8" s="67" t="s">
        <v>317</v>
      </c>
      <c r="K8" s="48"/>
      <c r="M8" s="66" t="s">
        <v>788</v>
      </c>
      <c r="N8" s="48">
        <v>107</v>
      </c>
      <c r="P8" s="47" t="s">
        <v>372</v>
      </c>
      <c r="Q8" s="48">
        <v>7</v>
      </c>
      <c r="S8" s="66" t="s">
        <v>210</v>
      </c>
      <c r="T8" s="48">
        <v>7</v>
      </c>
      <c r="V8" s="631"/>
      <c r="W8" s="11"/>
    </row>
    <row r="9" spans="1:23">
      <c r="A9" s="67" t="s">
        <v>371</v>
      </c>
      <c r="B9" s="46">
        <v>8</v>
      </c>
      <c r="D9" s="65">
        <v>800</v>
      </c>
      <c r="E9" s="46">
        <v>8</v>
      </c>
      <c r="J9" s="67" t="s">
        <v>259</v>
      </c>
      <c r="K9" s="48"/>
      <c r="M9" s="67" t="s">
        <v>131</v>
      </c>
      <c r="N9" s="48">
        <v>108</v>
      </c>
      <c r="P9" s="47"/>
      <c r="Q9" s="48">
        <v>8</v>
      </c>
      <c r="S9" s="66" t="s">
        <v>260</v>
      </c>
      <c r="T9" s="48">
        <v>8</v>
      </c>
      <c r="V9" s="631"/>
      <c r="W9" s="11"/>
    </row>
    <row r="10" spans="1:23">
      <c r="A10" s="67" t="s">
        <v>373</v>
      </c>
      <c r="B10" s="46">
        <v>9</v>
      </c>
      <c r="D10" s="65">
        <v>1500</v>
      </c>
      <c r="E10" s="46">
        <v>9</v>
      </c>
      <c r="J10" s="1242">
        <v>100</v>
      </c>
      <c r="K10" s="48">
        <v>101</v>
      </c>
      <c r="M10" s="67" t="s">
        <v>181</v>
      </c>
      <c r="N10" s="48">
        <v>109</v>
      </c>
      <c r="P10" s="47"/>
      <c r="Q10" s="48">
        <v>9</v>
      </c>
      <c r="S10" s="66" t="s">
        <v>131</v>
      </c>
      <c r="T10" s="48">
        <v>9</v>
      </c>
      <c r="V10" s="631"/>
      <c r="W10" s="11"/>
    </row>
    <row r="11" spans="1:23">
      <c r="A11" s="67" t="s">
        <v>374</v>
      </c>
      <c r="B11" s="46">
        <v>10</v>
      </c>
      <c r="D11" s="65">
        <v>3000</v>
      </c>
      <c r="E11" s="46">
        <v>10</v>
      </c>
      <c r="J11" s="1242">
        <v>1500</v>
      </c>
      <c r="K11" s="48">
        <v>102</v>
      </c>
      <c r="M11" s="67" t="s">
        <v>180</v>
      </c>
      <c r="N11" s="48">
        <v>110</v>
      </c>
      <c r="P11" s="47" t="s">
        <v>359</v>
      </c>
      <c r="Q11" s="48">
        <v>10</v>
      </c>
      <c r="S11" s="67" t="s">
        <v>181</v>
      </c>
      <c r="T11" s="48">
        <v>10</v>
      </c>
      <c r="V11" s="631"/>
      <c r="W11" s="11"/>
    </row>
    <row r="12" spans="1:23">
      <c r="A12" s="67"/>
      <c r="B12" s="46">
        <v>11</v>
      </c>
      <c r="D12" s="67" t="s">
        <v>691</v>
      </c>
      <c r="E12" s="46">
        <v>11</v>
      </c>
      <c r="J12" s="67" t="s">
        <v>385</v>
      </c>
      <c r="K12" s="48">
        <v>103</v>
      </c>
      <c r="M12" s="67" t="s">
        <v>185</v>
      </c>
      <c r="N12" s="48">
        <v>111</v>
      </c>
      <c r="P12" s="47" t="s">
        <v>360</v>
      </c>
      <c r="Q12" s="48">
        <v>11</v>
      </c>
      <c r="S12" s="67" t="s">
        <v>180</v>
      </c>
      <c r="T12" s="48">
        <v>11</v>
      </c>
      <c r="V12" s="631"/>
      <c r="W12" s="11"/>
    </row>
    <row r="13" spans="1:23">
      <c r="A13" s="67" t="s">
        <v>361</v>
      </c>
      <c r="B13" s="46">
        <v>12</v>
      </c>
      <c r="D13" s="67" t="s">
        <v>210</v>
      </c>
      <c r="E13" s="46">
        <v>12</v>
      </c>
      <c r="J13" s="67" t="s">
        <v>131</v>
      </c>
      <c r="K13" s="48">
        <v>104</v>
      </c>
      <c r="M13" s="69" t="s">
        <v>224</v>
      </c>
      <c r="N13" s="48">
        <v>112</v>
      </c>
      <c r="P13" s="47" t="s">
        <v>342</v>
      </c>
      <c r="Q13" s="48">
        <v>12</v>
      </c>
      <c r="S13" s="67" t="s">
        <v>132</v>
      </c>
      <c r="T13" s="48">
        <v>12</v>
      </c>
      <c r="V13" s="631"/>
      <c r="W13" s="11"/>
    </row>
    <row r="14" spans="1:23">
      <c r="A14" s="67" t="s">
        <v>362</v>
      </c>
      <c r="B14" s="46">
        <v>13</v>
      </c>
      <c r="D14" s="67" t="s">
        <v>261</v>
      </c>
      <c r="E14" s="46">
        <v>13</v>
      </c>
      <c r="J14" s="1243" t="s">
        <v>180</v>
      </c>
      <c r="K14" s="48">
        <v>105</v>
      </c>
      <c r="M14" s="70"/>
      <c r="P14" s="47" t="s">
        <v>343</v>
      </c>
      <c r="Q14" s="48">
        <v>13</v>
      </c>
      <c r="S14" s="67" t="s">
        <v>182</v>
      </c>
      <c r="T14" s="48">
        <v>13</v>
      </c>
      <c r="V14" s="631"/>
      <c r="W14" s="11"/>
    </row>
    <row r="15" spans="1:23">
      <c r="A15" s="67" t="s">
        <v>363</v>
      </c>
      <c r="B15" s="46">
        <v>14</v>
      </c>
      <c r="D15" s="67" t="s">
        <v>131</v>
      </c>
      <c r="E15" s="46">
        <v>14</v>
      </c>
      <c r="J15" s="1243" t="s">
        <v>185</v>
      </c>
      <c r="K15" s="48">
        <v>106</v>
      </c>
      <c r="P15" s="47" t="s">
        <v>218</v>
      </c>
      <c r="Q15" s="48">
        <v>14</v>
      </c>
      <c r="S15" s="69" t="s">
        <v>222</v>
      </c>
      <c r="T15" s="50">
        <v>14</v>
      </c>
      <c r="V15" s="631"/>
      <c r="W15" s="11"/>
    </row>
    <row r="16" spans="1:23">
      <c r="A16" s="67" t="s">
        <v>131</v>
      </c>
      <c r="B16" s="46">
        <v>15</v>
      </c>
      <c r="D16" s="67" t="s">
        <v>181</v>
      </c>
      <c r="E16" s="46">
        <v>15</v>
      </c>
      <c r="J16" s="1244" t="s">
        <v>375</v>
      </c>
      <c r="K16" s="48">
        <v>107</v>
      </c>
      <c r="P16" s="47" t="s">
        <v>376</v>
      </c>
      <c r="Q16" s="48">
        <v>15</v>
      </c>
      <c r="V16" s="690"/>
      <c r="W16" s="11"/>
    </row>
    <row r="17" spans="1:23">
      <c r="A17" s="67" t="s">
        <v>181</v>
      </c>
      <c r="B17" s="46">
        <v>16</v>
      </c>
      <c r="D17" s="67" t="s">
        <v>180</v>
      </c>
      <c r="E17" s="46">
        <v>16</v>
      </c>
      <c r="J17" s="7" t="s">
        <v>395</v>
      </c>
      <c r="K17" s="83">
        <v>103</v>
      </c>
      <c r="P17" s="47" t="s">
        <v>377</v>
      </c>
      <c r="Q17" s="48">
        <v>16</v>
      </c>
      <c r="V17" s="631"/>
      <c r="W17" s="11"/>
    </row>
    <row r="18" spans="1:23">
      <c r="A18" s="67" t="s">
        <v>180</v>
      </c>
      <c r="B18" s="46">
        <v>17</v>
      </c>
      <c r="D18" s="67" t="s">
        <v>184</v>
      </c>
      <c r="E18" s="46">
        <v>17</v>
      </c>
      <c r="J18" s="7" t="s">
        <v>396</v>
      </c>
      <c r="K18" s="83">
        <v>103</v>
      </c>
      <c r="P18" s="47" t="s">
        <v>347</v>
      </c>
      <c r="Q18" s="48">
        <v>17</v>
      </c>
    </row>
    <row r="19" spans="1:23">
      <c r="A19" s="67" t="s">
        <v>184</v>
      </c>
      <c r="B19" s="46">
        <v>18</v>
      </c>
      <c r="D19" s="67" t="s">
        <v>185</v>
      </c>
      <c r="E19" s="46">
        <v>18</v>
      </c>
      <c r="J19" s="70" t="s">
        <v>397</v>
      </c>
      <c r="K19" s="83">
        <v>103</v>
      </c>
      <c r="P19" s="47" t="s">
        <v>378</v>
      </c>
      <c r="Q19" s="48">
        <v>18</v>
      </c>
    </row>
    <row r="20" spans="1:23">
      <c r="A20" s="67" t="s">
        <v>185</v>
      </c>
      <c r="B20" s="46">
        <v>19</v>
      </c>
      <c r="D20" s="69" t="s">
        <v>183</v>
      </c>
      <c r="E20" s="52">
        <v>19</v>
      </c>
      <c r="J20" s="70"/>
      <c r="P20" s="47" t="s">
        <v>379</v>
      </c>
      <c r="Q20" s="48">
        <v>19</v>
      </c>
    </row>
    <row r="21" spans="1:23">
      <c r="A21" s="67" t="s">
        <v>183</v>
      </c>
      <c r="B21" s="46">
        <v>20</v>
      </c>
      <c r="D21" s="70"/>
      <c r="E21" s="2"/>
      <c r="J21" s="70"/>
      <c r="P21" s="47" t="s">
        <v>221</v>
      </c>
      <c r="Q21" s="48">
        <v>20</v>
      </c>
    </row>
    <row r="22" spans="1:23">
      <c r="A22" s="67" t="s">
        <v>263</v>
      </c>
      <c r="B22" s="46">
        <v>21</v>
      </c>
      <c r="D22" s="70"/>
      <c r="E22" s="2"/>
      <c r="J22" s="70"/>
      <c r="P22" s="47" t="s">
        <v>223</v>
      </c>
      <c r="Q22" s="48">
        <v>21</v>
      </c>
      <c r="V22" s="63" t="s">
        <v>264</v>
      </c>
      <c r="W22" s="42"/>
    </row>
    <row r="23" spans="1:23">
      <c r="A23" s="67" t="s">
        <v>265</v>
      </c>
      <c r="B23" s="46">
        <v>22</v>
      </c>
      <c r="D23" s="70"/>
      <c r="E23" s="2"/>
      <c r="J23" s="70"/>
      <c r="P23" s="47" t="s">
        <v>350</v>
      </c>
      <c r="Q23" s="48">
        <v>22</v>
      </c>
      <c r="V23" s="67"/>
      <c r="W23" s="48"/>
    </row>
    <row r="24" spans="1:23">
      <c r="A24" s="67" t="s">
        <v>1058</v>
      </c>
      <c r="B24" s="46">
        <v>30</v>
      </c>
      <c r="D24" s="70"/>
      <c r="E24" s="2"/>
      <c r="P24" s="49" t="s">
        <v>768</v>
      </c>
      <c r="Q24" s="48">
        <v>23</v>
      </c>
      <c r="V24" s="67"/>
      <c r="W24" s="48"/>
    </row>
    <row r="25" spans="1:23">
      <c r="A25" s="67" t="s">
        <v>318</v>
      </c>
      <c r="B25" s="46">
        <v>24</v>
      </c>
      <c r="P25" s="47" t="s">
        <v>717</v>
      </c>
      <c r="Q25" s="48">
        <v>24</v>
      </c>
      <c r="V25" s="67" t="s">
        <v>388</v>
      </c>
      <c r="W25" s="48">
        <v>4</v>
      </c>
    </row>
    <row r="26" spans="1:23">
      <c r="A26" s="67" t="s">
        <v>319</v>
      </c>
      <c r="B26" s="46">
        <v>25</v>
      </c>
      <c r="P26" s="49" t="s">
        <v>220</v>
      </c>
      <c r="Q26" s="50">
        <v>25</v>
      </c>
      <c r="V26" s="69"/>
      <c r="W26" s="50"/>
    </row>
    <row r="27" spans="1:23">
      <c r="A27" s="67" t="s">
        <v>320</v>
      </c>
      <c r="B27" s="46">
        <v>26</v>
      </c>
    </row>
    <row r="28" spans="1:23">
      <c r="A28" s="67" t="s">
        <v>321</v>
      </c>
      <c r="B28" s="46">
        <v>27</v>
      </c>
    </row>
    <row r="29" spans="1:23">
      <c r="A29" s="67" t="s">
        <v>851</v>
      </c>
      <c r="B29" s="78">
        <v>28</v>
      </c>
    </row>
    <row r="30" spans="1:23">
      <c r="A30" s="67" t="s">
        <v>767</v>
      </c>
      <c r="B30" s="78">
        <v>29</v>
      </c>
      <c r="D30" s="631"/>
      <c r="E30" s="11"/>
    </row>
    <row r="31" spans="1:23">
      <c r="A31" s="67"/>
      <c r="B31" s="78"/>
      <c r="D31" s="631"/>
      <c r="E31" s="11"/>
    </row>
    <row r="32" spans="1:23">
      <c r="A32" s="67" t="s">
        <v>332</v>
      </c>
      <c r="B32" s="78">
        <v>31</v>
      </c>
      <c r="D32" s="168"/>
      <c r="E32" s="11"/>
    </row>
    <row r="33" spans="1:5">
      <c r="A33" s="69"/>
      <c r="B33" s="71">
        <v>32</v>
      </c>
      <c r="D33" s="168"/>
      <c r="E33" s="11"/>
    </row>
    <row r="34" spans="1:5">
      <c r="D34" s="168"/>
      <c r="E34" s="11"/>
    </row>
    <row r="35" spans="1:5">
      <c r="D35" s="168"/>
      <c r="E35" s="11"/>
    </row>
    <row r="36" spans="1:5">
      <c r="D36" s="168"/>
      <c r="E36" s="11"/>
    </row>
  </sheetData>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sheetPr codeName="Sheet14"/>
  <dimension ref="A1:W28"/>
  <sheetViews>
    <sheetView showGridLines="0" workbookViewId="0">
      <selection activeCell="F21" sqref="F21"/>
    </sheetView>
  </sheetViews>
  <sheetFormatPr defaultRowHeight="13.5"/>
  <cols>
    <col min="1" max="1" width="17.5" style="70" bestFit="1" customWidth="1"/>
    <col min="2" max="2" width="10.125" style="1" customWidth="1"/>
    <col min="3" max="3" width="0.375" style="1" customWidth="1"/>
    <col min="4" max="4" width="17.5" style="7" bestFit="1" customWidth="1"/>
    <col min="5" max="5" width="6.25" customWidth="1"/>
    <col min="6" max="6" width="0.875" customWidth="1"/>
    <col min="7" max="7" width="9" style="7"/>
    <col min="8" max="8" width="4.625" customWidth="1"/>
    <col min="9" max="9" width="0.5" customWidth="1"/>
    <col min="10" max="10" width="15.375" style="7" bestFit="1" customWidth="1"/>
    <col min="11" max="11" width="5.625" customWidth="1"/>
    <col min="12" max="12" width="0.5" customWidth="1"/>
    <col min="13" max="13" width="9" style="7"/>
    <col min="14" max="14" width="4.5" bestFit="1" customWidth="1"/>
    <col min="15" max="15" width="0.375" customWidth="1"/>
    <col min="16" max="16" width="12.625" bestFit="1" customWidth="1"/>
    <col min="17" max="17" width="9.125" customWidth="1"/>
    <col min="18" max="18" width="0.25" customWidth="1"/>
    <col min="19" max="19" width="9.125" customWidth="1"/>
    <col min="20" max="20" width="4.875" customWidth="1"/>
    <col min="21" max="21" width="1.875" customWidth="1"/>
    <col min="22" max="22" width="16.125" bestFit="1" customWidth="1"/>
    <col min="23" max="23" width="3.5" bestFit="1" customWidth="1"/>
    <col min="24" max="24" width="7" customWidth="1"/>
  </cols>
  <sheetData>
    <row r="1" spans="1:23">
      <c r="A1" s="63" t="s">
        <v>251</v>
      </c>
      <c r="B1" s="42"/>
      <c r="C1"/>
      <c r="D1" s="63" t="s">
        <v>252</v>
      </c>
      <c r="E1" s="53"/>
      <c r="F1" s="1"/>
      <c r="G1" s="63" t="s">
        <v>253</v>
      </c>
      <c r="H1" s="53"/>
      <c r="J1" s="63" t="s">
        <v>254</v>
      </c>
      <c r="K1" s="42"/>
      <c r="M1" s="64" t="s">
        <v>255</v>
      </c>
      <c r="N1" s="42"/>
      <c r="P1" s="44" t="s">
        <v>357</v>
      </c>
      <c r="Q1" s="42"/>
      <c r="S1" s="44" t="s">
        <v>256</v>
      </c>
      <c r="T1" s="42"/>
      <c r="V1" s="1113" t="s">
        <v>790</v>
      </c>
      <c r="W1" s="1114"/>
    </row>
    <row r="2" spans="1:23">
      <c r="A2" s="65">
        <v>100</v>
      </c>
      <c r="B2" s="46">
        <v>40</v>
      </c>
      <c r="D2" s="65" t="s">
        <v>206</v>
      </c>
      <c r="E2" s="46">
        <v>30</v>
      </c>
      <c r="F2" s="2"/>
      <c r="G2" s="66" t="s">
        <v>224</v>
      </c>
      <c r="H2" s="48">
        <v>10</v>
      </c>
      <c r="J2" s="67" t="s">
        <v>211</v>
      </c>
      <c r="K2" s="48"/>
      <c r="M2" s="66">
        <v>100</v>
      </c>
      <c r="N2" s="48">
        <v>113</v>
      </c>
      <c r="P2" s="47" t="s">
        <v>216</v>
      </c>
      <c r="Q2" s="48">
        <v>30</v>
      </c>
      <c r="S2" s="66">
        <v>100</v>
      </c>
      <c r="T2" s="48">
        <v>20</v>
      </c>
      <c r="V2" s="1113">
        <v>100</v>
      </c>
      <c r="W2" s="1114">
        <v>9</v>
      </c>
    </row>
    <row r="3" spans="1:23">
      <c r="A3" s="65">
        <v>200</v>
      </c>
      <c r="B3" s="46">
        <v>41</v>
      </c>
      <c r="C3" s="2"/>
      <c r="D3" s="65" t="s">
        <v>323</v>
      </c>
      <c r="E3" s="46">
        <v>31</v>
      </c>
      <c r="F3" s="2"/>
      <c r="G3" s="66">
        <v>100</v>
      </c>
      <c r="H3" s="48">
        <v>11</v>
      </c>
      <c r="J3" s="67" t="s">
        <v>212</v>
      </c>
      <c r="K3" s="48"/>
      <c r="M3" s="66">
        <v>200</v>
      </c>
      <c r="N3" s="48">
        <v>114</v>
      </c>
      <c r="O3" s="2"/>
      <c r="P3" s="47" t="s">
        <v>217</v>
      </c>
      <c r="Q3" s="48">
        <v>31</v>
      </c>
      <c r="S3" s="66">
        <v>200</v>
      </c>
      <c r="T3" s="48">
        <v>21</v>
      </c>
      <c r="V3" s="1113">
        <v>3000</v>
      </c>
      <c r="W3" s="1114">
        <v>12</v>
      </c>
    </row>
    <row r="4" spans="1:23">
      <c r="A4" s="65">
        <v>400</v>
      </c>
      <c r="B4" s="46">
        <v>42</v>
      </c>
      <c r="C4" s="2"/>
      <c r="D4" s="65" t="s">
        <v>208</v>
      </c>
      <c r="E4" s="46">
        <v>32</v>
      </c>
      <c r="F4" s="2"/>
      <c r="G4" s="66">
        <v>800</v>
      </c>
      <c r="H4" s="48">
        <v>12</v>
      </c>
      <c r="J4" s="65" t="s">
        <v>313</v>
      </c>
      <c r="K4" s="48"/>
      <c r="M4" s="66">
        <v>800</v>
      </c>
      <c r="N4" s="48">
        <v>115</v>
      </c>
      <c r="P4" s="47" t="s">
        <v>351</v>
      </c>
      <c r="Q4" s="48">
        <v>32</v>
      </c>
      <c r="S4" s="66">
        <v>800</v>
      </c>
      <c r="T4" s="48">
        <v>22</v>
      </c>
      <c r="V4" s="73"/>
      <c r="W4" s="73"/>
    </row>
    <row r="5" spans="1:23">
      <c r="A5" s="65">
        <v>800</v>
      </c>
      <c r="B5" s="46">
        <v>43</v>
      </c>
      <c r="C5" s="2"/>
      <c r="D5" s="65">
        <v>100</v>
      </c>
      <c r="E5" s="46">
        <v>33</v>
      </c>
      <c r="F5" s="2"/>
      <c r="G5" s="68">
        <v>1500</v>
      </c>
      <c r="H5" s="50">
        <v>13</v>
      </c>
      <c r="J5" s="67" t="s">
        <v>314</v>
      </c>
      <c r="K5" s="48"/>
      <c r="M5" s="66">
        <v>1500</v>
      </c>
      <c r="N5" s="48">
        <v>116</v>
      </c>
      <c r="P5" s="47" t="s">
        <v>334</v>
      </c>
      <c r="Q5" s="48">
        <v>33</v>
      </c>
      <c r="S5" s="66">
        <v>2000</v>
      </c>
      <c r="T5" s="48">
        <v>23</v>
      </c>
      <c r="V5" s="73"/>
      <c r="W5" s="73"/>
    </row>
    <row r="6" spans="1:23">
      <c r="A6" s="65">
        <v>1500</v>
      </c>
      <c r="B6" s="46">
        <v>44</v>
      </c>
      <c r="C6" s="2"/>
      <c r="D6" s="65">
        <v>200</v>
      </c>
      <c r="E6" s="46">
        <v>34</v>
      </c>
      <c r="F6" s="2"/>
      <c r="G6" s="7" t="s">
        <v>1063</v>
      </c>
      <c r="H6" s="83">
        <v>14</v>
      </c>
      <c r="J6" s="67" t="s">
        <v>315</v>
      </c>
      <c r="K6" s="48"/>
      <c r="M6" s="66" t="s">
        <v>787</v>
      </c>
      <c r="N6" s="48">
        <v>117</v>
      </c>
      <c r="P6" s="47" t="s">
        <v>352</v>
      </c>
      <c r="Q6" s="48">
        <v>34</v>
      </c>
      <c r="S6" s="66" t="s">
        <v>364</v>
      </c>
      <c r="T6" s="48">
        <v>24</v>
      </c>
      <c r="V6" s="690"/>
      <c r="W6" s="73"/>
    </row>
    <row r="7" spans="1:23">
      <c r="A7" s="65">
        <v>3000</v>
      </c>
      <c r="B7" s="46">
        <v>45</v>
      </c>
      <c r="C7" s="2"/>
      <c r="D7" s="65">
        <v>800</v>
      </c>
      <c r="E7" s="46">
        <v>35</v>
      </c>
      <c r="F7" s="2"/>
      <c r="G7" s="72"/>
      <c r="H7" s="2"/>
      <c r="J7" s="67" t="s">
        <v>316</v>
      </c>
      <c r="K7" s="48"/>
      <c r="M7" s="67" t="s">
        <v>131</v>
      </c>
      <c r="N7" s="48">
        <v>118</v>
      </c>
      <c r="P7" s="47" t="s">
        <v>365</v>
      </c>
      <c r="Q7" s="48">
        <v>35</v>
      </c>
      <c r="S7" s="66" t="s">
        <v>210</v>
      </c>
      <c r="T7" s="48">
        <v>25</v>
      </c>
      <c r="V7" s="73"/>
      <c r="W7" s="73"/>
    </row>
    <row r="8" spans="1:23">
      <c r="A8" s="65">
        <v>5000</v>
      </c>
      <c r="B8" s="46">
        <v>46</v>
      </c>
      <c r="C8" s="2"/>
      <c r="D8" s="65">
        <v>1500</v>
      </c>
      <c r="E8" s="46">
        <v>36</v>
      </c>
      <c r="F8" s="2"/>
      <c r="G8" s="72"/>
      <c r="H8" s="2"/>
      <c r="J8" s="67" t="s">
        <v>317</v>
      </c>
      <c r="K8" s="48"/>
      <c r="M8" s="67" t="s">
        <v>180</v>
      </c>
      <c r="N8" s="48">
        <v>119</v>
      </c>
      <c r="P8" s="47" t="s">
        <v>366</v>
      </c>
      <c r="Q8" s="48">
        <v>36</v>
      </c>
      <c r="S8" s="67" t="s">
        <v>261</v>
      </c>
      <c r="T8" s="48">
        <v>26</v>
      </c>
      <c r="V8" s="73"/>
      <c r="W8" s="73"/>
    </row>
    <row r="9" spans="1:23">
      <c r="A9" s="65">
        <v>10000</v>
      </c>
      <c r="B9" s="46">
        <v>47</v>
      </c>
      <c r="C9" s="2"/>
      <c r="D9" s="67" t="s">
        <v>411</v>
      </c>
      <c r="E9" s="46">
        <v>37</v>
      </c>
      <c r="F9" s="2"/>
      <c r="G9" s="72"/>
      <c r="H9" s="2"/>
      <c r="J9" s="67" t="s">
        <v>259</v>
      </c>
      <c r="K9" s="48"/>
      <c r="M9" s="67" t="s">
        <v>185</v>
      </c>
      <c r="N9" s="48">
        <v>120</v>
      </c>
      <c r="P9" s="47" t="s">
        <v>359</v>
      </c>
      <c r="Q9" s="48">
        <v>37</v>
      </c>
      <c r="S9" s="67" t="s">
        <v>131</v>
      </c>
      <c r="T9" s="48">
        <v>27</v>
      </c>
      <c r="V9" s="73"/>
      <c r="W9" s="73"/>
    </row>
    <row r="10" spans="1:23">
      <c r="A10" s="67" t="s">
        <v>380</v>
      </c>
      <c r="B10" s="46">
        <v>48</v>
      </c>
      <c r="C10" s="2"/>
      <c r="D10" s="66" t="s">
        <v>210</v>
      </c>
      <c r="E10" s="46">
        <v>38</v>
      </c>
      <c r="F10" s="2"/>
      <c r="G10" s="72"/>
      <c r="H10" s="2"/>
      <c r="J10" s="65">
        <v>100</v>
      </c>
      <c r="K10" s="48">
        <v>110</v>
      </c>
      <c r="M10" s="69" t="s">
        <v>224</v>
      </c>
      <c r="N10" s="48">
        <v>121</v>
      </c>
      <c r="P10" s="47" t="s">
        <v>367</v>
      </c>
      <c r="Q10" s="48">
        <v>38</v>
      </c>
      <c r="S10" s="67" t="s">
        <v>180</v>
      </c>
      <c r="T10" s="48">
        <v>28</v>
      </c>
      <c r="V10" s="73"/>
      <c r="W10" s="73"/>
    </row>
    <row r="11" spans="1:23">
      <c r="A11" s="67" t="s">
        <v>381</v>
      </c>
      <c r="B11" s="46">
        <v>49</v>
      </c>
      <c r="C11" s="2"/>
      <c r="D11" s="67" t="s">
        <v>386</v>
      </c>
      <c r="E11" s="46">
        <v>39</v>
      </c>
      <c r="F11" s="2"/>
      <c r="G11" s="72"/>
      <c r="H11" s="2"/>
      <c r="J11" s="65">
        <v>800</v>
      </c>
      <c r="K11" s="48">
        <v>111</v>
      </c>
      <c r="M11" s="70"/>
      <c r="P11" s="47" t="s">
        <v>342</v>
      </c>
      <c r="Q11" s="48">
        <v>39</v>
      </c>
      <c r="S11" s="67" t="s">
        <v>185</v>
      </c>
      <c r="T11" s="48">
        <v>29</v>
      </c>
      <c r="V11" s="73"/>
      <c r="W11" s="73"/>
    </row>
    <row r="12" spans="1:23">
      <c r="A12" s="67"/>
      <c r="B12" s="46">
        <v>50</v>
      </c>
      <c r="C12" s="2"/>
      <c r="D12" s="67" t="s">
        <v>131</v>
      </c>
      <c r="E12" s="46">
        <v>40</v>
      </c>
      <c r="F12" s="2"/>
      <c r="G12" s="72"/>
      <c r="H12" s="2"/>
      <c r="J12" s="67" t="s">
        <v>385</v>
      </c>
      <c r="K12" s="48">
        <v>112</v>
      </c>
      <c r="P12" s="47" t="s">
        <v>382</v>
      </c>
      <c r="Q12" s="48">
        <v>40</v>
      </c>
      <c r="S12" s="69" t="s">
        <v>222</v>
      </c>
      <c r="T12" s="50">
        <v>30</v>
      </c>
      <c r="V12" s="73"/>
      <c r="W12" s="73"/>
    </row>
    <row r="13" spans="1:23">
      <c r="A13" s="67" t="s">
        <v>368</v>
      </c>
      <c r="B13" s="46">
        <v>51</v>
      </c>
      <c r="C13" s="2"/>
      <c r="D13" s="67" t="s">
        <v>180</v>
      </c>
      <c r="E13" s="46">
        <v>41</v>
      </c>
      <c r="F13" s="2"/>
      <c r="G13" s="72"/>
      <c r="H13" s="2"/>
      <c r="J13" s="67" t="s">
        <v>131</v>
      </c>
      <c r="K13" s="48">
        <v>113</v>
      </c>
      <c r="P13" s="47" t="s">
        <v>354</v>
      </c>
      <c r="Q13" s="48">
        <v>41</v>
      </c>
      <c r="V13" s="73"/>
      <c r="W13" s="73"/>
    </row>
    <row r="14" spans="1:23">
      <c r="A14" s="67" t="s">
        <v>361</v>
      </c>
      <c r="B14" s="46">
        <v>52</v>
      </c>
      <c r="C14" s="2"/>
      <c r="D14" s="67" t="s">
        <v>185</v>
      </c>
      <c r="E14" s="46">
        <v>42</v>
      </c>
      <c r="F14" s="2"/>
      <c r="G14" s="72"/>
      <c r="H14" s="2"/>
      <c r="J14" s="67" t="s">
        <v>180</v>
      </c>
      <c r="K14" s="48">
        <v>114</v>
      </c>
      <c r="P14" s="47" t="s">
        <v>355</v>
      </c>
      <c r="Q14" s="48">
        <v>42</v>
      </c>
      <c r="V14" s="73"/>
      <c r="W14" s="73"/>
    </row>
    <row r="15" spans="1:23">
      <c r="A15" s="67" t="s">
        <v>369</v>
      </c>
      <c r="B15" s="46">
        <v>53</v>
      </c>
      <c r="C15" s="2"/>
      <c r="D15" s="69" t="s">
        <v>183</v>
      </c>
      <c r="E15" s="52">
        <v>43</v>
      </c>
      <c r="F15" s="2"/>
      <c r="G15" s="72"/>
      <c r="H15" s="2"/>
      <c r="J15" s="67" t="s">
        <v>185</v>
      </c>
      <c r="K15" s="48">
        <v>115</v>
      </c>
      <c r="P15" s="47"/>
      <c r="Q15" s="48">
        <v>43</v>
      </c>
      <c r="V15" s="73"/>
      <c r="W15" s="73"/>
    </row>
    <row r="16" spans="1:23">
      <c r="A16" s="67" t="s">
        <v>370</v>
      </c>
      <c r="B16" s="46">
        <v>54</v>
      </c>
      <c r="C16" s="2"/>
      <c r="D16" s="70" t="s">
        <v>1063</v>
      </c>
      <c r="E16" s="78">
        <v>44</v>
      </c>
      <c r="F16" s="2"/>
      <c r="G16" s="72"/>
      <c r="H16" s="2"/>
      <c r="J16" s="69" t="s">
        <v>266</v>
      </c>
      <c r="K16" s="48">
        <v>116</v>
      </c>
      <c r="P16" s="49" t="s">
        <v>347</v>
      </c>
      <c r="Q16" s="48">
        <v>44</v>
      </c>
      <c r="V16" s="73"/>
      <c r="W16" s="73"/>
    </row>
    <row r="17" spans="1:23">
      <c r="A17" s="67" t="s">
        <v>131</v>
      </c>
      <c r="B17" s="46">
        <v>55</v>
      </c>
      <c r="C17" s="2"/>
      <c r="D17" s="70" t="s">
        <v>1064</v>
      </c>
      <c r="E17" s="78">
        <v>45</v>
      </c>
      <c r="F17" s="2"/>
      <c r="G17" s="72"/>
      <c r="H17" s="2"/>
      <c r="J17" s="7" t="s">
        <v>398</v>
      </c>
      <c r="K17" s="83">
        <v>112</v>
      </c>
      <c r="P17" s="49" t="s">
        <v>220</v>
      </c>
      <c r="Q17" s="48">
        <v>45</v>
      </c>
      <c r="V17" s="73"/>
      <c r="W17" s="73"/>
    </row>
    <row r="18" spans="1:23">
      <c r="A18" s="67" t="s">
        <v>181</v>
      </c>
      <c r="B18" s="46">
        <v>56</v>
      </c>
      <c r="C18" s="2"/>
      <c r="D18" s="70"/>
      <c r="E18" s="2"/>
      <c r="F18" s="2"/>
      <c r="G18" s="72"/>
      <c r="H18" s="2"/>
      <c r="J18" s="7" t="s">
        <v>399</v>
      </c>
      <c r="K18" s="83">
        <v>112</v>
      </c>
      <c r="P18" s="49" t="s">
        <v>383</v>
      </c>
      <c r="Q18" s="48">
        <v>46</v>
      </c>
    </row>
    <row r="19" spans="1:23">
      <c r="A19" s="67" t="s">
        <v>180</v>
      </c>
      <c r="B19" s="46">
        <v>57</v>
      </c>
      <c r="C19" s="2"/>
      <c r="D19" s="70"/>
      <c r="E19" s="2"/>
      <c r="F19" s="2"/>
      <c r="G19" s="72"/>
      <c r="H19" s="2"/>
      <c r="J19" s="7" t="s">
        <v>400</v>
      </c>
      <c r="K19" s="83">
        <v>112</v>
      </c>
      <c r="P19" s="49"/>
      <c r="Q19" s="48">
        <v>47</v>
      </c>
    </row>
    <row r="20" spans="1:23">
      <c r="A20" s="67" t="s">
        <v>184</v>
      </c>
      <c r="B20" s="46">
        <v>58</v>
      </c>
      <c r="C20" s="2"/>
      <c r="D20" s="70"/>
      <c r="E20" s="2"/>
      <c r="F20" s="2"/>
      <c r="G20" s="72"/>
      <c r="H20" s="2"/>
      <c r="P20" s="49" t="s">
        <v>221</v>
      </c>
      <c r="Q20" s="48">
        <v>48</v>
      </c>
    </row>
    <row r="21" spans="1:23">
      <c r="A21" s="67" t="s">
        <v>185</v>
      </c>
      <c r="B21" s="46">
        <v>59</v>
      </c>
      <c r="C21" s="2"/>
      <c r="D21" s="70"/>
      <c r="E21" s="2"/>
      <c r="F21" s="2"/>
      <c r="G21" s="72"/>
      <c r="H21" s="2"/>
      <c r="P21" s="49"/>
      <c r="Q21" s="48">
        <v>49</v>
      </c>
    </row>
    <row r="22" spans="1:23">
      <c r="A22" s="67" t="s">
        <v>183</v>
      </c>
      <c r="B22" s="46">
        <v>60</v>
      </c>
      <c r="C22" s="2"/>
      <c r="D22" s="70"/>
      <c r="E22" s="2"/>
      <c r="F22" s="2"/>
      <c r="G22" s="72"/>
      <c r="H22" s="2"/>
      <c r="P22" s="47" t="s">
        <v>350</v>
      </c>
      <c r="Q22" s="48">
        <v>50</v>
      </c>
      <c r="V22" s="41" t="s">
        <v>264</v>
      </c>
      <c r="W22" s="42"/>
    </row>
    <row r="23" spans="1:23">
      <c r="A23" s="67" t="s">
        <v>263</v>
      </c>
      <c r="B23" s="46">
        <v>61</v>
      </c>
      <c r="C23" s="2"/>
      <c r="D23" s="70"/>
      <c r="E23" s="2"/>
      <c r="F23" s="1"/>
      <c r="G23" s="70"/>
      <c r="H23" s="1"/>
      <c r="P23" s="47" t="s">
        <v>769</v>
      </c>
      <c r="Q23" s="48">
        <v>51</v>
      </c>
      <c r="V23" s="49"/>
      <c r="W23" s="48"/>
    </row>
    <row r="24" spans="1:23">
      <c r="A24" s="67" t="s">
        <v>265</v>
      </c>
      <c r="B24" s="46">
        <v>62</v>
      </c>
      <c r="C24" s="2"/>
      <c r="D24" s="70"/>
      <c r="E24" s="1"/>
      <c r="F24" s="1"/>
      <c r="G24" s="70"/>
      <c r="H24" s="1"/>
      <c r="J24" s="70"/>
      <c r="P24" s="49" t="s">
        <v>718</v>
      </c>
      <c r="Q24" s="48">
        <v>52</v>
      </c>
      <c r="V24" s="49" t="s">
        <v>384</v>
      </c>
      <c r="W24" s="48">
        <v>8</v>
      </c>
    </row>
    <row r="25" spans="1:23">
      <c r="A25" s="67" t="s">
        <v>267</v>
      </c>
      <c r="B25" s="46">
        <v>63</v>
      </c>
      <c r="C25" s="2"/>
      <c r="D25" s="70"/>
      <c r="E25" s="1"/>
      <c r="F25" s="1"/>
      <c r="G25" s="70"/>
      <c r="H25" s="1"/>
      <c r="J25" s="70"/>
      <c r="P25" s="47" t="s">
        <v>343</v>
      </c>
      <c r="Q25" s="48">
        <v>53</v>
      </c>
      <c r="V25" s="51"/>
      <c r="W25" s="50"/>
    </row>
    <row r="26" spans="1:23">
      <c r="A26" s="67" t="s">
        <v>318</v>
      </c>
      <c r="B26" s="46">
        <v>64</v>
      </c>
      <c r="D26" s="70"/>
      <c r="E26" s="1"/>
      <c r="F26" s="1"/>
      <c r="G26" s="70"/>
      <c r="H26" s="1"/>
      <c r="P26" s="51"/>
      <c r="Q26" s="50">
        <v>54</v>
      </c>
    </row>
    <row r="27" spans="1:23">
      <c r="A27" s="69" t="s">
        <v>644</v>
      </c>
      <c r="B27" s="52">
        <v>65</v>
      </c>
      <c r="E27" s="1"/>
      <c r="F27" s="1"/>
      <c r="G27" s="70"/>
      <c r="H27" s="1"/>
    </row>
    <row r="28" spans="1:23">
      <c r="A28" s="69" t="s">
        <v>851</v>
      </c>
      <c r="B28" s="52">
        <v>66</v>
      </c>
      <c r="E28" s="1"/>
      <c r="F28" s="1"/>
      <c r="G28" s="70"/>
      <c r="H28" s="1"/>
    </row>
  </sheetData>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sheetPr codeName="Sheet21" enableFormatConditionsCalculation="0">
    <tabColor indexed="48"/>
  </sheetPr>
  <dimension ref="A1:N61"/>
  <sheetViews>
    <sheetView showGridLines="0" showRowColHeaders="0" showZeros="0" showOutlineSymbols="0" workbookViewId="0">
      <selection activeCell="B23" sqref="B23:I23"/>
    </sheetView>
  </sheetViews>
  <sheetFormatPr defaultRowHeight="13.5"/>
  <sheetData>
    <row r="1" spans="1:14">
      <c r="A1" s="503"/>
      <c r="B1" s="503"/>
      <c r="C1" s="503"/>
      <c r="D1" s="503"/>
      <c r="E1" s="503"/>
      <c r="F1" s="503"/>
      <c r="G1" s="503"/>
      <c r="H1" s="503"/>
      <c r="I1" s="503"/>
      <c r="J1" s="503"/>
      <c r="K1" s="92"/>
      <c r="L1" s="92"/>
      <c r="M1" s="92"/>
      <c r="N1" s="92"/>
    </row>
    <row r="2" spans="1:14">
      <c r="A2" s="503"/>
      <c r="B2" s="503"/>
      <c r="C2" s="503"/>
      <c r="D2" s="503"/>
      <c r="E2" s="503"/>
      <c r="F2" s="503"/>
      <c r="G2" s="503"/>
      <c r="H2" s="503"/>
      <c r="I2" s="503"/>
      <c r="J2" s="503"/>
      <c r="K2" s="92"/>
      <c r="L2" s="92"/>
      <c r="M2" s="92"/>
      <c r="N2" s="92"/>
    </row>
    <row r="3" spans="1:14">
      <c r="A3" s="503"/>
      <c r="B3" s="503"/>
      <c r="C3" s="503"/>
      <c r="D3" s="503"/>
      <c r="E3" s="503"/>
      <c r="F3" s="503"/>
      <c r="G3" s="503"/>
      <c r="H3" s="503"/>
      <c r="I3" s="503"/>
      <c r="J3" s="503"/>
      <c r="K3" s="92"/>
      <c r="L3" s="92"/>
      <c r="M3" s="92"/>
      <c r="N3" s="92"/>
    </row>
    <row r="4" spans="1:14">
      <c r="A4" s="503"/>
      <c r="B4" s="504"/>
      <c r="C4" s="1395"/>
      <c r="D4" s="1395"/>
      <c r="E4" s="1395"/>
      <c r="F4" s="1395"/>
      <c r="G4" s="1395"/>
      <c r="H4" s="503"/>
      <c r="I4" s="503"/>
      <c r="J4" s="503"/>
      <c r="K4" s="92"/>
      <c r="L4" s="92"/>
      <c r="M4" s="92"/>
      <c r="N4" s="92"/>
    </row>
    <row r="5" spans="1:14">
      <c r="A5" s="503"/>
      <c r="B5" s="503"/>
      <c r="C5" s="503"/>
      <c r="D5" s="503"/>
      <c r="E5" s="503"/>
      <c r="F5" s="503"/>
      <c r="G5" s="503"/>
      <c r="H5" s="503"/>
      <c r="I5" s="503"/>
      <c r="J5" s="503"/>
      <c r="K5" s="92"/>
      <c r="L5" s="92"/>
      <c r="M5" s="92"/>
      <c r="N5" s="92"/>
    </row>
    <row r="6" spans="1:14">
      <c r="A6" s="503"/>
      <c r="B6" s="503"/>
      <c r="C6" s="503"/>
      <c r="D6" s="503"/>
      <c r="E6" s="503"/>
      <c r="F6" s="503"/>
      <c r="G6" s="503"/>
      <c r="H6" s="503"/>
      <c r="I6" s="503"/>
      <c r="J6" s="503"/>
      <c r="K6" s="92"/>
      <c r="L6" s="92"/>
      <c r="M6" s="92"/>
      <c r="N6" s="92"/>
    </row>
    <row r="7" spans="1:14">
      <c r="A7" s="503"/>
      <c r="B7" s="503"/>
      <c r="C7" s="503"/>
      <c r="D7" s="503"/>
      <c r="E7" s="503"/>
      <c r="F7" s="503"/>
      <c r="G7" s="503"/>
      <c r="H7" s="503"/>
      <c r="I7" s="503"/>
      <c r="J7" s="503"/>
      <c r="K7" s="92"/>
      <c r="L7" s="92"/>
      <c r="M7" s="92"/>
      <c r="N7" s="92"/>
    </row>
    <row r="8" spans="1:14">
      <c r="A8" s="503"/>
      <c r="B8" s="503"/>
      <c r="C8" s="503"/>
      <c r="D8" s="503"/>
      <c r="E8" s="503"/>
      <c r="F8" s="503"/>
      <c r="G8" s="503"/>
      <c r="H8" s="503"/>
      <c r="I8" s="503"/>
      <c r="J8" s="503"/>
      <c r="K8" s="92"/>
      <c r="L8" s="92"/>
      <c r="M8" s="92"/>
      <c r="N8" s="92"/>
    </row>
    <row r="9" spans="1:14">
      <c r="A9" s="503"/>
      <c r="B9" s="503"/>
      <c r="C9" s="503"/>
      <c r="D9" s="503"/>
      <c r="E9" s="503"/>
      <c r="F9" s="503"/>
      <c r="G9" s="503"/>
      <c r="H9" s="503"/>
      <c r="I9" s="503"/>
      <c r="J9" s="503"/>
      <c r="K9" s="92"/>
      <c r="L9" s="92"/>
      <c r="M9" s="92"/>
      <c r="N9" s="92"/>
    </row>
    <row r="10" spans="1:14">
      <c r="A10" s="503"/>
      <c r="B10" s="503"/>
      <c r="C10" s="503"/>
      <c r="D10" s="503"/>
      <c r="E10" s="503"/>
      <c r="F10" s="503"/>
      <c r="G10" s="503"/>
      <c r="H10" s="503"/>
      <c r="I10" s="503"/>
      <c r="J10" s="503"/>
      <c r="K10" s="92"/>
      <c r="L10" s="92"/>
      <c r="M10" s="92"/>
      <c r="N10" s="92"/>
    </row>
    <row r="11" spans="1:14">
      <c r="A11" s="503"/>
      <c r="B11" s="503"/>
      <c r="C11" s="503"/>
      <c r="D11" s="503"/>
      <c r="E11" s="503"/>
      <c r="F11" s="503"/>
      <c r="G11" s="503"/>
      <c r="H11" s="503"/>
      <c r="I11" s="503"/>
      <c r="J11" s="503"/>
      <c r="K11" s="92"/>
      <c r="L11" s="92"/>
      <c r="M11" s="92"/>
      <c r="N11" s="92"/>
    </row>
    <row r="12" spans="1:14">
      <c r="A12" s="503"/>
      <c r="B12" s="503"/>
      <c r="C12" s="503"/>
      <c r="D12" s="503"/>
      <c r="E12" s="503"/>
      <c r="F12" s="503"/>
      <c r="G12" s="503"/>
      <c r="H12" s="503"/>
      <c r="I12" s="503"/>
      <c r="J12" s="503"/>
      <c r="K12" s="92"/>
      <c r="L12" s="92"/>
      <c r="M12" s="92"/>
      <c r="N12" s="92"/>
    </row>
    <row r="13" spans="1:14">
      <c r="A13" s="503"/>
      <c r="B13" s="503"/>
      <c r="C13" s="503"/>
      <c r="D13" s="503"/>
      <c r="E13" s="503"/>
      <c r="F13" s="503"/>
      <c r="G13" s="503"/>
      <c r="H13" s="503"/>
      <c r="I13" s="503"/>
      <c r="J13" s="503"/>
      <c r="K13" s="92"/>
      <c r="L13" s="92"/>
      <c r="M13" s="92"/>
      <c r="N13" s="92"/>
    </row>
    <row r="14" spans="1:14">
      <c r="A14" s="503"/>
      <c r="B14" s="503"/>
      <c r="C14" s="503"/>
      <c r="D14" s="503"/>
      <c r="E14" s="503"/>
      <c r="F14" s="503"/>
      <c r="G14" s="503"/>
      <c r="H14" s="503"/>
      <c r="I14" s="503"/>
      <c r="J14" s="503"/>
      <c r="K14" s="92"/>
      <c r="L14" s="92"/>
      <c r="M14" s="92"/>
      <c r="N14" s="92"/>
    </row>
    <row r="15" spans="1:14">
      <c r="A15" s="503"/>
      <c r="B15" s="503"/>
      <c r="C15" s="503"/>
      <c r="D15" s="503"/>
      <c r="E15" s="503"/>
      <c r="F15" s="503"/>
      <c r="G15" s="503"/>
      <c r="H15" s="503"/>
      <c r="I15" s="503"/>
      <c r="J15" s="503"/>
      <c r="K15" s="92"/>
      <c r="L15" s="92"/>
      <c r="M15" s="92"/>
      <c r="N15" s="92"/>
    </row>
    <row r="16" spans="1:14">
      <c r="A16" s="503"/>
      <c r="B16" s="503"/>
      <c r="C16" s="503"/>
      <c r="D16" s="503"/>
      <c r="E16" s="503"/>
      <c r="F16" s="503"/>
      <c r="G16" s="503"/>
      <c r="H16" s="503"/>
      <c r="I16" s="503"/>
      <c r="J16" s="503"/>
      <c r="K16" s="92"/>
      <c r="L16" s="92"/>
      <c r="M16" s="92"/>
      <c r="N16" s="92"/>
    </row>
    <row r="17" spans="1:14">
      <c r="A17" s="503"/>
      <c r="B17" s="503"/>
      <c r="C17" s="503"/>
      <c r="D17" s="503"/>
      <c r="E17" s="503"/>
      <c r="F17" s="503"/>
      <c r="G17" s="503"/>
      <c r="H17" s="503"/>
      <c r="I17" s="503"/>
      <c r="J17" s="503"/>
      <c r="K17" s="92"/>
      <c r="L17" s="92"/>
      <c r="M17" s="92"/>
      <c r="N17" s="92"/>
    </row>
    <row r="18" spans="1:14">
      <c r="A18" s="503"/>
      <c r="B18" s="503"/>
      <c r="C18" s="503"/>
      <c r="D18" s="503"/>
      <c r="E18" s="503"/>
      <c r="F18" s="503"/>
      <c r="G18" s="503"/>
      <c r="H18" s="503"/>
      <c r="I18" s="503"/>
      <c r="J18" s="503"/>
      <c r="K18" s="92"/>
      <c r="L18" s="92"/>
      <c r="M18" s="92"/>
      <c r="N18" s="92"/>
    </row>
    <row r="19" spans="1:14">
      <c r="A19" s="503"/>
      <c r="B19" s="503"/>
      <c r="C19" s="503"/>
      <c r="D19" s="503"/>
      <c r="E19" s="503"/>
      <c r="F19" s="503"/>
      <c r="G19" s="503"/>
      <c r="H19" s="503"/>
      <c r="I19" s="503"/>
      <c r="J19" s="503"/>
      <c r="K19" s="92"/>
      <c r="L19" s="92"/>
      <c r="M19" s="92"/>
      <c r="N19" s="92"/>
    </row>
    <row r="20" spans="1:14">
      <c r="A20" s="503"/>
      <c r="B20" s="503"/>
      <c r="C20" s="503"/>
      <c r="D20" s="503"/>
      <c r="E20" s="503"/>
      <c r="F20" s="503"/>
      <c r="G20" s="503"/>
      <c r="H20" s="503"/>
      <c r="I20" s="503"/>
      <c r="J20" s="503"/>
      <c r="K20" s="92"/>
      <c r="L20" s="92"/>
      <c r="M20" s="92"/>
      <c r="N20" s="92"/>
    </row>
    <row r="21" spans="1:14">
      <c r="A21" s="503"/>
      <c r="B21" s="503"/>
      <c r="C21" s="503"/>
      <c r="D21" s="503"/>
      <c r="E21" s="503"/>
      <c r="F21" s="503"/>
      <c r="G21" s="503"/>
      <c r="H21" s="503"/>
      <c r="I21" s="503"/>
      <c r="J21" s="503"/>
      <c r="K21" s="92"/>
      <c r="L21" s="92"/>
      <c r="M21" s="92"/>
      <c r="N21" s="92"/>
    </row>
    <row r="22" spans="1:14">
      <c r="A22" s="503"/>
      <c r="B22" s="503"/>
      <c r="C22" s="503"/>
      <c r="D22" s="503"/>
      <c r="E22" s="503"/>
      <c r="F22" s="503"/>
      <c r="G22" s="503"/>
      <c r="H22" s="503"/>
      <c r="I22" s="503"/>
      <c r="J22" s="503"/>
      <c r="K22" s="92"/>
      <c r="L22" s="92"/>
      <c r="M22" s="92"/>
      <c r="N22" s="92"/>
    </row>
    <row r="23" spans="1:14">
      <c r="A23" s="503"/>
      <c r="B23" s="1396"/>
      <c r="C23" s="1396"/>
      <c r="D23" s="1396"/>
      <c r="E23" s="1396"/>
      <c r="F23" s="1396"/>
      <c r="G23" s="1396"/>
      <c r="H23" s="1396"/>
      <c r="I23" s="1396"/>
      <c r="J23" s="503"/>
      <c r="K23" s="92"/>
      <c r="L23" s="92"/>
      <c r="M23" s="92"/>
      <c r="N23" s="92"/>
    </row>
    <row r="24" spans="1:14">
      <c r="A24" s="503"/>
      <c r="B24" s="503"/>
      <c r="C24" s="503"/>
      <c r="D24" s="503"/>
      <c r="E24" s="503"/>
      <c r="F24" s="503"/>
      <c r="G24" s="503"/>
      <c r="H24" s="503"/>
      <c r="I24" s="503"/>
      <c r="J24" s="503"/>
      <c r="K24" s="92"/>
      <c r="L24" s="92"/>
      <c r="M24" s="92"/>
      <c r="N24" s="92"/>
    </row>
    <row r="25" spans="1:14">
      <c r="A25" s="503"/>
      <c r="B25" s="503"/>
      <c r="C25" s="503"/>
      <c r="D25" s="503"/>
      <c r="E25" s="503"/>
      <c r="F25" s="503"/>
      <c r="G25" s="503"/>
      <c r="H25" s="503"/>
      <c r="I25" s="503"/>
      <c r="J25" s="503"/>
      <c r="K25" s="92"/>
      <c r="L25" s="92"/>
      <c r="M25" s="92"/>
      <c r="N25" s="92"/>
    </row>
    <row r="26" spans="1:14">
      <c r="A26" s="92"/>
      <c r="B26" s="92"/>
      <c r="C26" s="92"/>
      <c r="D26" s="92"/>
      <c r="E26" s="92"/>
      <c r="F26" s="92"/>
      <c r="G26" s="92"/>
      <c r="H26" s="92"/>
      <c r="I26" s="92"/>
      <c r="J26" s="92"/>
      <c r="K26" s="92"/>
      <c r="L26" s="92"/>
      <c r="M26" s="92"/>
      <c r="N26" s="92"/>
    </row>
    <row r="27" spans="1:14">
      <c r="A27" s="92"/>
      <c r="B27" s="92"/>
      <c r="C27" s="92"/>
      <c r="D27" s="92"/>
      <c r="E27" s="92"/>
      <c r="F27" s="92"/>
      <c r="G27" s="92"/>
      <c r="H27" s="92"/>
      <c r="I27" s="92"/>
      <c r="J27" s="92"/>
      <c r="K27" s="92"/>
      <c r="L27" s="92"/>
      <c r="M27" s="92"/>
      <c r="N27" s="92"/>
    </row>
    <row r="28" spans="1:14">
      <c r="A28" s="92"/>
      <c r="B28" s="92"/>
      <c r="C28" s="92"/>
      <c r="D28" s="92"/>
      <c r="E28" s="92"/>
      <c r="F28" s="92"/>
      <c r="G28" s="92"/>
      <c r="H28" s="92"/>
      <c r="I28" s="92"/>
      <c r="J28" s="92"/>
      <c r="K28" s="92"/>
      <c r="L28" s="92"/>
      <c r="M28" s="92"/>
      <c r="N28" s="92"/>
    </row>
    <row r="29" spans="1:14">
      <c r="A29" s="92"/>
      <c r="B29" s="92"/>
      <c r="C29" s="92"/>
      <c r="D29" s="92"/>
      <c r="E29" s="92"/>
      <c r="F29" s="92"/>
      <c r="G29" s="92"/>
      <c r="H29" s="92"/>
      <c r="I29" s="92"/>
      <c r="J29" s="92"/>
      <c r="K29" s="92"/>
      <c r="L29" s="92"/>
      <c r="M29" s="92"/>
      <c r="N29" s="92"/>
    </row>
    <row r="30" spans="1:14">
      <c r="A30" s="92"/>
      <c r="B30" s="92"/>
      <c r="C30" s="92"/>
      <c r="D30" s="92"/>
      <c r="E30" s="92"/>
      <c r="F30" s="92"/>
      <c r="G30" s="92"/>
      <c r="H30" s="92"/>
      <c r="I30" s="92"/>
      <c r="J30" s="92"/>
      <c r="K30" s="92"/>
      <c r="L30" s="92"/>
      <c r="M30" s="92"/>
      <c r="N30" s="92"/>
    </row>
    <row r="31" spans="1:14">
      <c r="A31" s="92"/>
      <c r="B31" s="92"/>
      <c r="C31" s="92"/>
      <c r="D31" s="92"/>
      <c r="E31" s="92"/>
      <c r="F31" s="92"/>
      <c r="G31" s="92"/>
      <c r="H31" s="92"/>
      <c r="I31" s="92"/>
      <c r="J31" s="92"/>
      <c r="K31" s="92"/>
      <c r="L31" s="92"/>
      <c r="M31" s="92"/>
      <c r="N31" s="92"/>
    </row>
    <row r="32" spans="1:14">
      <c r="A32" s="92"/>
      <c r="B32" s="92"/>
      <c r="C32" s="92"/>
      <c r="D32" s="92"/>
      <c r="E32" s="92"/>
      <c r="F32" s="92"/>
      <c r="G32" s="92"/>
      <c r="H32" s="92"/>
      <c r="I32" s="92"/>
      <c r="J32" s="92"/>
      <c r="K32" s="92"/>
      <c r="L32" s="92"/>
      <c r="M32" s="92"/>
      <c r="N32" s="92"/>
    </row>
    <row r="33" spans="1:14">
      <c r="A33" s="92"/>
      <c r="B33" s="92"/>
      <c r="C33" s="92"/>
      <c r="D33" s="92"/>
      <c r="E33" s="92"/>
      <c r="F33" s="92"/>
      <c r="G33" s="92"/>
      <c r="H33" s="92"/>
      <c r="I33" s="92"/>
      <c r="J33" s="92"/>
      <c r="K33" s="92"/>
      <c r="L33" s="92"/>
      <c r="M33" s="92"/>
      <c r="N33" s="92"/>
    </row>
    <row r="34" spans="1:14">
      <c r="A34" s="92"/>
      <c r="B34" s="92"/>
      <c r="C34" s="92"/>
      <c r="D34" s="92"/>
      <c r="E34" s="92"/>
      <c r="F34" s="92"/>
      <c r="G34" s="92"/>
      <c r="H34" s="92"/>
      <c r="I34" s="92"/>
      <c r="J34" s="92"/>
      <c r="K34" s="92"/>
      <c r="L34" s="92"/>
      <c r="M34" s="92"/>
      <c r="N34" s="92"/>
    </row>
    <row r="35" spans="1:14">
      <c r="A35" s="92"/>
      <c r="B35" s="92"/>
      <c r="C35" s="92"/>
      <c r="D35" s="92"/>
      <c r="E35" s="92"/>
      <c r="F35" s="92"/>
      <c r="G35" s="92"/>
      <c r="H35" s="92"/>
      <c r="I35" s="92"/>
      <c r="J35" s="92"/>
      <c r="K35" s="92"/>
      <c r="L35" s="92"/>
      <c r="M35" s="92"/>
      <c r="N35" s="92"/>
    </row>
    <row r="36" spans="1:14">
      <c r="A36" s="92"/>
      <c r="B36" s="92"/>
      <c r="C36" s="92"/>
      <c r="D36" s="92"/>
      <c r="E36" s="92"/>
      <c r="F36" s="92"/>
      <c r="G36" s="92"/>
      <c r="H36" s="92"/>
      <c r="I36" s="92"/>
      <c r="J36" s="92"/>
      <c r="K36" s="92"/>
      <c r="L36" s="92"/>
      <c r="M36" s="92"/>
      <c r="N36" s="92"/>
    </row>
    <row r="37" spans="1:14">
      <c r="A37" s="92"/>
      <c r="B37" s="92"/>
      <c r="C37" s="92"/>
      <c r="D37" s="92"/>
      <c r="E37" s="92"/>
      <c r="F37" s="92"/>
      <c r="G37" s="92"/>
      <c r="H37" s="92"/>
      <c r="I37" s="92"/>
      <c r="J37" s="92"/>
      <c r="K37" s="92"/>
      <c r="L37" s="92"/>
      <c r="M37" s="92"/>
      <c r="N37" s="92"/>
    </row>
    <row r="38" spans="1:14">
      <c r="A38" s="92"/>
      <c r="B38" s="92"/>
      <c r="C38" s="92"/>
      <c r="D38" s="92"/>
      <c r="E38" s="92"/>
      <c r="F38" s="92"/>
      <c r="G38" s="92"/>
      <c r="H38" s="92"/>
      <c r="I38" s="92"/>
      <c r="J38" s="92"/>
      <c r="K38" s="92"/>
      <c r="L38" s="92"/>
      <c r="M38" s="92"/>
      <c r="N38" s="92"/>
    </row>
    <row r="39" spans="1:14">
      <c r="A39" s="92"/>
      <c r="B39" s="92"/>
      <c r="C39" s="92"/>
      <c r="D39" s="92"/>
      <c r="E39" s="92"/>
      <c r="F39" s="92"/>
      <c r="G39" s="92"/>
      <c r="H39" s="92"/>
      <c r="I39" s="92"/>
      <c r="J39" s="92"/>
      <c r="K39" s="92"/>
      <c r="L39" s="92"/>
      <c r="M39" s="92"/>
      <c r="N39" s="92"/>
    </row>
    <row r="40" spans="1:14">
      <c r="A40" s="92"/>
      <c r="B40" s="92"/>
      <c r="C40" s="92"/>
      <c r="D40" s="92"/>
      <c r="E40" s="92"/>
      <c r="F40" s="92"/>
      <c r="G40" s="92"/>
      <c r="H40" s="92"/>
      <c r="I40" s="92"/>
      <c r="J40" s="92"/>
      <c r="K40" s="92"/>
      <c r="L40" s="92"/>
      <c r="M40" s="92"/>
      <c r="N40" s="92"/>
    </row>
    <row r="41" spans="1:14">
      <c r="A41" s="92"/>
      <c r="B41" s="92"/>
      <c r="C41" s="92"/>
      <c r="D41" s="92"/>
      <c r="E41" s="92"/>
      <c r="F41" s="92"/>
      <c r="G41" s="92"/>
      <c r="H41" s="92"/>
      <c r="I41" s="92"/>
      <c r="J41" s="92"/>
      <c r="K41" s="92"/>
      <c r="L41" s="92"/>
      <c r="M41" s="92"/>
      <c r="N41" s="92"/>
    </row>
    <row r="42" spans="1:14">
      <c r="A42" s="92"/>
      <c r="B42" s="92"/>
      <c r="C42" s="92"/>
      <c r="D42" s="92"/>
      <c r="E42" s="92"/>
      <c r="F42" s="92"/>
      <c r="G42" s="92"/>
      <c r="H42" s="92"/>
      <c r="I42" s="92"/>
      <c r="J42" s="92"/>
      <c r="K42" s="92"/>
      <c r="L42" s="92"/>
      <c r="M42" s="92"/>
      <c r="N42" s="92"/>
    </row>
    <row r="43" spans="1:14">
      <c r="A43" s="92"/>
      <c r="B43" s="92"/>
      <c r="C43" s="92"/>
      <c r="D43" s="92"/>
      <c r="E43" s="92"/>
      <c r="F43" s="92"/>
      <c r="G43" s="92"/>
      <c r="H43" s="92"/>
      <c r="I43" s="92"/>
      <c r="J43" s="92"/>
      <c r="K43" s="92"/>
      <c r="L43" s="92"/>
      <c r="M43" s="92"/>
      <c r="N43" s="92"/>
    </row>
    <row r="44" spans="1:14">
      <c r="A44" s="92"/>
      <c r="B44" s="92"/>
      <c r="C44" s="92"/>
      <c r="D44" s="92"/>
      <c r="E44" s="92"/>
      <c r="F44" s="92"/>
      <c r="G44" s="92"/>
      <c r="H44" s="92"/>
      <c r="I44" s="92"/>
      <c r="J44" s="92"/>
      <c r="K44" s="92"/>
      <c r="L44" s="92"/>
      <c r="M44" s="92"/>
      <c r="N44" s="92"/>
    </row>
    <row r="45" spans="1:14">
      <c r="A45" s="92"/>
      <c r="B45" s="92"/>
      <c r="C45" s="92"/>
      <c r="D45" s="92"/>
      <c r="E45" s="92"/>
      <c r="F45" s="92"/>
      <c r="G45" s="92"/>
      <c r="H45" s="92"/>
      <c r="I45" s="92"/>
      <c r="J45" s="92"/>
      <c r="K45" s="92"/>
      <c r="L45" s="92"/>
      <c r="M45" s="92"/>
      <c r="N45" s="92"/>
    </row>
    <row r="46" spans="1:14">
      <c r="A46" s="92"/>
      <c r="B46" s="92"/>
      <c r="C46" s="92"/>
      <c r="D46" s="92"/>
      <c r="E46" s="92"/>
      <c r="F46" s="92"/>
      <c r="G46" s="92"/>
      <c r="H46" s="92"/>
      <c r="I46" s="92"/>
      <c r="J46" s="92"/>
      <c r="K46" s="92"/>
      <c r="L46" s="92"/>
      <c r="M46" s="92"/>
      <c r="N46" s="92"/>
    </row>
    <row r="47" spans="1:14">
      <c r="A47" s="92"/>
      <c r="B47" s="92"/>
      <c r="C47" s="92"/>
      <c r="D47" s="92"/>
      <c r="E47" s="92"/>
      <c r="F47" s="92"/>
      <c r="G47" s="92"/>
      <c r="H47" s="92"/>
      <c r="I47" s="92"/>
      <c r="J47" s="92"/>
      <c r="K47" s="92"/>
      <c r="L47" s="92"/>
      <c r="M47" s="92"/>
      <c r="N47" s="92"/>
    </row>
    <row r="48" spans="1:14">
      <c r="A48" s="92"/>
      <c r="B48" s="92"/>
      <c r="C48" s="92"/>
      <c r="D48" s="92"/>
      <c r="E48" s="92"/>
      <c r="F48" s="92"/>
      <c r="G48" s="92"/>
      <c r="H48" s="92"/>
      <c r="I48" s="92"/>
      <c r="J48" s="92"/>
      <c r="K48" s="92"/>
      <c r="L48" s="92"/>
      <c r="M48" s="92"/>
      <c r="N48" s="92"/>
    </row>
    <row r="49" spans="1:14">
      <c r="A49" s="92"/>
      <c r="B49" s="92"/>
      <c r="C49" s="92"/>
      <c r="D49" s="92"/>
      <c r="E49" s="92"/>
      <c r="F49" s="92"/>
      <c r="G49" s="92"/>
      <c r="H49" s="92"/>
      <c r="I49" s="92"/>
      <c r="J49" s="92"/>
      <c r="K49" s="92"/>
      <c r="L49" s="92"/>
      <c r="M49" s="92"/>
      <c r="N49" s="92"/>
    </row>
    <row r="50" spans="1:14">
      <c r="A50" s="92"/>
      <c r="B50" s="92"/>
      <c r="C50" s="92"/>
      <c r="D50" s="92"/>
      <c r="E50" s="92"/>
      <c r="F50" s="92"/>
      <c r="G50" s="92"/>
      <c r="H50" s="92"/>
      <c r="I50" s="92"/>
      <c r="J50" s="92"/>
      <c r="K50" s="92"/>
      <c r="L50" s="92"/>
      <c r="M50" s="92"/>
      <c r="N50" s="92"/>
    </row>
    <row r="51" spans="1:14">
      <c r="A51" s="92"/>
      <c r="B51" s="92"/>
      <c r="C51" s="92"/>
      <c r="D51" s="92"/>
      <c r="E51" s="92"/>
      <c r="F51" s="92"/>
      <c r="G51" s="92"/>
      <c r="H51" s="92"/>
      <c r="I51" s="92"/>
      <c r="J51" s="92"/>
      <c r="K51" s="92"/>
      <c r="L51" s="92"/>
      <c r="M51" s="92"/>
      <c r="N51" s="92"/>
    </row>
    <row r="52" spans="1:14">
      <c r="A52" s="92"/>
      <c r="B52" s="92"/>
      <c r="C52" s="92"/>
      <c r="D52" s="92"/>
      <c r="E52" s="92"/>
      <c r="F52" s="92"/>
      <c r="G52" s="92"/>
      <c r="H52" s="92"/>
      <c r="I52" s="92"/>
      <c r="J52" s="92"/>
      <c r="K52" s="92"/>
      <c r="L52" s="92"/>
      <c r="M52" s="92"/>
      <c r="N52" s="92"/>
    </row>
    <row r="53" spans="1:14">
      <c r="A53" s="92"/>
      <c r="B53" s="92"/>
      <c r="C53" s="92"/>
      <c r="D53" s="92"/>
      <c r="E53" s="92"/>
      <c r="F53" s="92"/>
      <c r="G53" s="92"/>
      <c r="H53" s="92"/>
      <c r="I53" s="92"/>
      <c r="J53" s="92"/>
      <c r="K53" s="92"/>
      <c r="L53" s="92"/>
      <c r="M53" s="92"/>
      <c r="N53" s="92"/>
    </row>
    <row r="54" spans="1:14">
      <c r="A54" s="92"/>
      <c r="B54" s="92"/>
      <c r="C54" s="92"/>
      <c r="D54" s="92"/>
      <c r="E54" s="92"/>
      <c r="F54" s="92"/>
      <c r="G54" s="92"/>
      <c r="H54" s="92"/>
      <c r="I54" s="92"/>
      <c r="J54" s="92"/>
      <c r="K54" s="92"/>
      <c r="L54" s="92"/>
      <c r="M54" s="92"/>
      <c r="N54" s="92"/>
    </row>
    <row r="55" spans="1:14">
      <c r="A55" s="92"/>
      <c r="B55" s="92"/>
      <c r="C55" s="92"/>
      <c r="D55" s="92"/>
      <c r="E55" s="92"/>
      <c r="F55" s="92"/>
      <c r="G55" s="92"/>
      <c r="H55" s="92"/>
      <c r="I55" s="92"/>
      <c r="J55" s="92"/>
      <c r="K55" s="92"/>
      <c r="L55" s="92"/>
      <c r="M55" s="92"/>
      <c r="N55" s="92"/>
    </row>
    <row r="56" spans="1:14">
      <c r="A56" s="92"/>
      <c r="B56" s="92"/>
      <c r="C56" s="92"/>
      <c r="D56" s="92"/>
      <c r="E56" s="92"/>
      <c r="F56" s="92"/>
      <c r="G56" s="92"/>
      <c r="H56" s="92"/>
      <c r="I56" s="92"/>
      <c r="J56" s="92"/>
      <c r="K56" s="92"/>
      <c r="L56" s="92"/>
      <c r="M56" s="92"/>
      <c r="N56" s="92"/>
    </row>
    <row r="57" spans="1:14">
      <c r="A57" s="92"/>
      <c r="B57" s="92"/>
      <c r="C57" s="92"/>
      <c r="D57" s="92"/>
      <c r="E57" s="92"/>
      <c r="F57" s="92"/>
      <c r="G57" s="92"/>
      <c r="H57" s="92"/>
      <c r="I57" s="92"/>
      <c r="J57" s="92"/>
      <c r="K57" s="92"/>
      <c r="L57" s="92"/>
      <c r="M57" s="92"/>
      <c r="N57" s="92"/>
    </row>
    <row r="58" spans="1:14">
      <c r="A58" s="92"/>
      <c r="B58" s="92"/>
      <c r="C58" s="92"/>
      <c r="D58" s="92"/>
      <c r="E58" s="92"/>
      <c r="F58" s="92"/>
      <c r="G58" s="92"/>
      <c r="H58" s="92"/>
      <c r="I58" s="92"/>
      <c r="J58" s="92"/>
      <c r="K58" s="92"/>
      <c r="L58" s="92"/>
      <c r="M58" s="92"/>
      <c r="N58" s="92"/>
    </row>
    <row r="59" spans="1:14">
      <c r="A59" s="92"/>
      <c r="B59" s="92"/>
      <c r="C59" s="92"/>
      <c r="D59" s="92"/>
      <c r="E59" s="92"/>
      <c r="F59" s="92"/>
      <c r="G59" s="92"/>
      <c r="H59" s="92"/>
      <c r="I59" s="92"/>
      <c r="J59" s="92"/>
      <c r="K59" s="92"/>
      <c r="L59" s="92"/>
      <c r="M59" s="92"/>
      <c r="N59" s="92"/>
    </row>
    <row r="60" spans="1:14">
      <c r="A60" s="92"/>
      <c r="B60" s="92"/>
      <c r="C60" s="92"/>
      <c r="D60" s="92"/>
      <c r="E60" s="92"/>
      <c r="F60" s="92"/>
      <c r="G60" s="92"/>
      <c r="H60" s="92"/>
      <c r="I60" s="92"/>
      <c r="J60" s="92"/>
      <c r="K60" s="92"/>
      <c r="L60" s="92"/>
      <c r="M60" s="92"/>
      <c r="N60" s="92"/>
    </row>
    <row r="61" spans="1:14">
      <c r="A61" s="92"/>
      <c r="B61" s="92"/>
      <c r="C61" s="92"/>
      <c r="D61" s="92"/>
      <c r="E61" s="92"/>
      <c r="F61" s="92"/>
      <c r="G61" s="92"/>
      <c r="H61" s="92"/>
      <c r="I61" s="92"/>
      <c r="J61" s="92"/>
      <c r="K61" s="92"/>
      <c r="L61" s="92"/>
      <c r="M61" s="92"/>
      <c r="N61" s="92"/>
    </row>
  </sheetData>
  <sheetProtection sheet="1" objects="1" scenarios="1"/>
  <mergeCells count="2">
    <mergeCell ref="C4:G4"/>
    <mergeCell ref="B23:I23"/>
  </mergeCells>
  <phoneticPr fontId="5"/>
  <pageMargins left="0.78700000000000003" right="0.78700000000000003" top="0.98399999999999999" bottom="0.98399999999999999" header="0.51200000000000001" footer="0.51200000000000001"/>
  <pageSetup paperSize="9" orientation="portrait" verticalDpi="12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sheetPr codeName="Sheet24" enableFormatConditionsCalculation="0">
    <tabColor indexed="48"/>
  </sheetPr>
  <dimension ref="A1:J24"/>
  <sheetViews>
    <sheetView showGridLines="0" showRowColHeaders="0" showZeros="0" showOutlineSymbols="0" workbookViewId="0">
      <selection activeCell="H23" sqref="H23"/>
    </sheetView>
  </sheetViews>
  <sheetFormatPr defaultRowHeight="13.5"/>
  <sheetData>
    <row r="1" spans="1:10">
      <c r="A1" s="87"/>
      <c r="B1" s="87"/>
      <c r="C1" s="87"/>
      <c r="D1" s="87"/>
      <c r="E1" s="87"/>
      <c r="F1" s="87"/>
      <c r="G1" s="87"/>
      <c r="H1" s="87"/>
      <c r="I1" s="87"/>
      <c r="J1" s="87"/>
    </row>
    <row r="2" spans="1:10">
      <c r="A2" s="87"/>
      <c r="B2" s="87"/>
      <c r="C2" s="87"/>
      <c r="D2" s="87"/>
      <c r="E2" s="87"/>
      <c r="F2" s="87"/>
      <c r="G2" s="87"/>
      <c r="H2" s="87"/>
      <c r="I2" s="87"/>
      <c r="J2" s="1140"/>
    </row>
    <row r="3" spans="1:10">
      <c r="A3" s="87"/>
      <c r="B3" s="87"/>
      <c r="C3" s="87"/>
      <c r="D3" s="87"/>
      <c r="E3" s="87"/>
      <c r="F3" s="87"/>
      <c r="G3" s="87"/>
      <c r="H3" s="87"/>
      <c r="I3" s="87"/>
      <c r="J3" s="87"/>
    </row>
    <row r="4" spans="1:10">
      <c r="A4" s="87"/>
      <c r="B4" s="88"/>
      <c r="C4" s="1397"/>
      <c r="D4" s="1397"/>
      <c r="E4" s="1397"/>
      <c r="F4" s="1397"/>
      <c r="G4" s="1397"/>
      <c r="H4" s="87"/>
      <c r="I4" s="87"/>
      <c r="J4" s="87"/>
    </row>
    <row r="5" spans="1:10">
      <c r="A5" s="87"/>
      <c r="B5" s="87"/>
      <c r="C5" s="87"/>
      <c r="D5" s="87"/>
      <c r="E5" s="87"/>
      <c r="F5" s="87"/>
      <c r="G5" s="87"/>
      <c r="H5" s="87"/>
      <c r="I5" s="87"/>
      <c r="J5" s="87"/>
    </row>
    <row r="6" spans="1:10">
      <c r="A6" s="87"/>
      <c r="B6" s="87"/>
      <c r="C6" s="87"/>
      <c r="D6" s="87"/>
      <c r="E6" s="87"/>
      <c r="F6" s="87"/>
      <c r="G6" s="87"/>
      <c r="H6" s="87"/>
      <c r="I6" s="87"/>
      <c r="J6" s="87"/>
    </row>
    <row r="7" spans="1:10">
      <c r="A7" s="87"/>
      <c r="B7" s="87"/>
      <c r="C7" s="87"/>
      <c r="D7" s="87"/>
      <c r="E7" s="87"/>
      <c r="F7" s="87"/>
      <c r="G7" s="87"/>
      <c r="H7" s="87"/>
      <c r="I7" s="87"/>
      <c r="J7" s="87"/>
    </row>
    <row r="8" spans="1:10">
      <c r="A8" s="87"/>
      <c r="B8" s="87"/>
      <c r="C8" s="87"/>
      <c r="D8" s="87"/>
      <c r="E8" s="87"/>
      <c r="F8" s="87"/>
      <c r="G8" s="87"/>
      <c r="H8" s="87"/>
      <c r="I8" s="87"/>
      <c r="J8" s="87"/>
    </row>
    <row r="9" spans="1:10">
      <c r="A9" s="87"/>
      <c r="B9" s="87"/>
      <c r="C9" s="87"/>
      <c r="D9" s="87"/>
      <c r="E9" s="87"/>
      <c r="F9" s="87"/>
      <c r="G9" s="87"/>
      <c r="H9" s="87"/>
      <c r="I9" s="87"/>
      <c r="J9" s="87"/>
    </row>
    <row r="10" spans="1:10">
      <c r="A10" s="87"/>
      <c r="B10" s="87"/>
      <c r="C10" s="87"/>
      <c r="D10" s="87"/>
      <c r="E10" s="87"/>
      <c r="F10" s="87"/>
      <c r="G10" s="87"/>
      <c r="H10" s="87"/>
      <c r="I10" s="87"/>
      <c r="J10" s="87"/>
    </row>
    <row r="11" spans="1:10">
      <c r="A11" s="87"/>
      <c r="B11" s="87"/>
      <c r="C11" s="87"/>
      <c r="D11" s="87"/>
      <c r="E11" s="87"/>
      <c r="F11" s="87"/>
      <c r="G11" s="87"/>
      <c r="H11" s="87"/>
      <c r="I11" s="87"/>
      <c r="J11" s="87"/>
    </row>
    <row r="12" spans="1:10">
      <c r="A12" s="87"/>
      <c r="B12" s="87"/>
      <c r="C12" s="87"/>
      <c r="D12" s="87"/>
      <c r="E12" s="87"/>
      <c r="F12" s="87"/>
      <c r="G12" s="87"/>
      <c r="H12" s="87"/>
      <c r="I12" s="87"/>
      <c r="J12" s="87"/>
    </row>
    <row r="13" spans="1:10">
      <c r="A13" s="87"/>
      <c r="B13" s="87"/>
      <c r="C13" s="87"/>
      <c r="D13" s="87"/>
      <c r="E13" s="87"/>
      <c r="F13" s="87"/>
      <c r="G13" s="87"/>
      <c r="H13" s="87"/>
      <c r="I13" s="87"/>
      <c r="J13" s="87"/>
    </row>
    <row r="14" spans="1:10">
      <c r="A14" s="87"/>
      <c r="B14" s="87"/>
      <c r="C14" s="87"/>
      <c r="D14" s="87"/>
      <c r="E14" s="87"/>
      <c r="F14" s="87"/>
      <c r="G14" s="87"/>
      <c r="H14" s="87"/>
      <c r="I14" s="87"/>
      <c r="J14" s="87"/>
    </row>
    <row r="15" spans="1:10">
      <c r="A15" s="87"/>
      <c r="B15" s="87"/>
      <c r="C15" s="87"/>
      <c r="D15" s="87"/>
      <c r="E15" s="87"/>
      <c r="F15" s="87"/>
      <c r="G15" s="87"/>
      <c r="H15" s="87"/>
      <c r="I15" s="87"/>
      <c r="J15" s="87"/>
    </row>
    <row r="16" spans="1:10">
      <c r="A16" s="87"/>
      <c r="B16" s="87"/>
      <c r="C16" s="87"/>
      <c r="D16" s="87"/>
      <c r="E16" s="87"/>
      <c r="F16" s="87"/>
      <c r="G16" s="87"/>
      <c r="H16" s="87"/>
      <c r="I16" s="87"/>
      <c r="J16" s="87"/>
    </row>
    <row r="17" spans="1:10">
      <c r="A17" s="87"/>
      <c r="B17" s="1105"/>
      <c r="C17" s="87"/>
      <c r="D17" s="87"/>
      <c r="E17" s="87"/>
      <c r="F17" s="87"/>
      <c r="G17" s="1141" t="s">
        <v>794</v>
      </c>
      <c r="H17" s="1140"/>
      <c r="I17" s="87"/>
      <c r="J17" s="87"/>
    </row>
    <row r="18" spans="1:10">
      <c r="A18" s="87"/>
      <c r="B18" s="87"/>
      <c r="C18" s="87"/>
      <c r="D18" s="87"/>
      <c r="E18" s="87"/>
      <c r="F18" s="87"/>
      <c r="G18" s="87"/>
      <c r="H18" s="87"/>
      <c r="I18" s="87"/>
      <c r="J18" s="87"/>
    </row>
    <row r="19" spans="1:10">
      <c r="A19" s="87"/>
      <c r="B19" s="87"/>
      <c r="C19" s="87"/>
      <c r="D19" s="87"/>
      <c r="E19" s="87"/>
      <c r="F19" s="87"/>
      <c r="G19" s="87"/>
      <c r="H19" s="87"/>
      <c r="I19" s="87"/>
      <c r="J19" s="87"/>
    </row>
    <row r="20" spans="1:10">
      <c r="A20" s="87"/>
      <c r="B20" s="87"/>
      <c r="C20" s="87"/>
      <c r="D20" s="87"/>
      <c r="E20" s="87"/>
      <c r="F20" s="87"/>
      <c r="G20" s="87"/>
      <c r="H20" s="87"/>
      <c r="I20" s="87"/>
      <c r="J20" s="87"/>
    </row>
    <row r="21" spans="1:10">
      <c r="A21" s="87"/>
      <c r="B21" s="87"/>
      <c r="C21" s="87"/>
      <c r="D21" s="87"/>
      <c r="E21" s="87"/>
      <c r="F21" s="87"/>
      <c r="G21" s="87"/>
      <c r="H21" s="87"/>
      <c r="I21" s="87"/>
      <c r="J21" s="87"/>
    </row>
    <row r="22" spans="1:10">
      <c r="A22" s="87"/>
      <c r="B22" s="87"/>
      <c r="C22" s="87"/>
      <c r="D22" s="87"/>
      <c r="E22" s="87"/>
      <c r="F22" s="87"/>
      <c r="G22" s="87"/>
      <c r="H22" s="87"/>
      <c r="I22" s="87"/>
      <c r="J22" s="87"/>
    </row>
    <row r="23" spans="1:10">
      <c r="A23" s="87"/>
      <c r="B23" s="87"/>
      <c r="C23" s="1398"/>
      <c r="D23" s="1398"/>
      <c r="E23" s="1398"/>
      <c r="F23" s="87"/>
      <c r="G23" s="87"/>
      <c r="H23" s="87"/>
      <c r="I23" s="87"/>
      <c r="J23" s="87"/>
    </row>
    <row r="24" spans="1:10">
      <c r="A24" s="87"/>
      <c r="B24" s="87"/>
      <c r="C24" s="87"/>
      <c r="D24" s="87"/>
      <c r="E24" s="87"/>
      <c r="F24" s="87"/>
      <c r="G24" s="87"/>
      <c r="H24" s="87"/>
      <c r="I24" s="87"/>
      <c r="J24" s="87"/>
    </row>
  </sheetData>
  <sheetProtection sheet="1" objects="1" scenarios="1"/>
  <mergeCells count="2">
    <mergeCell ref="C4:G4"/>
    <mergeCell ref="C23:E23"/>
  </mergeCells>
  <phoneticPr fontId="5"/>
  <pageMargins left="0.78700000000000003" right="0.78700000000000003" top="0.98399999999999999" bottom="0.98399999999999999" header="0.51200000000000001" footer="0.51200000000000001"/>
  <pageSetup paperSize="9" orientation="portrait"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codeName="Sheet6"/>
  <dimension ref="A1:DL191"/>
  <sheetViews>
    <sheetView showGridLines="0" showZeros="0" topLeftCell="P1" zoomScaleNormal="100" workbookViewId="0">
      <selection activeCell="V1" sqref="V1"/>
    </sheetView>
  </sheetViews>
  <sheetFormatPr defaultRowHeight="15" customHeight="1"/>
  <cols>
    <col min="1" max="1" width="10.5" style="14" hidden="1" customWidth="1"/>
    <col min="2" max="2" width="12.375" style="14" hidden="1" customWidth="1"/>
    <col min="3" max="3" width="17.25" style="14" hidden="1" customWidth="1"/>
    <col min="4" max="4" width="5.25" style="14" hidden="1" customWidth="1"/>
    <col min="5" max="6" width="9" style="14" hidden="1" customWidth="1"/>
    <col min="7" max="7" width="7" style="14" hidden="1" customWidth="1"/>
    <col min="8" max="15" width="9" style="14" hidden="1" customWidth="1"/>
    <col min="16" max="16" width="4.125" style="14" bestFit="1" customWidth="1"/>
    <col min="17" max="17" width="9.75" style="14" bestFit="1" customWidth="1"/>
    <col min="18" max="18" width="9" style="14"/>
    <col min="19" max="19" width="9.25" style="14" bestFit="1" customWidth="1"/>
    <col min="20" max="20" width="8.75" style="12" bestFit="1" customWidth="1"/>
    <col min="21" max="21" width="8.75" style="12" customWidth="1"/>
    <col min="22" max="22" width="14.125" style="4" customWidth="1"/>
    <col min="23" max="23" width="18.75" style="4" customWidth="1"/>
    <col min="24" max="24" width="5" style="75" bestFit="1" customWidth="1"/>
    <col min="25" max="25" width="5" style="13" bestFit="1" customWidth="1"/>
    <col min="26" max="27" width="5" style="1110" customWidth="1"/>
    <col min="28" max="28" width="6.375" style="1110" customWidth="1"/>
    <col min="29" max="29" width="8.5" style="13" hidden="1" customWidth="1"/>
    <col min="30" max="30" width="4.75" style="4" hidden="1" customWidth="1"/>
    <col min="31" max="31" width="9.625" style="76" hidden="1" customWidth="1"/>
    <col min="32" max="32" width="6.25" style="77" hidden="1" customWidth="1"/>
    <col min="33" max="33" width="7.25" style="1167" hidden="1" customWidth="1"/>
    <col min="34" max="34" width="9.5" style="5" hidden="1" customWidth="1"/>
    <col min="35" max="35" width="9.125" style="5" hidden="1" customWidth="1"/>
    <col min="36" max="36" width="7.625" style="14" hidden="1" customWidth="1"/>
    <col min="37" max="37" width="8.5" style="81" hidden="1" customWidth="1"/>
    <col min="38" max="38" width="7.75" style="14" hidden="1" customWidth="1"/>
    <col min="39" max="39" width="7.375" style="14" hidden="1" customWidth="1"/>
    <col min="40" max="40" width="7.75" style="14" hidden="1" customWidth="1"/>
    <col min="41" max="41" width="5.875" style="10" hidden="1" customWidth="1"/>
    <col min="42" max="43" width="6.5" style="14" hidden="1" customWidth="1"/>
    <col min="44" max="44" width="7.125" style="14" hidden="1" customWidth="1"/>
    <col min="45" max="45" width="5.75" style="14" hidden="1" customWidth="1"/>
    <col min="46" max="46" width="7.625" style="14" hidden="1" customWidth="1"/>
    <col min="47" max="47" width="8" style="14" hidden="1" customWidth="1"/>
    <col min="48" max="48" width="5.75" style="14" hidden="1" customWidth="1"/>
    <col min="49" max="49" width="5.75" style="14" customWidth="1"/>
    <col min="50" max="51" width="5.875" style="14" bestFit="1" customWidth="1"/>
    <col min="52" max="54" width="7.5" style="14" bestFit="1" customWidth="1"/>
    <col min="55" max="55" width="7.5" style="14" customWidth="1"/>
    <col min="56" max="56" width="5.875" style="14" customWidth="1"/>
    <col min="57" max="57" width="5.75" style="14" customWidth="1"/>
    <col min="58" max="59" width="6.25" style="14" bestFit="1" customWidth="1"/>
    <col min="60" max="63" width="6.25" style="14" customWidth="1"/>
    <col min="64" max="64" width="8.375" style="14" bestFit="1" customWidth="1"/>
    <col min="65" max="65" width="9.75" style="14" customWidth="1"/>
    <col min="66" max="66" width="5.875" style="684" hidden="1" customWidth="1"/>
    <col min="67" max="68" width="10" style="684" hidden="1" customWidth="1"/>
    <col min="69" max="69" width="5.875" style="684" hidden="1" customWidth="1"/>
    <col min="70" max="70" width="6.625" style="684" hidden="1" customWidth="1"/>
    <col min="71" max="71" width="7.5" style="684" hidden="1" customWidth="1"/>
    <col min="72" max="72" width="6.625" style="684" hidden="1" customWidth="1"/>
    <col min="73" max="73" width="7.5" style="684" hidden="1" customWidth="1"/>
    <col min="74" max="74" width="6.625" style="684" hidden="1" customWidth="1"/>
    <col min="75" max="76" width="5.875" style="684" hidden="1" customWidth="1"/>
    <col min="77" max="78" width="6.625" style="684" hidden="1" customWidth="1"/>
    <col min="79" max="80" width="8.375" style="684" hidden="1" customWidth="1"/>
    <col min="81" max="81" width="3.125" style="684" hidden="1" customWidth="1"/>
    <col min="82" max="82" width="11" style="684" hidden="1" customWidth="1"/>
    <col min="83" max="83" width="6.625" style="684" hidden="1" customWidth="1"/>
    <col min="84" max="84" width="5.875" style="684" hidden="1" customWidth="1"/>
    <col min="85" max="86" width="6.625" style="684" hidden="1" customWidth="1"/>
    <col min="87" max="87" width="8.375" style="684" hidden="1" customWidth="1"/>
    <col min="88" max="88" width="6.625" style="684" hidden="1" customWidth="1"/>
    <col min="89" max="89" width="5.875" style="684" hidden="1" customWidth="1"/>
    <col min="90" max="90" width="8.375" style="684" hidden="1" customWidth="1"/>
    <col min="91" max="91" width="5.875" style="684" hidden="1" customWidth="1"/>
    <col min="92" max="92" width="6.625" style="684" hidden="1" customWidth="1"/>
    <col min="93" max="93" width="1.5" style="684" hidden="1" customWidth="1"/>
    <col min="94" max="94" width="8.375" style="684" hidden="1" customWidth="1"/>
    <col min="95" max="95" width="17.375" style="684" hidden="1" customWidth="1"/>
    <col min="96" max="98" width="11" style="684" hidden="1" customWidth="1"/>
    <col min="99" max="99" width="12.375" style="684" hidden="1" customWidth="1"/>
    <col min="100" max="100" width="11.875" style="14" hidden="1" customWidth="1"/>
    <col min="101" max="103" width="3.625" style="658" hidden="1" customWidth="1"/>
    <col min="104" max="104" width="4.875" style="658" hidden="1" customWidth="1"/>
    <col min="105" max="105" width="7.5" style="658" hidden="1" customWidth="1"/>
    <col min="106" max="106" width="11.625" style="657" hidden="1" customWidth="1"/>
    <col min="107" max="107" width="2.5" style="14" hidden="1" customWidth="1"/>
    <col min="108" max="108" width="3.375" style="626" hidden="1" customWidth="1"/>
    <col min="109" max="109" width="5" style="626" hidden="1" customWidth="1"/>
    <col min="110" max="110" width="11.875" style="1050" hidden="1" customWidth="1"/>
    <col min="111" max="111" width="6.625" style="1080" hidden="1" customWidth="1"/>
    <col min="112" max="112" width="3.375" style="1080" hidden="1" customWidth="1"/>
    <col min="113" max="113" width="3.375" style="14" hidden="1" customWidth="1"/>
    <col min="114" max="114" width="5" style="14" hidden="1" customWidth="1"/>
    <col min="115" max="16384" width="9" style="14"/>
  </cols>
  <sheetData>
    <row r="1" spans="1:116" ht="58.5" customHeight="1" thickBot="1">
      <c r="A1" s="1399" t="s">
        <v>869</v>
      </c>
      <c r="B1" s="1399"/>
      <c r="C1" s="1399"/>
      <c r="D1" s="1399"/>
      <c r="E1" s="1399"/>
      <c r="F1" s="1399"/>
      <c r="G1" s="1399"/>
      <c r="H1" s="1399"/>
      <c r="I1" s="1399"/>
      <c r="J1" s="1399"/>
      <c r="K1" s="1399"/>
      <c r="L1" s="1399"/>
      <c r="M1" s="1399"/>
      <c r="N1" s="1399"/>
      <c r="O1" s="1400"/>
      <c r="P1" s="1403" t="s">
        <v>1215</v>
      </c>
      <c r="Q1" s="1403"/>
      <c r="R1" s="1404"/>
      <c r="S1" s="1405"/>
      <c r="T1" s="1406"/>
      <c r="U1" s="1111" t="s">
        <v>1214</v>
      </c>
      <c r="V1" s="1112"/>
      <c r="W1" s="1010" t="s">
        <v>746</v>
      </c>
      <c r="X1" s="1407"/>
      <c r="Y1" s="1408"/>
      <c r="Z1" s="1408"/>
      <c r="AA1" s="1409"/>
      <c r="AB1" s="1106"/>
      <c r="AC1" s="1008"/>
      <c r="AD1" s="1015"/>
      <c r="AE1" s="1015"/>
      <c r="AF1" s="1009"/>
      <c r="AK1" s="1012"/>
      <c r="AL1" s="1011"/>
      <c r="AM1" s="1011"/>
      <c r="AN1" s="1011"/>
      <c r="AO1" s="1013"/>
      <c r="AP1" s="1011"/>
      <c r="AQ1" s="1014"/>
      <c r="AR1" s="1014"/>
      <c r="AS1" s="1011"/>
      <c r="AT1" s="1011"/>
      <c r="AU1" s="1011"/>
      <c r="AV1" s="520" t="s">
        <v>415</v>
      </c>
      <c r="AW1" s="1401" t="s">
        <v>846</v>
      </c>
      <c r="AX1" s="1401"/>
      <c r="AY1" s="1401"/>
      <c r="AZ1" s="1401"/>
      <c r="BA1" s="1401"/>
      <c r="BB1" s="1401"/>
      <c r="BC1" s="1401"/>
      <c r="BD1" s="1011"/>
      <c r="BE1" s="1011"/>
      <c r="BF1" s="1011"/>
      <c r="BG1" s="1011"/>
      <c r="BH1" s="1011"/>
      <c r="BI1" s="1011"/>
      <c r="BJ1" s="1011"/>
      <c r="BK1" s="1011"/>
      <c r="BL1" s="1011"/>
      <c r="BM1" s="1011"/>
    </row>
    <row r="2" spans="1:116" s="5" customFormat="1" ht="18.75" customHeight="1">
      <c r="A2" s="1399"/>
      <c r="B2" s="1399"/>
      <c r="C2" s="1399"/>
      <c r="D2" s="1399"/>
      <c r="E2" s="1399"/>
      <c r="F2" s="1399"/>
      <c r="G2" s="1399"/>
      <c r="H2" s="1399"/>
      <c r="I2" s="1399"/>
      <c r="J2" s="1399"/>
      <c r="K2" s="1399"/>
      <c r="L2" s="1399"/>
      <c r="M2" s="1399"/>
      <c r="N2" s="1399"/>
      <c r="O2" s="1400"/>
      <c r="P2" s="1232"/>
      <c r="Q2" s="1091"/>
      <c r="R2" s="1410"/>
      <c r="S2" s="1412" t="s">
        <v>771</v>
      </c>
      <c r="T2" s="1413"/>
      <c r="U2" s="1414"/>
      <c r="V2" s="1092" t="s">
        <v>465</v>
      </c>
      <c r="W2" s="1092" t="s">
        <v>466</v>
      </c>
      <c r="X2" s="1416" t="s">
        <v>203</v>
      </c>
      <c r="Y2" s="1418" t="s">
        <v>682</v>
      </c>
      <c r="Z2" s="1420" t="s">
        <v>773</v>
      </c>
      <c r="AA2" s="1420"/>
      <c r="AB2" s="1421"/>
      <c r="AC2" s="764"/>
      <c r="AD2" s="1048" t="s">
        <v>31</v>
      </c>
      <c r="AE2" s="1049" t="s">
        <v>164</v>
      </c>
      <c r="AF2" s="1161" t="s">
        <v>27</v>
      </c>
      <c r="AG2" s="1402"/>
      <c r="AH2" s="1402"/>
      <c r="AI2" s="1402"/>
      <c r="AK2" s="80"/>
      <c r="AM2" s="520"/>
      <c r="AN2" s="520"/>
      <c r="AO2" s="520"/>
      <c r="AP2" s="520"/>
      <c r="AQ2" s="521"/>
      <c r="AR2" s="521"/>
      <c r="AS2" s="520"/>
      <c r="AT2" s="520"/>
      <c r="AU2" s="520"/>
      <c r="AV2" s="5" t="s">
        <v>416</v>
      </c>
      <c r="AW2" s="632" t="s">
        <v>709</v>
      </c>
      <c r="AX2" s="633"/>
      <c r="AY2" s="633"/>
      <c r="AZ2" s="633"/>
      <c r="BA2" s="633"/>
      <c r="BB2" s="633"/>
      <c r="BC2" s="633"/>
      <c r="BD2" s="633"/>
      <c r="BE2" s="633"/>
      <c r="BF2" s="633"/>
      <c r="BG2" s="633"/>
      <c r="BH2" s="633"/>
      <c r="BI2" s="633"/>
      <c r="BJ2" s="633"/>
      <c r="BK2" s="633"/>
      <c r="BL2" s="633"/>
      <c r="BM2" s="744" t="s">
        <v>700</v>
      </c>
      <c r="BN2" s="685"/>
      <c r="BO2" s="685"/>
      <c r="BP2" s="685"/>
      <c r="BQ2" s="685"/>
      <c r="BR2" s="687"/>
      <c r="BS2" s="687"/>
      <c r="BT2" s="687"/>
      <c r="BU2" s="687"/>
      <c r="BV2" s="687"/>
      <c r="BW2" s="687"/>
      <c r="BX2" s="687"/>
      <c r="BY2" s="687"/>
      <c r="BZ2" s="687"/>
      <c r="CA2" s="687"/>
      <c r="CB2" s="687"/>
      <c r="CC2" s="687"/>
      <c r="CD2" s="687"/>
      <c r="CE2" s="687"/>
      <c r="CF2" s="687"/>
      <c r="CG2" s="687"/>
      <c r="CH2" s="687"/>
      <c r="CI2" s="687"/>
      <c r="CJ2" s="687"/>
      <c r="CK2" s="687"/>
      <c r="CL2" s="687"/>
      <c r="CM2" s="687"/>
      <c r="CN2" s="687"/>
      <c r="CO2" s="687"/>
      <c r="CP2" s="687"/>
      <c r="CQ2" s="687"/>
      <c r="CR2" s="687"/>
      <c r="CS2" s="687"/>
      <c r="CT2" s="687"/>
      <c r="CU2" s="687"/>
      <c r="CW2" s="658"/>
      <c r="CX2" s="658"/>
      <c r="CY2" s="658"/>
      <c r="CZ2" s="658"/>
      <c r="DA2" s="658"/>
      <c r="DB2" s="657"/>
      <c r="DD2" s="1029"/>
      <c r="DE2" s="1029"/>
      <c r="DF2" s="1050"/>
      <c r="DG2" s="1080"/>
      <c r="DH2" s="1080"/>
    </row>
    <row r="3" spans="1:116" s="5" customFormat="1" ht="29.25" customHeight="1" thickBot="1">
      <c r="A3" s="1399"/>
      <c r="B3" s="1399"/>
      <c r="C3" s="1399"/>
      <c r="D3" s="1399"/>
      <c r="E3" s="1399"/>
      <c r="F3" s="1399"/>
      <c r="G3" s="1399"/>
      <c r="H3" s="1399"/>
      <c r="I3" s="1399"/>
      <c r="J3" s="1399"/>
      <c r="K3" s="1399"/>
      <c r="L3" s="1399"/>
      <c r="M3" s="1399"/>
      <c r="N3" s="1399"/>
      <c r="O3" s="1400"/>
      <c r="P3" s="1233"/>
      <c r="Q3" s="1075"/>
      <c r="R3" s="1411"/>
      <c r="S3" s="1079" t="s">
        <v>870</v>
      </c>
      <c r="T3" s="1076" t="s">
        <v>774</v>
      </c>
      <c r="U3" s="1415"/>
      <c r="V3" s="1077" t="s">
        <v>775</v>
      </c>
      <c r="W3" s="1078" t="s">
        <v>776</v>
      </c>
      <c r="X3" s="1417"/>
      <c r="Y3" s="1419"/>
      <c r="Z3" s="1107" t="s">
        <v>777</v>
      </c>
      <c r="AA3" s="1108" t="s">
        <v>390</v>
      </c>
      <c r="AB3" s="1109" t="s">
        <v>391</v>
      </c>
      <c r="AC3" s="765"/>
      <c r="AD3" s="710" t="s">
        <v>423</v>
      </c>
      <c r="AE3" s="522"/>
      <c r="AF3" s="1162" t="s">
        <v>423</v>
      </c>
      <c r="AG3" s="1167"/>
      <c r="AK3" s="15"/>
      <c r="AM3" s="520"/>
      <c r="AN3" s="520"/>
      <c r="AO3" s="520"/>
      <c r="AP3" s="520"/>
      <c r="AQ3" s="521"/>
      <c r="AR3" s="521"/>
      <c r="AS3" s="520"/>
      <c r="AT3" s="520"/>
      <c r="AU3" s="520"/>
      <c r="AW3" s="716" t="s">
        <v>1097</v>
      </c>
      <c r="AX3" s="717" t="s">
        <v>1098</v>
      </c>
      <c r="AY3" s="717" t="s">
        <v>1099</v>
      </c>
      <c r="AZ3" s="718" t="s">
        <v>1100</v>
      </c>
      <c r="BA3" s="718" t="s">
        <v>1101</v>
      </c>
      <c r="BB3" s="718" t="s">
        <v>1102</v>
      </c>
      <c r="BC3" s="718" t="s">
        <v>1103</v>
      </c>
      <c r="BD3" s="718" t="s">
        <v>1104</v>
      </c>
      <c r="BE3" s="718" t="s">
        <v>1105</v>
      </c>
      <c r="BF3" s="718" t="s">
        <v>690</v>
      </c>
      <c r="BG3" s="718" t="s">
        <v>684</v>
      </c>
      <c r="BH3" s="718" t="s">
        <v>685</v>
      </c>
      <c r="BI3" s="718" t="s">
        <v>686</v>
      </c>
      <c r="BJ3" s="718" t="s">
        <v>687</v>
      </c>
      <c r="BK3" s="718" t="s">
        <v>688</v>
      </c>
      <c r="BL3" s="740" t="s">
        <v>689</v>
      </c>
      <c r="BM3" s="1152" t="s">
        <v>699</v>
      </c>
      <c r="BN3" s="720" t="s">
        <v>1127</v>
      </c>
      <c r="BO3" s="719" t="s">
        <v>1128</v>
      </c>
      <c r="BP3" s="719" t="s">
        <v>1129</v>
      </c>
      <c r="BQ3" s="719" t="s">
        <v>1130</v>
      </c>
      <c r="BR3" s="720" t="s">
        <v>1131</v>
      </c>
      <c r="BS3" s="719" t="s">
        <v>1132</v>
      </c>
      <c r="BT3" s="719" t="s">
        <v>1133</v>
      </c>
      <c r="BU3" s="719" t="s">
        <v>1134</v>
      </c>
      <c r="BV3" s="719" t="s">
        <v>1135</v>
      </c>
      <c r="BW3" s="719" t="s">
        <v>1136</v>
      </c>
      <c r="BX3" s="719" t="s">
        <v>1137</v>
      </c>
      <c r="BY3" s="719" t="s">
        <v>1138</v>
      </c>
      <c r="BZ3" s="719" t="s">
        <v>1139</v>
      </c>
      <c r="CA3" s="719" t="s">
        <v>692</v>
      </c>
      <c r="CB3" s="719" t="s">
        <v>693</v>
      </c>
      <c r="CC3" s="719" t="s">
        <v>694</v>
      </c>
      <c r="CD3" s="719" t="s">
        <v>770</v>
      </c>
      <c r="CE3" s="719" t="s">
        <v>1140</v>
      </c>
      <c r="CF3" s="719" t="s">
        <v>1141</v>
      </c>
      <c r="CG3" s="719" t="s">
        <v>1142</v>
      </c>
      <c r="CH3" s="719" t="s">
        <v>1143</v>
      </c>
      <c r="CI3" s="719" t="s">
        <v>695</v>
      </c>
      <c r="CJ3" s="719" t="s">
        <v>1144</v>
      </c>
      <c r="CK3" s="719" t="s">
        <v>1145</v>
      </c>
      <c r="CL3" s="719" t="s">
        <v>696</v>
      </c>
      <c r="CM3" s="719" t="s">
        <v>1146</v>
      </c>
      <c r="CN3" s="719" t="s">
        <v>1147</v>
      </c>
      <c r="CO3" s="719"/>
      <c r="CP3" s="719" t="s">
        <v>697</v>
      </c>
      <c r="CQ3" s="719"/>
      <c r="CR3" s="719" t="s">
        <v>698</v>
      </c>
      <c r="CS3" s="721" t="s">
        <v>698</v>
      </c>
      <c r="CT3" s="721" t="s">
        <v>708</v>
      </c>
      <c r="CU3" s="711" t="s">
        <v>761</v>
      </c>
      <c r="CV3" s="5" t="s">
        <v>715</v>
      </c>
      <c r="CW3" s="659" t="s">
        <v>702</v>
      </c>
      <c r="CX3" s="659" t="s">
        <v>703</v>
      </c>
      <c r="CY3" s="659" t="s">
        <v>704</v>
      </c>
      <c r="CZ3" s="659" t="s">
        <v>705</v>
      </c>
      <c r="DA3" s="659" t="s">
        <v>704</v>
      </c>
      <c r="DB3" s="82"/>
      <c r="DC3" s="620"/>
      <c r="DD3" s="1029"/>
      <c r="DE3" s="1029"/>
      <c r="DF3" s="1050"/>
      <c r="DG3" s="1080"/>
      <c r="DH3" s="1080"/>
    </row>
    <row r="4" spans="1:116" ht="15" customHeight="1" thickTop="1">
      <c r="A4" s="85" t="s">
        <v>856</v>
      </c>
      <c r="B4" s="85" t="s">
        <v>857</v>
      </c>
      <c r="C4" s="85" t="s">
        <v>858</v>
      </c>
      <c r="D4" s="85" t="s">
        <v>19</v>
      </c>
      <c r="E4" s="85" t="s">
        <v>859</v>
      </c>
      <c r="F4" s="85" t="s">
        <v>860</v>
      </c>
      <c r="G4" s="85" t="s">
        <v>861</v>
      </c>
      <c r="H4" s="85" t="s">
        <v>862</v>
      </c>
      <c r="I4" s="85" t="s">
        <v>863</v>
      </c>
      <c r="J4" s="85" t="s">
        <v>864</v>
      </c>
      <c r="K4" s="85" t="s">
        <v>865</v>
      </c>
      <c r="L4" s="85" t="s">
        <v>866</v>
      </c>
      <c r="M4" s="85" t="s">
        <v>867</v>
      </c>
      <c r="N4" s="85" t="s">
        <v>868</v>
      </c>
      <c r="O4" s="85" t="s">
        <v>17</v>
      </c>
      <c r="P4" s="1234">
        <v>1</v>
      </c>
      <c r="Q4" s="1384"/>
      <c r="R4" s="1385"/>
      <c r="S4" s="1364"/>
      <c r="T4" s="1365"/>
      <c r="U4" s="1390"/>
      <c r="V4" s="1354"/>
      <c r="W4" s="1355"/>
      <c r="X4" s="1356"/>
      <c r="Y4" s="1357"/>
      <c r="Z4" s="1358"/>
      <c r="AA4" s="1358"/>
      <c r="AB4" s="1359"/>
      <c r="AC4" s="1351" t="str">
        <f>DJ4</f>
        <v>00</v>
      </c>
      <c r="AD4" s="1136">
        <f>V1</f>
        <v>0</v>
      </c>
      <c r="AE4" s="523" t="e">
        <f>IF(AD4="","",VLOOKUP(AD4,所属コード!$A$2:$E$247,2,FALSE))</f>
        <v>#N/A</v>
      </c>
      <c r="AF4" s="1163" t="e">
        <f>IF(AD4="","",VLOOKUP(AD4,所属コード!$A$2:$G$189,7,FALSE))</f>
        <v>#N/A</v>
      </c>
      <c r="AG4" s="1166"/>
      <c r="AH4" s="77"/>
      <c r="AI4" s="77"/>
      <c r="AJ4" s="77"/>
      <c r="AK4" s="15"/>
      <c r="AM4" s="616"/>
      <c r="AN4" s="1090" t="str">
        <f>IF(Y4="","",IF(Y4="男",1,2))</f>
        <v/>
      </c>
      <c r="AO4" s="618" t="str">
        <f>ASC(W4)</f>
        <v/>
      </c>
      <c r="AP4" s="617" t="s">
        <v>415</v>
      </c>
      <c r="AQ4" s="619"/>
      <c r="AR4" s="619"/>
      <c r="AS4" s="617"/>
      <c r="AT4" s="617"/>
      <c r="AU4" s="617"/>
      <c r="AV4" s="620"/>
      <c r="AW4" s="722"/>
      <c r="AX4" s="723"/>
      <c r="AY4" s="723"/>
      <c r="AZ4" s="723"/>
      <c r="BA4" s="723"/>
      <c r="BB4" s="723"/>
      <c r="BC4" s="723"/>
      <c r="BD4" s="723"/>
      <c r="BE4" s="723"/>
      <c r="BF4" s="723"/>
      <c r="BG4" s="723"/>
      <c r="BH4" s="723"/>
      <c r="BI4" s="723"/>
      <c r="BJ4" s="723"/>
      <c r="BK4" s="723"/>
      <c r="BL4" s="741"/>
      <c r="BM4" s="746">
        <f>BF4</f>
        <v>0</v>
      </c>
      <c r="BN4" s="737">
        <f t="shared" ref="BN4:BN67" si="0">BD4</f>
        <v>0</v>
      </c>
      <c r="BO4" s="724">
        <f t="shared" ref="BO4:BO67" si="1">BD4</f>
        <v>0</v>
      </c>
      <c r="BP4" s="725">
        <f t="shared" ref="BP4:BQ35" si="2">BD4</f>
        <v>0</v>
      </c>
      <c r="BQ4" s="724">
        <f t="shared" si="2"/>
        <v>0</v>
      </c>
      <c r="BR4" s="724">
        <f>AW4</f>
        <v>0</v>
      </c>
      <c r="BS4" s="724">
        <f>BA4</f>
        <v>0</v>
      </c>
      <c r="BT4" s="724">
        <f>AW4</f>
        <v>0</v>
      </c>
      <c r="BU4" s="724">
        <f>BA4</f>
        <v>0</v>
      </c>
      <c r="BV4" s="724">
        <f>AZ4</f>
        <v>0</v>
      </c>
      <c r="BW4" s="724">
        <f>AW4</f>
        <v>0</v>
      </c>
      <c r="BX4" s="724">
        <f>AX4</f>
        <v>0</v>
      </c>
      <c r="BY4" s="724">
        <f>BC4</f>
        <v>0</v>
      </c>
      <c r="BZ4" s="724">
        <f>BD4</f>
        <v>0</v>
      </c>
      <c r="CA4" s="724">
        <f>BF4</f>
        <v>0</v>
      </c>
      <c r="CB4" s="724">
        <f>BJ4</f>
        <v>0</v>
      </c>
      <c r="CC4" s="724">
        <f>BK4</f>
        <v>0</v>
      </c>
      <c r="CD4" s="724">
        <f>BL4</f>
        <v>0</v>
      </c>
      <c r="CE4" s="724">
        <f>BE4</f>
        <v>0</v>
      </c>
      <c r="CF4" s="724">
        <f>AW4</f>
        <v>0</v>
      </c>
      <c r="CG4" s="724">
        <f>BA4</f>
        <v>0</v>
      </c>
      <c r="CH4" s="724">
        <f>BD4</f>
        <v>0</v>
      </c>
      <c r="CI4" s="724">
        <f>BH4</f>
        <v>0</v>
      </c>
      <c r="CJ4" s="724">
        <f>BE4</f>
        <v>0</v>
      </c>
      <c r="CK4" s="724">
        <f>AZ4</f>
        <v>0</v>
      </c>
      <c r="CL4" s="724">
        <f>BJ4</f>
        <v>0</v>
      </c>
      <c r="CM4" s="724">
        <f>AW4</f>
        <v>0</v>
      </c>
      <c r="CN4" s="724">
        <f>BA4</f>
        <v>0</v>
      </c>
      <c r="CO4" s="724">
        <f>BE4</f>
        <v>0</v>
      </c>
      <c r="CP4" s="724">
        <f>BH4</f>
        <v>0</v>
      </c>
      <c r="CQ4" s="724">
        <f>BJ4</f>
        <v>0</v>
      </c>
      <c r="CR4" s="724">
        <f>BC4</f>
        <v>0</v>
      </c>
      <c r="CS4" s="724">
        <f>BB4</f>
        <v>0</v>
      </c>
      <c r="CT4" s="724">
        <f>BC4</f>
        <v>0</v>
      </c>
      <c r="CU4" s="726">
        <f>BJ4</f>
        <v>0</v>
      </c>
      <c r="CV4" s="692" t="str">
        <f>TRIM(V4)</f>
        <v/>
      </c>
      <c r="CW4" s="659" t="str">
        <f>IF(CV4="","",LEN(CV4))</f>
        <v/>
      </c>
      <c r="CX4" s="659" t="str">
        <f>IF(CV4="","",FIND("　",CV4,1))</f>
        <v/>
      </c>
      <c r="CY4" s="659" t="str">
        <f>IF(CV4="","",CW4-CX4)</f>
        <v/>
      </c>
      <c r="CZ4" s="659" t="str">
        <f>IF(CV4="","",LEFT(CV4,CX4-1))</f>
        <v/>
      </c>
      <c r="DA4" s="659" t="str">
        <f>IF(CV4="","",RIGHT(CV4,CY4))</f>
        <v/>
      </c>
      <c r="DB4" s="82" t="str">
        <f>IF(CV4="","",IF(CW4=4,CONCATENATE(CZ4,"　","　",DA4),IF(CW4=6,CONCATENATE(CZ4,DA4),CV4)))</f>
        <v/>
      </c>
      <c r="DC4" s="625" t="str">
        <f t="shared" ref="DC4:DC67" si="3">IF(X4="3",3,IF(X4="2",2,IF(X4="1",1,IF(X4=1,1,IF(X4=2,2,IF(X4=3,3,""))))))</f>
        <v/>
      </c>
      <c r="DD4" s="625" t="str">
        <f>IF(AB4&lt;10,CONCATENATE(0,AB4),AB4)</f>
        <v>0</v>
      </c>
      <c r="DE4" s="620">
        <f>Z4</f>
        <v>0</v>
      </c>
      <c r="DF4" s="692" t="s">
        <v>10</v>
      </c>
      <c r="DG4" s="625">
        <v>235001</v>
      </c>
      <c r="DH4" s="625">
        <f>IF(AA4=1,"01",IF(AA4=2,"02",IF(AA4=3,"03",IF(AA4=4,"04",IF(AA4=5,"05",IF(AA4=6,"06",IF(AA4=7,"07",IF(AA4=8,"08",IF(AA4=9,"09",AA4)))))))))</f>
        <v>0</v>
      </c>
      <c r="DI4" s="625">
        <f>IF(AB4=1,"01",IF(AB4=2,"02",IF(AB4=3,"03",IF(AB4=4,"04",IF(AB4=5,"05",IF(AB4=6,"06",IF(AB4=7,"07",IF(AB4=8,"08",IF(AB4=9,"09",AB4)))))))))</f>
        <v>0</v>
      </c>
      <c r="DJ4" s="626" t="str">
        <f>CONCATENATE(DH4,DI4)</f>
        <v>00</v>
      </c>
      <c r="DK4" s="626"/>
      <c r="DL4" s="626"/>
    </row>
    <row r="5" spans="1:116" ht="15" customHeight="1">
      <c r="A5" s="85"/>
      <c r="B5" s="85"/>
      <c r="C5" s="85"/>
      <c r="D5" s="85"/>
      <c r="E5" s="85"/>
      <c r="F5" s="85"/>
      <c r="G5" s="85"/>
      <c r="H5" s="85"/>
      <c r="I5" s="85"/>
      <c r="J5" s="85"/>
      <c r="K5" s="85"/>
      <c r="L5" s="85"/>
      <c r="M5" s="85"/>
      <c r="N5" s="85"/>
      <c r="O5" s="85"/>
      <c r="P5" s="1235">
        <v>2</v>
      </c>
      <c r="Q5" s="1386"/>
      <c r="R5" s="1387"/>
      <c r="S5" s="1366"/>
      <c r="T5" s="1367"/>
      <c r="U5" s="1391"/>
      <c r="V5" s="1360"/>
      <c r="W5" s="1071"/>
      <c r="X5" s="1072"/>
      <c r="Y5" s="1073"/>
      <c r="Z5" s="1153"/>
      <c r="AA5" s="1153"/>
      <c r="AB5" s="1361"/>
      <c r="AC5" s="1352" t="str">
        <f t="shared" ref="AC5:AC68" si="4">DJ5</f>
        <v>00</v>
      </c>
      <c r="AD5" s="524" t="str">
        <f>IF(V5="","",$AD$4)</f>
        <v/>
      </c>
      <c r="AE5" s="525" t="str">
        <f>IF(V5="","",$AE$4)</f>
        <v/>
      </c>
      <c r="AF5" s="1164" t="str">
        <f>IF(V5="","",$AF$4)</f>
        <v/>
      </c>
      <c r="AG5" s="1166"/>
      <c r="AH5" s="77"/>
      <c r="AI5" s="77"/>
      <c r="AJ5" s="77"/>
      <c r="AK5" s="15"/>
      <c r="AM5" s="621"/>
      <c r="AN5" s="1090" t="str">
        <f t="shared" ref="AN5:AN68" si="5">IF(Y5="","",IF(Y5="男",1,2))</f>
        <v/>
      </c>
      <c r="AO5" s="618" t="str">
        <f t="shared" ref="AO5:AO68" si="6">ASC(W5)</f>
        <v/>
      </c>
      <c r="AP5" s="617" t="s">
        <v>416</v>
      </c>
      <c r="AQ5" s="617"/>
      <c r="AR5" s="617"/>
      <c r="AS5" s="617"/>
      <c r="AT5" s="617"/>
      <c r="AU5" s="617"/>
      <c r="AV5" s="620"/>
      <c r="AW5" s="727"/>
      <c r="AX5" s="728"/>
      <c r="AY5" s="728"/>
      <c r="AZ5" s="728"/>
      <c r="BA5" s="728"/>
      <c r="BB5" s="728"/>
      <c r="BC5" s="728"/>
      <c r="BD5" s="728"/>
      <c r="BE5" s="728"/>
      <c r="BF5" s="728"/>
      <c r="BG5" s="728"/>
      <c r="BH5" s="728"/>
      <c r="BI5" s="728"/>
      <c r="BJ5" s="728"/>
      <c r="BK5" s="728"/>
      <c r="BL5" s="742"/>
      <c r="BM5" s="747">
        <f t="shared" ref="BM5:BM68" si="7">BF5</f>
        <v>0</v>
      </c>
      <c r="BN5" s="738">
        <f t="shared" si="0"/>
        <v>0</v>
      </c>
      <c r="BO5" s="729">
        <f t="shared" si="1"/>
        <v>0</v>
      </c>
      <c r="BP5" s="730">
        <f t="shared" si="2"/>
        <v>0</v>
      </c>
      <c r="BQ5" s="729">
        <f t="shared" si="2"/>
        <v>0</v>
      </c>
      <c r="BR5" s="729">
        <f t="shared" ref="BR5:BR68" si="8">AW5</f>
        <v>0</v>
      </c>
      <c r="BS5" s="729">
        <f t="shared" ref="BS5:BS68" si="9">BA5</f>
        <v>0</v>
      </c>
      <c r="BT5" s="729">
        <f t="shared" ref="BT5:BT68" si="10">AW5</f>
        <v>0</v>
      </c>
      <c r="BU5" s="729">
        <f t="shared" ref="BU5:BU68" si="11">BA5</f>
        <v>0</v>
      </c>
      <c r="BV5" s="729">
        <f t="shared" ref="BV5:BV68" si="12">AZ5</f>
        <v>0</v>
      </c>
      <c r="BW5" s="729">
        <f t="shared" ref="BW5:BX68" si="13">AW5</f>
        <v>0</v>
      </c>
      <c r="BX5" s="729">
        <f t="shared" si="13"/>
        <v>0</v>
      </c>
      <c r="BY5" s="729">
        <f t="shared" ref="BY5:BZ68" si="14">BC5</f>
        <v>0</v>
      </c>
      <c r="BZ5" s="729">
        <f t="shared" si="14"/>
        <v>0</v>
      </c>
      <c r="CA5" s="729">
        <f t="shared" ref="CA5:CA68" si="15">BF5</f>
        <v>0</v>
      </c>
      <c r="CB5" s="729">
        <f t="shared" ref="CB5:CD68" si="16">BJ5</f>
        <v>0</v>
      </c>
      <c r="CC5" s="729">
        <f t="shared" si="16"/>
        <v>0</v>
      </c>
      <c r="CD5" s="729">
        <f t="shared" si="16"/>
        <v>0</v>
      </c>
      <c r="CE5" s="729">
        <f t="shared" ref="CE5:CE68" si="17">BE5</f>
        <v>0</v>
      </c>
      <c r="CF5" s="729">
        <f t="shared" ref="CF5:CF68" si="18">AW5</f>
        <v>0</v>
      </c>
      <c r="CG5" s="729">
        <f t="shared" ref="CG5:CG68" si="19">BA5</f>
        <v>0</v>
      </c>
      <c r="CH5" s="729">
        <f t="shared" ref="CH5:CH68" si="20">BD5</f>
        <v>0</v>
      </c>
      <c r="CI5" s="729">
        <f t="shared" ref="CI5:CI68" si="21">BH5</f>
        <v>0</v>
      </c>
      <c r="CJ5" s="729">
        <f t="shared" ref="CJ5:CJ68" si="22">BE5</f>
        <v>0</v>
      </c>
      <c r="CK5" s="729">
        <f t="shared" ref="CK5:CK68" si="23">AZ5</f>
        <v>0</v>
      </c>
      <c r="CL5" s="729">
        <f t="shared" ref="CL5:CL68" si="24">BJ5</f>
        <v>0</v>
      </c>
      <c r="CM5" s="729">
        <f t="shared" ref="CM5:CM68" si="25">AW5</f>
        <v>0</v>
      </c>
      <c r="CN5" s="729">
        <f t="shared" ref="CN5:CN68" si="26">BA5</f>
        <v>0</v>
      </c>
      <c r="CO5" s="729">
        <f t="shared" ref="CO5:CO68" si="27">BE5</f>
        <v>0</v>
      </c>
      <c r="CP5" s="729">
        <f t="shared" ref="CP5:CP68" si="28">BH5</f>
        <v>0</v>
      </c>
      <c r="CQ5" s="729">
        <f t="shared" ref="CQ5:CQ68" si="29">BJ5</f>
        <v>0</v>
      </c>
      <c r="CR5" s="729">
        <f t="shared" ref="CR5:CR68" si="30">BC5</f>
        <v>0</v>
      </c>
      <c r="CS5" s="729">
        <f t="shared" ref="CS5:CT68" si="31">BB5</f>
        <v>0</v>
      </c>
      <c r="CT5" s="729">
        <f t="shared" si="31"/>
        <v>0</v>
      </c>
      <c r="CU5" s="731">
        <f t="shared" ref="CU5:CU68" si="32">BJ5</f>
        <v>0</v>
      </c>
      <c r="CV5" s="692" t="str">
        <f t="shared" ref="CV5:CV68" si="33">TRIM(V5)</f>
        <v/>
      </c>
      <c r="CW5" s="659" t="str">
        <f t="shared" ref="CW5:CW68" si="34">IF(CV5="","",LEN(CV5))</f>
        <v/>
      </c>
      <c r="CX5" s="659" t="str">
        <f t="shared" ref="CX5:CX68" si="35">IF(CV5="","",FIND("　",CV5,1))</f>
        <v/>
      </c>
      <c r="CY5" s="659" t="str">
        <f t="shared" ref="CY5:CY68" si="36">IF(CV5="","",CW5-CX5)</f>
        <v/>
      </c>
      <c r="CZ5" s="659" t="str">
        <f t="shared" ref="CZ5:CZ68" si="37">IF(CV5="","",LEFT(CV5,CX5-1))</f>
        <v/>
      </c>
      <c r="DA5" s="659" t="str">
        <f t="shared" ref="DA5:DA68" si="38">IF(CV5="","",RIGHT(CV5,CY5))</f>
        <v/>
      </c>
      <c r="DB5" s="82" t="str">
        <f t="shared" ref="DB5:DB68" si="39">IF(CV5="","",IF(CW5=4,CONCATENATE(CZ5,"　","　",DA5),IF(CW5=6,CONCATENATE(CZ5,DA5),CV5)))</f>
        <v/>
      </c>
      <c r="DC5" s="625" t="str">
        <f t="shared" si="3"/>
        <v/>
      </c>
      <c r="DD5" s="625" t="str">
        <f t="shared" ref="DD5:DD68" si="40">IF(AB5&lt;10,CONCATENATE(0,AB5),AB5)</f>
        <v>0</v>
      </c>
      <c r="DE5" s="620">
        <f t="shared" ref="DE5:DE68" si="41">Z5</f>
        <v>0</v>
      </c>
      <c r="DF5" s="692" t="s">
        <v>39</v>
      </c>
      <c r="DG5" s="625">
        <v>235002</v>
      </c>
      <c r="DH5" s="625">
        <f t="shared" ref="DH5:DH68" si="42">IF(AA5=1,"01",IF(AA5=2,"02",IF(AA5=3,"03",IF(AA5=4,"04",IF(AA5=5,"05",IF(AA5=6,"06",IF(AA5=7,"07",IF(AA5=8,"08",IF(AA5=9,"09",AA5)))))))))</f>
        <v>0</v>
      </c>
      <c r="DI5" s="625">
        <f t="shared" ref="DI5:DI68" si="43">IF(AB5=1,"01",IF(AB5=2,"02",IF(AB5=3,"03",IF(AB5=4,"04",IF(AB5=5,"05",IF(AB5=6,"06",IF(AB5=7,"07",IF(AB5=8,"08",IF(AB5=9,"09",AB5)))))))))</f>
        <v>0</v>
      </c>
      <c r="DJ5" s="626" t="str">
        <f t="shared" ref="DJ5:DJ68" si="44">CONCATENATE(DH5,DI5)</f>
        <v>00</v>
      </c>
      <c r="DK5" s="626"/>
      <c r="DL5" s="626"/>
    </row>
    <row r="6" spans="1:116" ht="15" customHeight="1">
      <c r="A6" s="85"/>
      <c r="B6" s="85"/>
      <c r="C6" s="85"/>
      <c r="D6" s="85"/>
      <c r="E6" s="85"/>
      <c r="F6" s="85"/>
      <c r="G6" s="85"/>
      <c r="H6" s="85"/>
      <c r="I6" s="85"/>
      <c r="J6" s="85"/>
      <c r="K6" s="85"/>
      <c r="L6" s="85"/>
      <c r="M6" s="85"/>
      <c r="N6" s="85"/>
      <c r="O6" s="85"/>
      <c r="P6" s="1235">
        <v>3</v>
      </c>
      <c r="Q6" s="1386"/>
      <c r="R6" s="1387"/>
      <c r="S6" s="1366"/>
      <c r="T6" s="1367"/>
      <c r="U6" s="1391"/>
      <c r="V6" s="1360"/>
      <c r="W6" s="1071"/>
      <c r="X6" s="1072"/>
      <c r="Y6" s="1073"/>
      <c r="Z6" s="1153"/>
      <c r="AA6" s="1153"/>
      <c r="AB6" s="1361"/>
      <c r="AC6" s="1352" t="str">
        <f t="shared" si="4"/>
        <v>00</v>
      </c>
      <c r="AD6" s="524" t="str">
        <f t="shared" ref="AD6:AD69" si="45">IF(V6="","",$AD$4)</f>
        <v/>
      </c>
      <c r="AE6" s="525" t="str">
        <f>IF(AD6="","",VLOOKUP(AD6,所属コード!$A$2:$E$189,2,FALSE))</f>
        <v/>
      </c>
      <c r="AF6" s="1164" t="str">
        <f>IF(AD6="","",VLOOKUP(AD6,所属コード!$A$2:$G$189,7,FALSE))</f>
        <v/>
      </c>
      <c r="AG6" s="1166"/>
      <c r="AH6" s="77"/>
      <c r="AI6" s="77"/>
      <c r="AJ6" s="77"/>
      <c r="AK6" s="15"/>
      <c r="AM6" s="621"/>
      <c r="AN6" s="1090" t="str">
        <f t="shared" si="5"/>
        <v/>
      </c>
      <c r="AO6" s="618" t="str">
        <f t="shared" si="6"/>
        <v/>
      </c>
      <c r="AP6" s="617" t="s">
        <v>831</v>
      </c>
      <c r="AQ6" s="617"/>
      <c r="AR6" s="617"/>
      <c r="AS6" s="617"/>
      <c r="AT6" s="617"/>
      <c r="AU6" s="617"/>
      <c r="AV6" s="620"/>
      <c r="AW6" s="727"/>
      <c r="AX6" s="728"/>
      <c r="AY6" s="728"/>
      <c r="AZ6" s="728"/>
      <c r="BA6" s="728"/>
      <c r="BB6" s="728"/>
      <c r="BC6" s="728"/>
      <c r="BD6" s="728"/>
      <c r="BE6" s="728"/>
      <c r="BF6" s="728"/>
      <c r="BG6" s="728"/>
      <c r="BH6" s="728"/>
      <c r="BI6" s="728"/>
      <c r="BJ6" s="728"/>
      <c r="BK6" s="728"/>
      <c r="BL6" s="742"/>
      <c r="BM6" s="747">
        <f t="shared" si="7"/>
        <v>0</v>
      </c>
      <c r="BN6" s="738">
        <f t="shared" si="0"/>
        <v>0</v>
      </c>
      <c r="BO6" s="729">
        <f t="shared" si="1"/>
        <v>0</v>
      </c>
      <c r="BP6" s="730">
        <f t="shared" si="2"/>
        <v>0</v>
      </c>
      <c r="BQ6" s="729">
        <f t="shared" si="2"/>
        <v>0</v>
      </c>
      <c r="BR6" s="729">
        <f t="shared" si="8"/>
        <v>0</v>
      </c>
      <c r="BS6" s="729">
        <f t="shared" si="9"/>
        <v>0</v>
      </c>
      <c r="BT6" s="729">
        <f t="shared" si="10"/>
        <v>0</v>
      </c>
      <c r="BU6" s="729">
        <f t="shared" si="11"/>
        <v>0</v>
      </c>
      <c r="BV6" s="729">
        <f t="shared" si="12"/>
        <v>0</v>
      </c>
      <c r="BW6" s="729">
        <f t="shared" si="13"/>
        <v>0</v>
      </c>
      <c r="BX6" s="729">
        <f t="shared" si="13"/>
        <v>0</v>
      </c>
      <c r="BY6" s="729">
        <f t="shared" si="14"/>
        <v>0</v>
      </c>
      <c r="BZ6" s="729">
        <f t="shared" si="14"/>
        <v>0</v>
      </c>
      <c r="CA6" s="729">
        <f t="shared" si="15"/>
        <v>0</v>
      </c>
      <c r="CB6" s="729">
        <f t="shared" si="16"/>
        <v>0</v>
      </c>
      <c r="CC6" s="729">
        <f t="shared" si="16"/>
        <v>0</v>
      </c>
      <c r="CD6" s="729">
        <f t="shared" si="16"/>
        <v>0</v>
      </c>
      <c r="CE6" s="729">
        <f t="shared" si="17"/>
        <v>0</v>
      </c>
      <c r="CF6" s="729">
        <f t="shared" si="18"/>
        <v>0</v>
      </c>
      <c r="CG6" s="729">
        <f t="shared" si="19"/>
        <v>0</v>
      </c>
      <c r="CH6" s="729">
        <f t="shared" si="20"/>
        <v>0</v>
      </c>
      <c r="CI6" s="729">
        <f t="shared" si="21"/>
        <v>0</v>
      </c>
      <c r="CJ6" s="729">
        <f t="shared" si="22"/>
        <v>0</v>
      </c>
      <c r="CK6" s="729">
        <f t="shared" si="23"/>
        <v>0</v>
      </c>
      <c r="CL6" s="729">
        <f t="shared" si="24"/>
        <v>0</v>
      </c>
      <c r="CM6" s="729">
        <f t="shared" si="25"/>
        <v>0</v>
      </c>
      <c r="CN6" s="729">
        <f t="shared" si="26"/>
        <v>0</v>
      </c>
      <c r="CO6" s="729">
        <f t="shared" si="27"/>
        <v>0</v>
      </c>
      <c r="CP6" s="729">
        <f t="shared" si="28"/>
        <v>0</v>
      </c>
      <c r="CQ6" s="729">
        <f t="shared" si="29"/>
        <v>0</v>
      </c>
      <c r="CR6" s="729">
        <f t="shared" si="30"/>
        <v>0</v>
      </c>
      <c r="CS6" s="729">
        <f t="shared" si="31"/>
        <v>0</v>
      </c>
      <c r="CT6" s="729">
        <f t="shared" si="31"/>
        <v>0</v>
      </c>
      <c r="CU6" s="731">
        <f t="shared" si="32"/>
        <v>0</v>
      </c>
      <c r="CV6" s="692" t="str">
        <f t="shared" si="33"/>
        <v/>
      </c>
      <c r="CW6" s="659" t="str">
        <f t="shared" si="34"/>
        <v/>
      </c>
      <c r="CX6" s="659" t="str">
        <f t="shared" si="35"/>
        <v/>
      </c>
      <c r="CY6" s="659" t="str">
        <f t="shared" si="36"/>
        <v/>
      </c>
      <c r="CZ6" s="659" t="str">
        <f t="shared" si="37"/>
        <v/>
      </c>
      <c r="DA6" s="659" t="str">
        <f t="shared" si="38"/>
        <v/>
      </c>
      <c r="DB6" s="82" t="str">
        <f t="shared" si="39"/>
        <v/>
      </c>
      <c r="DC6" s="625" t="str">
        <f t="shared" si="3"/>
        <v/>
      </c>
      <c r="DD6" s="625" t="str">
        <f t="shared" si="40"/>
        <v>0</v>
      </c>
      <c r="DE6" s="620">
        <f t="shared" si="41"/>
        <v>0</v>
      </c>
      <c r="DF6" s="1051" t="s">
        <v>9</v>
      </c>
      <c r="DG6" s="1080">
        <v>235003</v>
      </c>
      <c r="DH6" s="625">
        <f t="shared" si="42"/>
        <v>0</v>
      </c>
      <c r="DI6" s="625">
        <f t="shared" si="43"/>
        <v>0</v>
      </c>
      <c r="DJ6" s="626" t="str">
        <f t="shared" si="44"/>
        <v>00</v>
      </c>
    </row>
    <row r="7" spans="1:116" s="5" customFormat="1" ht="15" customHeight="1">
      <c r="A7" s="85"/>
      <c r="B7" s="85"/>
      <c r="C7" s="85"/>
      <c r="D7" s="85"/>
      <c r="E7" s="85"/>
      <c r="F7" s="85"/>
      <c r="G7" s="85"/>
      <c r="H7" s="85"/>
      <c r="I7" s="85"/>
      <c r="J7" s="85"/>
      <c r="K7" s="85"/>
      <c r="L7" s="85"/>
      <c r="M7" s="85"/>
      <c r="N7" s="85"/>
      <c r="O7" s="85"/>
      <c r="P7" s="1235">
        <v>4</v>
      </c>
      <c r="Q7" s="1386"/>
      <c r="R7" s="1387"/>
      <c r="S7" s="1366"/>
      <c r="T7" s="1367"/>
      <c r="U7" s="1391"/>
      <c r="V7" s="1360"/>
      <c r="W7" s="1071"/>
      <c r="X7" s="1072"/>
      <c r="Y7" s="1073"/>
      <c r="Z7" s="1153"/>
      <c r="AA7" s="1153"/>
      <c r="AB7" s="1361"/>
      <c r="AC7" s="1352" t="str">
        <f t="shared" si="4"/>
        <v>00</v>
      </c>
      <c r="AD7" s="524" t="str">
        <f t="shared" si="45"/>
        <v/>
      </c>
      <c r="AE7" s="525" t="str">
        <f>IF(AD7="","",VLOOKUP(AD7,所属コード!$A$2:$E$189,2,FALSE))</f>
        <v/>
      </c>
      <c r="AF7" s="1164" t="str">
        <f>IF(AD7="","",VLOOKUP(AD7,所属コード!$A$2:$G$189,7,FALSE))</f>
        <v/>
      </c>
      <c r="AG7" s="1166"/>
      <c r="AH7" s="77"/>
      <c r="AI7" s="77"/>
      <c r="AJ7" s="77"/>
      <c r="AK7" s="15"/>
      <c r="AM7" s="621"/>
      <c r="AN7" s="1090" t="str">
        <f t="shared" si="5"/>
        <v/>
      </c>
      <c r="AO7" s="618" t="str">
        <f t="shared" si="6"/>
        <v/>
      </c>
      <c r="AP7" s="617"/>
      <c r="AQ7" s="617"/>
      <c r="AR7" s="617"/>
      <c r="AS7" s="617"/>
      <c r="AT7" s="617"/>
      <c r="AU7" s="617"/>
      <c r="AV7" s="620"/>
      <c r="AW7" s="727"/>
      <c r="AX7" s="728"/>
      <c r="AY7" s="728"/>
      <c r="AZ7" s="728"/>
      <c r="BA7" s="728"/>
      <c r="BB7" s="728"/>
      <c r="BC7" s="728"/>
      <c r="BD7" s="728"/>
      <c r="BE7" s="728"/>
      <c r="BF7" s="728"/>
      <c r="BG7" s="728"/>
      <c r="BH7" s="728"/>
      <c r="BI7" s="728"/>
      <c r="BJ7" s="728"/>
      <c r="BK7" s="728"/>
      <c r="BL7" s="742"/>
      <c r="BM7" s="747">
        <f t="shared" si="7"/>
        <v>0</v>
      </c>
      <c r="BN7" s="738">
        <f t="shared" si="0"/>
        <v>0</v>
      </c>
      <c r="BO7" s="729">
        <f t="shared" si="1"/>
        <v>0</v>
      </c>
      <c r="BP7" s="730">
        <f t="shared" si="2"/>
        <v>0</v>
      </c>
      <c r="BQ7" s="729">
        <f t="shared" si="2"/>
        <v>0</v>
      </c>
      <c r="BR7" s="729">
        <f t="shared" si="8"/>
        <v>0</v>
      </c>
      <c r="BS7" s="729">
        <f t="shared" si="9"/>
        <v>0</v>
      </c>
      <c r="BT7" s="729">
        <f t="shared" si="10"/>
        <v>0</v>
      </c>
      <c r="BU7" s="729">
        <f t="shared" si="11"/>
        <v>0</v>
      </c>
      <c r="BV7" s="729">
        <f t="shared" si="12"/>
        <v>0</v>
      </c>
      <c r="BW7" s="729">
        <f t="shared" si="13"/>
        <v>0</v>
      </c>
      <c r="BX7" s="729">
        <f t="shared" si="13"/>
        <v>0</v>
      </c>
      <c r="BY7" s="729">
        <f t="shared" si="14"/>
        <v>0</v>
      </c>
      <c r="BZ7" s="729">
        <f t="shared" si="14"/>
        <v>0</v>
      </c>
      <c r="CA7" s="729">
        <f t="shared" si="15"/>
        <v>0</v>
      </c>
      <c r="CB7" s="729">
        <f t="shared" si="16"/>
        <v>0</v>
      </c>
      <c r="CC7" s="729">
        <f t="shared" si="16"/>
        <v>0</v>
      </c>
      <c r="CD7" s="729">
        <f t="shared" si="16"/>
        <v>0</v>
      </c>
      <c r="CE7" s="729">
        <f t="shared" si="17"/>
        <v>0</v>
      </c>
      <c r="CF7" s="729">
        <f t="shared" si="18"/>
        <v>0</v>
      </c>
      <c r="CG7" s="729">
        <f t="shared" si="19"/>
        <v>0</v>
      </c>
      <c r="CH7" s="729">
        <f t="shared" si="20"/>
        <v>0</v>
      </c>
      <c r="CI7" s="729">
        <f t="shared" si="21"/>
        <v>0</v>
      </c>
      <c r="CJ7" s="729">
        <f t="shared" si="22"/>
        <v>0</v>
      </c>
      <c r="CK7" s="729">
        <f t="shared" si="23"/>
        <v>0</v>
      </c>
      <c r="CL7" s="729">
        <f t="shared" si="24"/>
        <v>0</v>
      </c>
      <c r="CM7" s="729">
        <f t="shared" si="25"/>
        <v>0</v>
      </c>
      <c r="CN7" s="729">
        <f t="shared" si="26"/>
        <v>0</v>
      </c>
      <c r="CO7" s="729">
        <f t="shared" si="27"/>
        <v>0</v>
      </c>
      <c r="CP7" s="729">
        <f t="shared" si="28"/>
        <v>0</v>
      </c>
      <c r="CQ7" s="729">
        <f t="shared" si="29"/>
        <v>0</v>
      </c>
      <c r="CR7" s="729">
        <f t="shared" si="30"/>
        <v>0</v>
      </c>
      <c r="CS7" s="729">
        <f t="shared" si="31"/>
        <v>0</v>
      </c>
      <c r="CT7" s="729">
        <f t="shared" si="31"/>
        <v>0</v>
      </c>
      <c r="CU7" s="731">
        <f t="shared" si="32"/>
        <v>0</v>
      </c>
      <c r="CV7" s="692" t="str">
        <f t="shared" si="33"/>
        <v/>
      </c>
      <c r="CW7" s="659" t="str">
        <f t="shared" si="34"/>
        <v/>
      </c>
      <c r="CX7" s="659" t="str">
        <f t="shared" si="35"/>
        <v/>
      </c>
      <c r="CY7" s="659" t="str">
        <f t="shared" si="36"/>
        <v/>
      </c>
      <c r="CZ7" s="659" t="str">
        <f t="shared" si="37"/>
        <v/>
      </c>
      <c r="DA7" s="659" t="str">
        <f t="shared" si="38"/>
        <v/>
      </c>
      <c r="DB7" s="82" t="str">
        <f t="shared" si="39"/>
        <v/>
      </c>
      <c r="DC7" s="625" t="str">
        <f t="shared" si="3"/>
        <v/>
      </c>
      <c r="DD7" s="625" t="str">
        <f t="shared" si="40"/>
        <v>0</v>
      </c>
      <c r="DE7" s="620">
        <f t="shared" si="41"/>
        <v>0</v>
      </c>
      <c r="DF7" s="1051" t="s">
        <v>3</v>
      </c>
      <c r="DG7" s="1080">
        <v>235004</v>
      </c>
      <c r="DH7" s="625">
        <f t="shared" si="42"/>
        <v>0</v>
      </c>
      <c r="DI7" s="625">
        <f t="shared" si="43"/>
        <v>0</v>
      </c>
      <c r="DJ7" s="626" t="str">
        <f t="shared" si="44"/>
        <v>00</v>
      </c>
    </row>
    <row r="8" spans="1:116" s="5" customFormat="1" ht="15" customHeight="1">
      <c r="A8" s="85"/>
      <c r="B8" s="85"/>
      <c r="C8" s="85"/>
      <c r="D8" s="85"/>
      <c r="E8" s="85"/>
      <c r="F8" s="85"/>
      <c r="G8" s="85"/>
      <c r="H8" s="85"/>
      <c r="I8" s="85"/>
      <c r="J8" s="85"/>
      <c r="K8" s="85"/>
      <c r="L8" s="85"/>
      <c r="M8" s="85"/>
      <c r="N8" s="85"/>
      <c r="O8" s="85"/>
      <c r="P8" s="1235">
        <v>5</v>
      </c>
      <c r="Q8" s="1386"/>
      <c r="R8" s="1387"/>
      <c r="S8" s="1366"/>
      <c r="T8" s="1367"/>
      <c r="U8" s="1391"/>
      <c r="V8" s="1360"/>
      <c r="W8" s="1071"/>
      <c r="X8" s="1072"/>
      <c r="Y8" s="1073"/>
      <c r="Z8" s="1153"/>
      <c r="AA8" s="1153"/>
      <c r="AB8" s="1361"/>
      <c r="AC8" s="1352" t="str">
        <f t="shared" si="4"/>
        <v>00</v>
      </c>
      <c r="AD8" s="524" t="str">
        <f t="shared" si="45"/>
        <v/>
      </c>
      <c r="AE8" s="525" t="str">
        <f>IF(AD8="","",VLOOKUP(AD8,所属コード!$A$2:$E$189,2,FALSE))</f>
        <v/>
      </c>
      <c r="AF8" s="1164" t="str">
        <f>IF(AD8="","",VLOOKUP(AD8,所属コード!$A$2:$G$189,7,FALSE))</f>
        <v/>
      </c>
      <c r="AG8" s="1166"/>
      <c r="AH8" s="77"/>
      <c r="AI8" s="77"/>
      <c r="AJ8" s="77"/>
      <c r="AK8" s="15"/>
      <c r="AM8" s="621"/>
      <c r="AN8" s="1090" t="str">
        <f t="shared" si="5"/>
        <v/>
      </c>
      <c r="AO8" s="618" t="str">
        <f t="shared" si="6"/>
        <v/>
      </c>
      <c r="AP8" s="617"/>
      <c r="AQ8" s="617"/>
      <c r="AR8" s="617"/>
      <c r="AS8" s="617"/>
      <c r="AT8" s="617"/>
      <c r="AU8" s="617"/>
      <c r="AV8" s="620"/>
      <c r="AW8" s="727"/>
      <c r="AX8" s="728"/>
      <c r="AY8" s="728"/>
      <c r="AZ8" s="728"/>
      <c r="BA8" s="728"/>
      <c r="BB8" s="728"/>
      <c r="BC8" s="728"/>
      <c r="BD8" s="728"/>
      <c r="BE8" s="728"/>
      <c r="BF8" s="728"/>
      <c r="BG8" s="728"/>
      <c r="BH8" s="728"/>
      <c r="BI8" s="728"/>
      <c r="BJ8" s="728"/>
      <c r="BK8" s="728"/>
      <c r="BL8" s="742"/>
      <c r="BM8" s="747">
        <f t="shared" si="7"/>
        <v>0</v>
      </c>
      <c r="BN8" s="738">
        <f t="shared" si="0"/>
        <v>0</v>
      </c>
      <c r="BO8" s="729">
        <f t="shared" si="1"/>
        <v>0</v>
      </c>
      <c r="BP8" s="730">
        <f t="shared" si="2"/>
        <v>0</v>
      </c>
      <c r="BQ8" s="729">
        <f t="shared" si="2"/>
        <v>0</v>
      </c>
      <c r="BR8" s="729">
        <f t="shared" si="8"/>
        <v>0</v>
      </c>
      <c r="BS8" s="729">
        <f t="shared" si="9"/>
        <v>0</v>
      </c>
      <c r="BT8" s="729">
        <f t="shared" si="10"/>
        <v>0</v>
      </c>
      <c r="BU8" s="729">
        <f t="shared" si="11"/>
        <v>0</v>
      </c>
      <c r="BV8" s="729">
        <f t="shared" si="12"/>
        <v>0</v>
      </c>
      <c r="BW8" s="729">
        <f t="shared" si="13"/>
        <v>0</v>
      </c>
      <c r="BX8" s="729">
        <f t="shared" si="13"/>
        <v>0</v>
      </c>
      <c r="BY8" s="729">
        <f t="shared" si="14"/>
        <v>0</v>
      </c>
      <c r="BZ8" s="729">
        <f t="shared" si="14"/>
        <v>0</v>
      </c>
      <c r="CA8" s="729">
        <f t="shared" si="15"/>
        <v>0</v>
      </c>
      <c r="CB8" s="729">
        <f t="shared" si="16"/>
        <v>0</v>
      </c>
      <c r="CC8" s="729">
        <f t="shared" si="16"/>
        <v>0</v>
      </c>
      <c r="CD8" s="729">
        <f t="shared" si="16"/>
        <v>0</v>
      </c>
      <c r="CE8" s="729">
        <f t="shared" si="17"/>
        <v>0</v>
      </c>
      <c r="CF8" s="729">
        <f t="shared" si="18"/>
        <v>0</v>
      </c>
      <c r="CG8" s="729">
        <f t="shared" si="19"/>
        <v>0</v>
      </c>
      <c r="CH8" s="729">
        <f t="shared" si="20"/>
        <v>0</v>
      </c>
      <c r="CI8" s="729">
        <f t="shared" si="21"/>
        <v>0</v>
      </c>
      <c r="CJ8" s="729">
        <f t="shared" si="22"/>
        <v>0</v>
      </c>
      <c r="CK8" s="729">
        <f t="shared" si="23"/>
        <v>0</v>
      </c>
      <c r="CL8" s="729">
        <f t="shared" si="24"/>
        <v>0</v>
      </c>
      <c r="CM8" s="729">
        <f t="shared" si="25"/>
        <v>0</v>
      </c>
      <c r="CN8" s="729">
        <f t="shared" si="26"/>
        <v>0</v>
      </c>
      <c r="CO8" s="729">
        <f t="shared" si="27"/>
        <v>0</v>
      </c>
      <c r="CP8" s="729">
        <f t="shared" si="28"/>
        <v>0</v>
      </c>
      <c r="CQ8" s="729">
        <f t="shared" si="29"/>
        <v>0</v>
      </c>
      <c r="CR8" s="729">
        <f t="shared" si="30"/>
        <v>0</v>
      </c>
      <c r="CS8" s="729">
        <f t="shared" si="31"/>
        <v>0</v>
      </c>
      <c r="CT8" s="729">
        <f t="shared" si="31"/>
        <v>0</v>
      </c>
      <c r="CU8" s="731">
        <f t="shared" si="32"/>
        <v>0</v>
      </c>
      <c r="CV8" s="692" t="str">
        <f t="shared" si="33"/>
        <v/>
      </c>
      <c r="CW8" s="659" t="str">
        <f t="shared" si="34"/>
        <v/>
      </c>
      <c r="CX8" s="659" t="str">
        <f t="shared" si="35"/>
        <v/>
      </c>
      <c r="CY8" s="659" t="str">
        <f t="shared" si="36"/>
        <v/>
      </c>
      <c r="CZ8" s="659" t="str">
        <f t="shared" si="37"/>
        <v/>
      </c>
      <c r="DA8" s="659" t="str">
        <f t="shared" si="38"/>
        <v/>
      </c>
      <c r="DB8" s="82" t="str">
        <f t="shared" si="39"/>
        <v/>
      </c>
      <c r="DC8" s="625" t="str">
        <f t="shared" si="3"/>
        <v/>
      </c>
      <c r="DD8" s="625" t="str">
        <f t="shared" si="40"/>
        <v>0</v>
      </c>
      <c r="DE8" s="620">
        <f t="shared" si="41"/>
        <v>0</v>
      </c>
      <c r="DF8" s="1051" t="s">
        <v>11</v>
      </c>
      <c r="DG8" s="1080">
        <v>235005</v>
      </c>
      <c r="DH8" s="625">
        <f t="shared" si="42"/>
        <v>0</v>
      </c>
      <c r="DI8" s="625">
        <f t="shared" si="43"/>
        <v>0</v>
      </c>
      <c r="DJ8" s="626" t="str">
        <f t="shared" si="44"/>
        <v>00</v>
      </c>
    </row>
    <row r="9" spans="1:116" s="5" customFormat="1" ht="15" customHeight="1">
      <c r="A9" s="85"/>
      <c r="B9" s="85"/>
      <c r="C9" s="85"/>
      <c r="D9" s="85"/>
      <c r="E9" s="85"/>
      <c r="F9" s="85"/>
      <c r="G9" s="85"/>
      <c r="H9" s="85"/>
      <c r="I9" s="85"/>
      <c r="J9" s="85"/>
      <c r="K9" s="85"/>
      <c r="L9" s="85"/>
      <c r="M9" s="85"/>
      <c r="N9" s="85"/>
      <c r="O9" s="85"/>
      <c r="P9" s="1235">
        <v>6</v>
      </c>
      <c r="Q9" s="1386"/>
      <c r="R9" s="1387"/>
      <c r="S9" s="1366"/>
      <c r="T9" s="1367"/>
      <c r="U9" s="1391"/>
      <c r="V9" s="1360"/>
      <c r="W9" s="1071"/>
      <c r="X9" s="1072"/>
      <c r="Y9" s="1073"/>
      <c r="Z9" s="1153"/>
      <c r="AA9" s="1153"/>
      <c r="AB9" s="1361"/>
      <c r="AC9" s="1352" t="str">
        <f t="shared" si="4"/>
        <v>00</v>
      </c>
      <c r="AD9" s="524" t="str">
        <f t="shared" si="45"/>
        <v/>
      </c>
      <c r="AE9" s="525" t="str">
        <f>IF(AD9="","",VLOOKUP(AD9,所属コード!$A$2:$E$189,2,FALSE))</f>
        <v/>
      </c>
      <c r="AF9" s="1164" t="str">
        <f>IF(AD9="","",VLOOKUP(AD9,所属コード!$A$2:$G$189,7,FALSE))</f>
        <v/>
      </c>
      <c r="AG9" s="1166"/>
      <c r="AH9" s="77"/>
      <c r="AI9" s="77"/>
      <c r="AJ9" s="77"/>
      <c r="AK9" s="15"/>
      <c r="AM9" s="621"/>
      <c r="AN9" s="1090" t="str">
        <f t="shared" si="5"/>
        <v/>
      </c>
      <c r="AO9" s="618" t="str">
        <f t="shared" si="6"/>
        <v/>
      </c>
      <c r="AP9" s="617"/>
      <c r="AQ9" s="617"/>
      <c r="AR9" s="617"/>
      <c r="AS9" s="617"/>
      <c r="AT9" s="617"/>
      <c r="AU9" s="617"/>
      <c r="AV9" s="620"/>
      <c r="AW9" s="727"/>
      <c r="AX9" s="728"/>
      <c r="AY9" s="728"/>
      <c r="AZ9" s="728"/>
      <c r="BA9" s="728"/>
      <c r="BB9" s="728"/>
      <c r="BC9" s="728"/>
      <c r="BD9" s="728"/>
      <c r="BE9" s="728"/>
      <c r="BF9" s="728"/>
      <c r="BG9" s="728"/>
      <c r="BH9" s="728"/>
      <c r="BI9" s="728"/>
      <c r="BJ9" s="728"/>
      <c r="BK9" s="728"/>
      <c r="BL9" s="742"/>
      <c r="BM9" s="747">
        <f t="shared" si="7"/>
        <v>0</v>
      </c>
      <c r="BN9" s="738">
        <f t="shared" si="0"/>
        <v>0</v>
      </c>
      <c r="BO9" s="729">
        <f t="shared" si="1"/>
        <v>0</v>
      </c>
      <c r="BP9" s="730">
        <f t="shared" si="2"/>
        <v>0</v>
      </c>
      <c r="BQ9" s="729">
        <f t="shared" si="2"/>
        <v>0</v>
      </c>
      <c r="BR9" s="729">
        <f t="shared" si="8"/>
        <v>0</v>
      </c>
      <c r="BS9" s="729">
        <f t="shared" si="9"/>
        <v>0</v>
      </c>
      <c r="BT9" s="729">
        <f t="shared" si="10"/>
        <v>0</v>
      </c>
      <c r="BU9" s="729">
        <f t="shared" si="11"/>
        <v>0</v>
      </c>
      <c r="BV9" s="729">
        <f t="shared" si="12"/>
        <v>0</v>
      </c>
      <c r="BW9" s="729">
        <f t="shared" si="13"/>
        <v>0</v>
      </c>
      <c r="BX9" s="729">
        <f t="shared" si="13"/>
        <v>0</v>
      </c>
      <c r="BY9" s="729">
        <f t="shared" si="14"/>
        <v>0</v>
      </c>
      <c r="BZ9" s="729">
        <f t="shared" si="14"/>
        <v>0</v>
      </c>
      <c r="CA9" s="729">
        <f t="shared" si="15"/>
        <v>0</v>
      </c>
      <c r="CB9" s="729">
        <f t="shared" si="16"/>
        <v>0</v>
      </c>
      <c r="CC9" s="729">
        <f t="shared" si="16"/>
        <v>0</v>
      </c>
      <c r="CD9" s="729">
        <f t="shared" si="16"/>
        <v>0</v>
      </c>
      <c r="CE9" s="729">
        <f t="shared" si="17"/>
        <v>0</v>
      </c>
      <c r="CF9" s="729">
        <f t="shared" si="18"/>
        <v>0</v>
      </c>
      <c r="CG9" s="729">
        <f t="shared" si="19"/>
        <v>0</v>
      </c>
      <c r="CH9" s="729">
        <f t="shared" si="20"/>
        <v>0</v>
      </c>
      <c r="CI9" s="729">
        <f t="shared" si="21"/>
        <v>0</v>
      </c>
      <c r="CJ9" s="729">
        <f t="shared" si="22"/>
        <v>0</v>
      </c>
      <c r="CK9" s="729">
        <f t="shared" si="23"/>
        <v>0</v>
      </c>
      <c r="CL9" s="729">
        <f t="shared" si="24"/>
        <v>0</v>
      </c>
      <c r="CM9" s="729">
        <f t="shared" si="25"/>
        <v>0</v>
      </c>
      <c r="CN9" s="729">
        <f t="shared" si="26"/>
        <v>0</v>
      </c>
      <c r="CO9" s="729">
        <f t="shared" si="27"/>
        <v>0</v>
      </c>
      <c r="CP9" s="729">
        <f t="shared" si="28"/>
        <v>0</v>
      </c>
      <c r="CQ9" s="729">
        <f t="shared" si="29"/>
        <v>0</v>
      </c>
      <c r="CR9" s="729">
        <f t="shared" si="30"/>
        <v>0</v>
      </c>
      <c r="CS9" s="729">
        <f t="shared" si="31"/>
        <v>0</v>
      </c>
      <c r="CT9" s="729">
        <f t="shared" si="31"/>
        <v>0</v>
      </c>
      <c r="CU9" s="731">
        <f t="shared" si="32"/>
        <v>0</v>
      </c>
      <c r="CV9" s="692" t="str">
        <f t="shared" si="33"/>
        <v/>
      </c>
      <c r="CW9" s="659" t="str">
        <f t="shared" si="34"/>
        <v/>
      </c>
      <c r="CX9" s="659" t="str">
        <f t="shared" si="35"/>
        <v/>
      </c>
      <c r="CY9" s="659" t="str">
        <f t="shared" si="36"/>
        <v/>
      </c>
      <c r="CZ9" s="659" t="str">
        <f t="shared" si="37"/>
        <v/>
      </c>
      <c r="DA9" s="659" t="str">
        <f t="shared" si="38"/>
        <v/>
      </c>
      <c r="DB9" s="82" t="str">
        <f t="shared" si="39"/>
        <v/>
      </c>
      <c r="DC9" s="625" t="str">
        <f t="shared" si="3"/>
        <v/>
      </c>
      <c r="DD9" s="625" t="str">
        <f t="shared" si="40"/>
        <v>0</v>
      </c>
      <c r="DE9" s="620">
        <f t="shared" si="41"/>
        <v>0</v>
      </c>
      <c r="DF9" s="1051" t="s">
        <v>153</v>
      </c>
      <c r="DG9" s="1080">
        <v>235006</v>
      </c>
      <c r="DH9" s="625">
        <f t="shared" si="42"/>
        <v>0</v>
      </c>
      <c r="DI9" s="625">
        <f t="shared" si="43"/>
        <v>0</v>
      </c>
      <c r="DJ9" s="626" t="str">
        <f t="shared" si="44"/>
        <v>00</v>
      </c>
    </row>
    <row r="10" spans="1:116" s="5" customFormat="1" ht="15" customHeight="1">
      <c r="A10" s="85"/>
      <c r="B10" s="85"/>
      <c r="C10" s="85"/>
      <c r="D10" s="85"/>
      <c r="E10" s="85"/>
      <c r="F10" s="85"/>
      <c r="G10" s="85"/>
      <c r="H10" s="85"/>
      <c r="I10" s="85"/>
      <c r="J10" s="85"/>
      <c r="K10" s="85"/>
      <c r="L10" s="85"/>
      <c r="M10" s="85"/>
      <c r="N10" s="85"/>
      <c r="O10" s="85"/>
      <c r="P10" s="1235">
        <v>7</v>
      </c>
      <c r="Q10" s="1386"/>
      <c r="R10" s="1387"/>
      <c r="S10" s="1366"/>
      <c r="T10" s="1367"/>
      <c r="U10" s="1391"/>
      <c r="V10" s="1360"/>
      <c r="W10" s="1071"/>
      <c r="X10" s="1072"/>
      <c r="Y10" s="1073"/>
      <c r="Z10" s="1153"/>
      <c r="AA10" s="1153"/>
      <c r="AB10" s="1361"/>
      <c r="AC10" s="1352" t="str">
        <f t="shared" si="4"/>
        <v>00</v>
      </c>
      <c r="AD10" s="524" t="str">
        <f t="shared" si="45"/>
        <v/>
      </c>
      <c r="AE10" s="525" t="str">
        <f>IF(AD10="","",VLOOKUP(AD10,所属コード!$A$2:$E$189,2,FALSE))</f>
        <v/>
      </c>
      <c r="AF10" s="1164" t="str">
        <f>IF(AD10="","",VLOOKUP(AD10,所属コード!$A$2:$G$189,7,FALSE))</f>
        <v/>
      </c>
      <c r="AG10" s="1166"/>
      <c r="AH10" s="77"/>
      <c r="AI10" s="77"/>
      <c r="AJ10" s="77"/>
      <c r="AK10" s="15"/>
      <c r="AM10" s="621"/>
      <c r="AN10" s="1090" t="str">
        <f t="shared" si="5"/>
        <v/>
      </c>
      <c r="AO10" s="618" t="str">
        <f t="shared" si="6"/>
        <v/>
      </c>
      <c r="AP10" s="617"/>
      <c r="AQ10" s="617"/>
      <c r="AR10" s="617"/>
      <c r="AS10" s="617"/>
      <c r="AT10" s="617"/>
      <c r="AU10" s="617"/>
      <c r="AV10" s="620"/>
      <c r="AW10" s="727"/>
      <c r="AX10" s="728"/>
      <c r="AY10" s="728"/>
      <c r="AZ10" s="728"/>
      <c r="BA10" s="728"/>
      <c r="BB10" s="728"/>
      <c r="BC10" s="728"/>
      <c r="BD10" s="728"/>
      <c r="BE10" s="728"/>
      <c r="BF10" s="728"/>
      <c r="BG10" s="728"/>
      <c r="BH10" s="728"/>
      <c r="BI10" s="728"/>
      <c r="BJ10" s="728"/>
      <c r="BK10" s="728"/>
      <c r="BL10" s="742"/>
      <c r="BM10" s="747">
        <f t="shared" si="7"/>
        <v>0</v>
      </c>
      <c r="BN10" s="738">
        <f t="shared" si="0"/>
        <v>0</v>
      </c>
      <c r="BO10" s="729">
        <f t="shared" si="1"/>
        <v>0</v>
      </c>
      <c r="BP10" s="730">
        <f t="shared" si="2"/>
        <v>0</v>
      </c>
      <c r="BQ10" s="729">
        <f t="shared" si="2"/>
        <v>0</v>
      </c>
      <c r="BR10" s="729">
        <f t="shared" si="8"/>
        <v>0</v>
      </c>
      <c r="BS10" s="729">
        <f t="shared" si="9"/>
        <v>0</v>
      </c>
      <c r="BT10" s="729">
        <f t="shared" si="10"/>
        <v>0</v>
      </c>
      <c r="BU10" s="729">
        <f t="shared" si="11"/>
        <v>0</v>
      </c>
      <c r="BV10" s="729">
        <f t="shared" si="12"/>
        <v>0</v>
      </c>
      <c r="BW10" s="729">
        <f t="shared" si="13"/>
        <v>0</v>
      </c>
      <c r="BX10" s="729">
        <f t="shared" si="13"/>
        <v>0</v>
      </c>
      <c r="BY10" s="729">
        <f t="shared" si="14"/>
        <v>0</v>
      </c>
      <c r="BZ10" s="729">
        <f t="shared" si="14"/>
        <v>0</v>
      </c>
      <c r="CA10" s="729">
        <f t="shared" si="15"/>
        <v>0</v>
      </c>
      <c r="CB10" s="729">
        <f t="shared" si="16"/>
        <v>0</v>
      </c>
      <c r="CC10" s="729">
        <f t="shared" si="16"/>
        <v>0</v>
      </c>
      <c r="CD10" s="729">
        <f t="shared" si="16"/>
        <v>0</v>
      </c>
      <c r="CE10" s="729">
        <f t="shared" si="17"/>
        <v>0</v>
      </c>
      <c r="CF10" s="729">
        <f t="shared" si="18"/>
        <v>0</v>
      </c>
      <c r="CG10" s="729">
        <f t="shared" si="19"/>
        <v>0</v>
      </c>
      <c r="CH10" s="729">
        <f t="shared" si="20"/>
        <v>0</v>
      </c>
      <c r="CI10" s="729">
        <f t="shared" si="21"/>
        <v>0</v>
      </c>
      <c r="CJ10" s="729">
        <f t="shared" si="22"/>
        <v>0</v>
      </c>
      <c r="CK10" s="729">
        <f t="shared" si="23"/>
        <v>0</v>
      </c>
      <c r="CL10" s="729">
        <f t="shared" si="24"/>
        <v>0</v>
      </c>
      <c r="CM10" s="729">
        <f t="shared" si="25"/>
        <v>0</v>
      </c>
      <c r="CN10" s="729">
        <f t="shared" si="26"/>
        <v>0</v>
      </c>
      <c r="CO10" s="729">
        <f t="shared" si="27"/>
        <v>0</v>
      </c>
      <c r="CP10" s="729">
        <f t="shared" si="28"/>
        <v>0</v>
      </c>
      <c r="CQ10" s="729">
        <f t="shared" si="29"/>
        <v>0</v>
      </c>
      <c r="CR10" s="729">
        <f t="shared" si="30"/>
        <v>0</v>
      </c>
      <c r="CS10" s="729">
        <f t="shared" si="31"/>
        <v>0</v>
      </c>
      <c r="CT10" s="729">
        <f t="shared" si="31"/>
        <v>0</v>
      </c>
      <c r="CU10" s="731">
        <f t="shared" si="32"/>
        <v>0</v>
      </c>
      <c r="CV10" s="692" t="str">
        <f t="shared" si="33"/>
        <v/>
      </c>
      <c r="CW10" s="659" t="str">
        <f t="shared" si="34"/>
        <v/>
      </c>
      <c r="CX10" s="659" t="str">
        <f t="shared" si="35"/>
        <v/>
      </c>
      <c r="CY10" s="659" t="str">
        <f t="shared" si="36"/>
        <v/>
      </c>
      <c r="CZ10" s="659" t="str">
        <f t="shared" si="37"/>
        <v/>
      </c>
      <c r="DA10" s="659" t="str">
        <f t="shared" si="38"/>
        <v/>
      </c>
      <c r="DB10" s="82" t="str">
        <f t="shared" si="39"/>
        <v/>
      </c>
      <c r="DC10" s="625" t="str">
        <f t="shared" si="3"/>
        <v/>
      </c>
      <c r="DD10" s="625" t="str">
        <f t="shared" si="40"/>
        <v>0</v>
      </c>
      <c r="DE10" s="620">
        <f t="shared" si="41"/>
        <v>0</v>
      </c>
      <c r="DF10" s="1051" t="s">
        <v>40</v>
      </c>
      <c r="DG10" s="1080">
        <v>235007</v>
      </c>
      <c r="DH10" s="625">
        <f t="shared" si="42"/>
        <v>0</v>
      </c>
      <c r="DI10" s="625">
        <f t="shared" si="43"/>
        <v>0</v>
      </c>
      <c r="DJ10" s="626" t="str">
        <f t="shared" si="44"/>
        <v>00</v>
      </c>
    </row>
    <row r="11" spans="1:116" ht="15" customHeight="1">
      <c r="A11" s="85"/>
      <c r="B11" s="85"/>
      <c r="C11" s="85"/>
      <c r="D11" s="85"/>
      <c r="E11" s="85"/>
      <c r="F11" s="85"/>
      <c r="G11" s="85"/>
      <c r="H11" s="85"/>
      <c r="I11" s="85"/>
      <c r="J11" s="85"/>
      <c r="K11" s="85"/>
      <c r="L11" s="85"/>
      <c r="M11" s="85"/>
      <c r="N11" s="85"/>
      <c r="O11" s="85"/>
      <c r="P11" s="1235">
        <v>8</v>
      </c>
      <c r="Q11" s="1386"/>
      <c r="R11" s="1387"/>
      <c r="S11" s="1366"/>
      <c r="T11" s="1367"/>
      <c r="U11" s="1391"/>
      <c r="V11" s="1360"/>
      <c r="W11" s="1071"/>
      <c r="X11" s="1072"/>
      <c r="Y11" s="1073"/>
      <c r="Z11" s="1153"/>
      <c r="AA11" s="1153"/>
      <c r="AB11" s="1361"/>
      <c r="AC11" s="1352" t="str">
        <f t="shared" si="4"/>
        <v>00</v>
      </c>
      <c r="AD11" s="524" t="str">
        <f t="shared" si="45"/>
        <v/>
      </c>
      <c r="AE11" s="525" t="str">
        <f>IF(AD11="","",VLOOKUP(AD11,所属コード!$A$2:$E$189,2,FALSE))</f>
        <v/>
      </c>
      <c r="AF11" s="1164" t="str">
        <f>IF(AD11="","",VLOOKUP(AD11,所属コード!$A$2:$G$189,7,FALSE))</f>
        <v/>
      </c>
      <c r="AG11" s="1166"/>
      <c r="AH11" s="77"/>
      <c r="AI11" s="77"/>
      <c r="AJ11" s="77"/>
      <c r="AK11" s="15"/>
      <c r="AM11" s="621"/>
      <c r="AN11" s="1090" t="str">
        <f t="shared" si="5"/>
        <v/>
      </c>
      <c r="AO11" s="618" t="str">
        <f t="shared" si="6"/>
        <v/>
      </c>
      <c r="AP11" s="617"/>
      <c r="AQ11" s="617"/>
      <c r="AR11" s="617"/>
      <c r="AS11" s="617"/>
      <c r="AT11" s="617"/>
      <c r="AU11" s="617"/>
      <c r="AV11" s="620"/>
      <c r="AW11" s="727"/>
      <c r="AX11" s="728"/>
      <c r="AY11" s="728"/>
      <c r="AZ11" s="728"/>
      <c r="BA11" s="728"/>
      <c r="BB11" s="728"/>
      <c r="BC11" s="728"/>
      <c r="BD11" s="728"/>
      <c r="BE11" s="728"/>
      <c r="BF11" s="728"/>
      <c r="BG11" s="728"/>
      <c r="BH11" s="728"/>
      <c r="BI11" s="728"/>
      <c r="BJ11" s="728"/>
      <c r="BK11" s="728"/>
      <c r="BL11" s="742"/>
      <c r="BM11" s="747">
        <f t="shared" si="7"/>
        <v>0</v>
      </c>
      <c r="BN11" s="738">
        <f t="shared" si="0"/>
        <v>0</v>
      </c>
      <c r="BO11" s="729">
        <f t="shared" si="1"/>
        <v>0</v>
      </c>
      <c r="BP11" s="730">
        <f t="shared" si="2"/>
        <v>0</v>
      </c>
      <c r="BQ11" s="729">
        <f t="shared" si="2"/>
        <v>0</v>
      </c>
      <c r="BR11" s="729">
        <f t="shared" si="8"/>
        <v>0</v>
      </c>
      <c r="BS11" s="729">
        <f t="shared" si="9"/>
        <v>0</v>
      </c>
      <c r="BT11" s="729">
        <f t="shared" si="10"/>
        <v>0</v>
      </c>
      <c r="BU11" s="729">
        <f t="shared" si="11"/>
        <v>0</v>
      </c>
      <c r="BV11" s="729">
        <f t="shared" si="12"/>
        <v>0</v>
      </c>
      <c r="BW11" s="729">
        <f t="shared" si="13"/>
        <v>0</v>
      </c>
      <c r="BX11" s="729">
        <f t="shared" si="13"/>
        <v>0</v>
      </c>
      <c r="BY11" s="729">
        <f t="shared" si="14"/>
        <v>0</v>
      </c>
      <c r="BZ11" s="729">
        <f t="shared" si="14"/>
        <v>0</v>
      </c>
      <c r="CA11" s="729">
        <f t="shared" si="15"/>
        <v>0</v>
      </c>
      <c r="CB11" s="729">
        <f t="shared" si="16"/>
        <v>0</v>
      </c>
      <c r="CC11" s="729">
        <f t="shared" si="16"/>
        <v>0</v>
      </c>
      <c r="CD11" s="729">
        <f t="shared" si="16"/>
        <v>0</v>
      </c>
      <c r="CE11" s="729">
        <f t="shared" si="17"/>
        <v>0</v>
      </c>
      <c r="CF11" s="729">
        <f t="shared" si="18"/>
        <v>0</v>
      </c>
      <c r="CG11" s="729">
        <f t="shared" si="19"/>
        <v>0</v>
      </c>
      <c r="CH11" s="729">
        <f t="shared" si="20"/>
        <v>0</v>
      </c>
      <c r="CI11" s="729">
        <f t="shared" si="21"/>
        <v>0</v>
      </c>
      <c r="CJ11" s="729">
        <f t="shared" si="22"/>
        <v>0</v>
      </c>
      <c r="CK11" s="729">
        <f t="shared" si="23"/>
        <v>0</v>
      </c>
      <c r="CL11" s="729">
        <f t="shared" si="24"/>
        <v>0</v>
      </c>
      <c r="CM11" s="729">
        <f t="shared" si="25"/>
        <v>0</v>
      </c>
      <c r="CN11" s="729">
        <f t="shared" si="26"/>
        <v>0</v>
      </c>
      <c r="CO11" s="729">
        <f t="shared" si="27"/>
        <v>0</v>
      </c>
      <c r="CP11" s="729">
        <f t="shared" si="28"/>
        <v>0</v>
      </c>
      <c r="CQ11" s="729">
        <f t="shared" si="29"/>
        <v>0</v>
      </c>
      <c r="CR11" s="729">
        <f t="shared" si="30"/>
        <v>0</v>
      </c>
      <c r="CS11" s="729">
        <f t="shared" si="31"/>
        <v>0</v>
      </c>
      <c r="CT11" s="729">
        <f t="shared" si="31"/>
        <v>0</v>
      </c>
      <c r="CU11" s="731">
        <f t="shared" si="32"/>
        <v>0</v>
      </c>
      <c r="CV11" s="692" t="str">
        <f t="shared" si="33"/>
        <v/>
      </c>
      <c r="CW11" s="659" t="str">
        <f t="shared" si="34"/>
        <v/>
      </c>
      <c r="CX11" s="659" t="str">
        <f t="shared" si="35"/>
        <v/>
      </c>
      <c r="CY11" s="659" t="str">
        <f t="shared" si="36"/>
        <v/>
      </c>
      <c r="CZ11" s="659" t="str">
        <f t="shared" si="37"/>
        <v/>
      </c>
      <c r="DA11" s="659" t="str">
        <f t="shared" si="38"/>
        <v/>
      </c>
      <c r="DB11" s="82" t="str">
        <f t="shared" si="39"/>
        <v/>
      </c>
      <c r="DC11" s="625" t="str">
        <f t="shared" si="3"/>
        <v/>
      </c>
      <c r="DD11" s="625" t="str">
        <f t="shared" si="40"/>
        <v>0</v>
      </c>
      <c r="DE11" s="620">
        <f t="shared" si="41"/>
        <v>0</v>
      </c>
      <c r="DF11" s="1051" t="s">
        <v>12</v>
      </c>
      <c r="DG11" s="1080">
        <v>235008</v>
      </c>
      <c r="DH11" s="625">
        <f t="shared" si="42"/>
        <v>0</v>
      </c>
      <c r="DI11" s="625">
        <f t="shared" si="43"/>
        <v>0</v>
      </c>
      <c r="DJ11" s="626" t="str">
        <f t="shared" si="44"/>
        <v>00</v>
      </c>
    </row>
    <row r="12" spans="1:116" ht="15" customHeight="1">
      <c r="A12" s="85"/>
      <c r="B12" s="85"/>
      <c r="C12" s="85"/>
      <c r="D12" s="85"/>
      <c r="E12" s="85"/>
      <c r="F12" s="85"/>
      <c r="G12" s="85"/>
      <c r="H12" s="85"/>
      <c r="I12" s="85"/>
      <c r="J12" s="85"/>
      <c r="K12" s="85"/>
      <c r="L12" s="85"/>
      <c r="M12" s="85"/>
      <c r="N12" s="85"/>
      <c r="O12" s="85"/>
      <c r="P12" s="1235">
        <v>9</v>
      </c>
      <c r="Q12" s="1386"/>
      <c r="R12" s="1387"/>
      <c r="S12" s="1366"/>
      <c r="T12" s="1367"/>
      <c r="U12" s="1391"/>
      <c r="V12" s="1360"/>
      <c r="W12" s="1071"/>
      <c r="X12" s="1072"/>
      <c r="Y12" s="1073"/>
      <c r="Z12" s="1153"/>
      <c r="AA12" s="1153"/>
      <c r="AB12" s="1361"/>
      <c r="AC12" s="1352" t="str">
        <f t="shared" si="4"/>
        <v>00</v>
      </c>
      <c r="AD12" s="524" t="str">
        <f t="shared" si="45"/>
        <v/>
      </c>
      <c r="AE12" s="525" t="str">
        <f>IF(AD12="","",VLOOKUP(AD12,所属コード!$A$2:$E$189,2,FALSE))</f>
        <v/>
      </c>
      <c r="AF12" s="1164" t="str">
        <f>IF(AD12="","",VLOOKUP(AD12,所属コード!$A$2:$G$189,7,FALSE))</f>
        <v/>
      </c>
      <c r="AG12" s="1166"/>
      <c r="AH12" s="77"/>
      <c r="AI12" s="77"/>
      <c r="AJ12" s="77"/>
      <c r="AK12" s="15"/>
      <c r="AM12" s="621"/>
      <c r="AN12" s="1090" t="str">
        <f t="shared" si="5"/>
        <v/>
      </c>
      <c r="AO12" s="618" t="str">
        <f t="shared" si="6"/>
        <v/>
      </c>
      <c r="AP12" s="617"/>
      <c r="AQ12" s="617"/>
      <c r="AR12" s="617"/>
      <c r="AS12" s="617"/>
      <c r="AT12" s="617"/>
      <c r="AU12" s="617"/>
      <c r="AV12" s="620"/>
      <c r="AW12" s="727"/>
      <c r="AX12" s="728"/>
      <c r="AY12" s="728"/>
      <c r="AZ12" s="728"/>
      <c r="BA12" s="728"/>
      <c r="BB12" s="728"/>
      <c r="BC12" s="728"/>
      <c r="BD12" s="728"/>
      <c r="BE12" s="728"/>
      <c r="BF12" s="728"/>
      <c r="BG12" s="728"/>
      <c r="BH12" s="728"/>
      <c r="BI12" s="728"/>
      <c r="BJ12" s="728"/>
      <c r="BK12" s="728"/>
      <c r="BL12" s="742"/>
      <c r="BM12" s="747">
        <f t="shared" si="7"/>
        <v>0</v>
      </c>
      <c r="BN12" s="738">
        <f t="shared" si="0"/>
        <v>0</v>
      </c>
      <c r="BO12" s="729">
        <f t="shared" si="1"/>
        <v>0</v>
      </c>
      <c r="BP12" s="730">
        <f t="shared" si="2"/>
        <v>0</v>
      </c>
      <c r="BQ12" s="729">
        <f t="shared" si="2"/>
        <v>0</v>
      </c>
      <c r="BR12" s="729">
        <f t="shared" si="8"/>
        <v>0</v>
      </c>
      <c r="BS12" s="729">
        <f t="shared" si="9"/>
        <v>0</v>
      </c>
      <c r="BT12" s="729">
        <f t="shared" si="10"/>
        <v>0</v>
      </c>
      <c r="BU12" s="729">
        <f t="shared" si="11"/>
        <v>0</v>
      </c>
      <c r="BV12" s="729">
        <f t="shared" si="12"/>
        <v>0</v>
      </c>
      <c r="BW12" s="729">
        <f t="shared" si="13"/>
        <v>0</v>
      </c>
      <c r="BX12" s="729">
        <f t="shared" si="13"/>
        <v>0</v>
      </c>
      <c r="BY12" s="729">
        <f t="shared" si="14"/>
        <v>0</v>
      </c>
      <c r="BZ12" s="729">
        <f t="shared" si="14"/>
        <v>0</v>
      </c>
      <c r="CA12" s="729">
        <f t="shared" si="15"/>
        <v>0</v>
      </c>
      <c r="CB12" s="729">
        <f t="shared" si="16"/>
        <v>0</v>
      </c>
      <c r="CC12" s="729">
        <f t="shared" si="16"/>
        <v>0</v>
      </c>
      <c r="CD12" s="729">
        <f t="shared" si="16"/>
        <v>0</v>
      </c>
      <c r="CE12" s="729">
        <f t="shared" si="17"/>
        <v>0</v>
      </c>
      <c r="CF12" s="729">
        <f t="shared" si="18"/>
        <v>0</v>
      </c>
      <c r="CG12" s="729">
        <f t="shared" si="19"/>
        <v>0</v>
      </c>
      <c r="CH12" s="729">
        <f t="shared" si="20"/>
        <v>0</v>
      </c>
      <c r="CI12" s="729">
        <f t="shared" si="21"/>
        <v>0</v>
      </c>
      <c r="CJ12" s="729">
        <f t="shared" si="22"/>
        <v>0</v>
      </c>
      <c r="CK12" s="729">
        <f t="shared" si="23"/>
        <v>0</v>
      </c>
      <c r="CL12" s="729">
        <f t="shared" si="24"/>
        <v>0</v>
      </c>
      <c r="CM12" s="729">
        <f t="shared" si="25"/>
        <v>0</v>
      </c>
      <c r="CN12" s="729">
        <f t="shared" si="26"/>
        <v>0</v>
      </c>
      <c r="CO12" s="729">
        <f t="shared" si="27"/>
        <v>0</v>
      </c>
      <c r="CP12" s="729">
        <f t="shared" si="28"/>
        <v>0</v>
      </c>
      <c r="CQ12" s="729">
        <f t="shared" si="29"/>
        <v>0</v>
      </c>
      <c r="CR12" s="729">
        <f t="shared" si="30"/>
        <v>0</v>
      </c>
      <c r="CS12" s="729">
        <f t="shared" si="31"/>
        <v>0</v>
      </c>
      <c r="CT12" s="729">
        <f t="shared" si="31"/>
        <v>0</v>
      </c>
      <c r="CU12" s="731">
        <f t="shared" si="32"/>
        <v>0</v>
      </c>
      <c r="CV12" s="692" t="str">
        <f t="shared" si="33"/>
        <v/>
      </c>
      <c r="CW12" s="659" t="str">
        <f t="shared" si="34"/>
        <v/>
      </c>
      <c r="CX12" s="659" t="str">
        <f t="shared" si="35"/>
        <v/>
      </c>
      <c r="CY12" s="659" t="str">
        <f t="shared" si="36"/>
        <v/>
      </c>
      <c r="CZ12" s="659" t="str">
        <f t="shared" si="37"/>
        <v/>
      </c>
      <c r="DA12" s="659" t="str">
        <f t="shared" si="38"/>
        <v/>
      </c>
      <c r="DB12" s="82" t="str">
        <f t="shared" si="39"/>
        <v/>
      </c>
      <c r="DC12" s="625" t="str">
        <f t="shared" si="3"/>
        <v/>
      </c>
      <c r="DD12" s="625" t="str">
        <f t="shared" si="40"/>
        <v>0</v>
      </c>
      <c r="DE12" s="620">
        <f t="shared" si="41"/>
        <v>0</v>
      </c>
      <c r="DF12" s="1051" t="s">
        <v>173</v>
      </c>
      <c r="DG12" s="1080">
        <v>235009</v>
      </c>
      <c r="DH12" s="625">
        <f t="shared" si="42"/>
        <v>0</v>
      </c>
      <c r="DI12" s="625">
        <f t="shared" si="43"/>
        <v>0</v>
      </c>
      <c r="DJ12" s="626" t="str">
        <f t="shared" si="44"/>
        <v>00</v>
      </c>
    </row>
    <row r="13" spans="1:116" ht="15" customHeight="1">
      <c r="A13" s="85"/>
      <c r="B13" s="85"/>
      <c r="C13" s="85"/>
      <c r="D13" s="85"/>
      <c r="E13" s="85"/>
      <c r="F13" s="85"/>
      <c r="G13" s="85"/>
      <c r="H13" s="85"/>
      <c r="I13" s="85"/>
      <c r="J13" s="85"/>
      <c r="K13" s="85"/>
      <c r="L13" s="85"/>
      <c r="M13" s="85"/>
      <c r="N13" s="85"/>
      <c r="O13" s="85"/>
      <c r="P13" s="1235">
        <v>10</v>
      </c>
      <c r="Q13" s="1386"/>
      <c r="R13" s="1387"/>
      <c r="S13" s="1366"/>
      <c r="T13" s="1367"/>
      <c r="U13" s="1391"/>
      <c r="V13" s="1360"/>
      <c r="W13" s="1071"/>
      <c r="X13" s="1072"/>
      <c r="Y13" s="1073"/>
      <c r="Z13" s="1153"/>
      <c r="AA13" s="1153"/>
      <c r="AB13" s="1361"/>
      <c r="AC13" s="1352" t="str">
        <f t="shared" si="4"/>
        <v>00</v>
      </c>
      <c r="AD13" s="524" t="str">
        <f t="shared" si="45"/>
        <v/>
      </c>
      <c r="AE13" s="525" t="str">
        <f>IF(AD13="","",VLOOKUP(AD13,所属コード!$A$2:$E$189,2,FALSE))</f>
        <v/>
      </c>
      <c r="AF13" s="1164" t="str">
        <f>IF(AD13="","",VLOOKUP(AD13,所属コード!$A$2:$G$189,7,FALSE))</f>
        <v/>
      </c>
      <c r="AG13" s="1166"/>
      <c r="AH13" s="77"/>
      <c r="AI13" s="77"/>
      <c r="AJ13" s="77"/>
      <c r="AK13" s="15"/>
      <c r="AM13" s="621"/>
      <c r="AN13" s="1090" t="str">
        <f t="shared" si="5"/>
        <v/>
      </c>
      <c r="AO13" s="618" t="str">
        <f t="shared" si="6"/>
        <v/>
      </c>
      <c r="AP13" s="617"/>
      <c r="AQ13" s="617"/>
      <c r="AR13" s="617"/>
      <c r="AS13" s="617"/>
      <c r="AT13" s="617"/>
      <c r="AU13" s="617"/>
      <c r="AV13" s="620"/>
      <c r="AW13" s="727"/>
      <c r="AX13" s="728"/>
      <c r="AY13" s="728"/>
      <c r="AZ13" s="728"/>
      <c r="BA13" s="728"/>
      <c r="BB13" s="728"/>
      <c r="BC13" s="728"/>
      <c r="BD13" s="728"/>
      <c r="BE13" s="728"/>
      <c r="BF13" s="728"/>
      <c r="BG13" s="728"/>
      <c r="BH13" s="728"/>
      <c r="BI13" s="728"/>
      <c r="BJ13" s="728"/>
      <c r="BK13" s="728"/>
      <c r="BL13" s="742"/>
      <c r="BM13" s="747">
        <f t="shared" si="7"/>
        <v>0</v>
      </c>
      <c r="BN13" s="738">
        <f t="shared" si="0"/>
        <v>0</v>
      </c>
      <c r="BO13" s="729">
        <f t="shared" si="1"/>
        <v>0</v>
      </c>
      <c r="BP13" s="730">
        <f t="shared" si="2"/>
        <v>0</v>
      </c>
      <c r="BQ13" s="729">
        <f t="shared" si="2"/>
        <v>0</v>
      </c>
      <c r="BR13" s="729">
        <f t="shared" si="8"/>
        <v>0</v>
      </c>
      <c r="BS13" s="729">
        <f t="shared" si="9"/>
        <v>0</v>
      </c>
      <c r="BT13" s="729">
        <f t="shared" si="10"/>
        <v>0</v>
      </c>
      <c r="BU13" s="729">
        <f t="shared" si="11"/>
        <v>0</v>
      </c>
      <c r="BV13" s="729">
        <f t="shared" si="12"/>
        <v>0</v>
      </c>
      <c r="BW13" s="729">
        <f t="shared" si="13"/>
        <v>0</v>
      </c>
      <c r="BX13" s="729">
        <f t="shared" si="13"/>
        <v>0</v>
      </c>
      <c r="BY13" s="729">
        <f t="shared" si="14"/>
        <v>0</v>
      </c>
      <c r="BZ13" s="729">
        <f t="shared" si="14"/>
        <v>0</v>
      </c>
      <c r="CA13" s="729">
        <f t="shared" si="15"/>
        <v>0</v>
      </c>
      <c r="CB13" s="729">
        <f t="shared" si="16"/>
        <v>0</v>
      </c>
      <c r="CC13" s="729">
        <f t="shared" si="16"/>
        <v>0</v>
      </c>
      <c r="CD13" s="729">
        <f t="shared" si="16"/>
        <v>0</v>
      </c>
      <c r="CE13" s="729">
        <f t="shared" si="17"/>
        <v>0</v>
      </c>
      <c r="CF13" s="729">
        <f t="shared" si="18"/>
        <v>0</v>
      </c>
      <c r="CG13" s="729">
        <f t="shared" si="19"/>
        <v>0</v>
      </c>
      <c r="CH13" s="729">
        <f t="shared" si="20"/>
        <v>0</v>
      </c>
      <c r="CI13" s="729">
        <f t="shared" si="21"/>
        <v>0</v>
      </c>
      <c r="CJ13" s="729">
        <f t="shared" si="22"/>
        <v>0</v>
      </c>
      <c r="CK13" s="729">
        <f t="shared" si="23"/>
        <v>0</v>
      </c>
      <c r="CL13" s="729">
        <f t="shared" si="24"/>
        <v>0</v>
      </c>
      <c r="CM13" s="729">
        <f t="shared" si="25"/>
        <v>0</v>
      </c>
      <c r="CN13" s="729">
        <f t="shared" si="26"/>
        <v>0</v>
      </c>
      <c r="CO13" s="729">
        <f t="shared" si="27"/>
        <v>0</v>
      </c>
      <c r="CP13" s="729">
        <f t="shared" si="28"/>
        <v>0</v>
      </c>
      <c r="CQ13" s="729">
        <f t="shared" si="29"/>
        <v>0</v>
      </c>
      <c r="CR13" s="729">
        <f t="shared" si="30"/>
        <v>0</v>
      </c>
      <c r="CS13" s="729">
        <f t="shared" si="31"/>
        <v>0</v>
      </c>
      <c r="CT13" s="729">
        <f t="shared" si="31"/>
        <v>0</v>
      </c>
      <c r="CU13" s="731">
        <f t="shared" si="32"/>
        <v>0</v>
      </c>
      <c r="CV13" s="692" t="str">
        <f t="shared" si="33"/>
        <v/>
      </c>
      <c r="CW13" s="659" t="str">
        <f t="shared" si="34"/>
        <v/>
      </c>
      <c r="CX13" s="659" t="str">
        <f t="shared" si="35"/>
        <v/>
      </c>
      <c r="CY13" s="659" t="str">
        <f t="shared" si="36"/>
        <v/>
      </c>
      <c r="CZ13" s="659" t="str">
        <f t="shared" si="37"/>
        <v/>
      </c>
      <c r="DA13" s="659" t="str">
        <f t="shared" si="38"/>
        <v/>
      </c>
      <c r="DB13" s="82" t="str">
        <f t="shared" si="39"/>
        <v/>
      </c>
      <c r="DC13" s="625" t="str">
        <f t="shared" si="3"/>
        <v/>
      </c>
      <c r="DD13" s="625" t="str">
        <f t="shared" si="40"/>
        <v>0</v>
      </c>
      <c r="DE13" s="620">
        <f t="shared" si="41"/>
        <v>0</v>
      </c>
      <c r="DF13" s="1051" t="s">
        <v>171</v>
      </c>
      <c r="DG13" s="1080">
        <v>235010</v>
      </c>
      <c r="DH13" s="625">
        <f t="shared" si="42"/>
        <v>0</v>
      </c>
      <c r="DI13" s="625">
        <f t="shared" si="43"/>
        <v>0</v>
      </c>
      <c r="DJ13" s="626" t="str">
        <f t="shared" si="44"/>
        <v>00</v>
      </c>
    </row>
    <row r="14" spans="1:116" ht="15" customHeight="1">
      <c r="A14" s="85"/>
      <c r="B14" s="85"/>
      <c r="C14" s="85"/>
      <c r="D14" s="85"/>
      <c r="E14" s="85"/>
      <c r="F14" s="85"/>
      <c r="G14" s="85"/>
      <c r="H14" s="85"/>
      <c r="I14" s="85"/>
      <c r="J14" s="85"/>
      <c r="K14" s="85"/>
      <c r="L14" s="85"/>
      <c r="M14" s="85"/>
      <c r="N14" s="85"/>
      <c r="O14" s="85"/>
      <c r="P14" s="1235">
        <v>11</v>
      </c>
      <c r="Q14" s="1386"/>
      <c r="R14" s="1387"/>
      <c r="S14" s="1366"/>
      <c r="T14" s="1367"/>
      <c r="U14" s="1391"/>
      <c r="V14" s="1360"/>
      <c r="W14" s="1071"/>
      <c r="X14" s="1072"/>
      <c r="Y14" s="1073"/>
      <c r="Z14" s="1153"/>
      <c r="AA14" s="1153"/>
      <c r="AB14" s="1361"/>
      <c r="AC14" s="1352" t="str">
        <f t="shared" si="4"/>
        <v>00</v>
      </c>
      <c r="AD14" s="524" t="str">
        <f t="shared" si="45"/>
        <v/>
      </c>
      <c r="AE14" s="525" t="str">
        <f>IF(AD14="","",VLOOKUP(AD14,所属コード!$A$2:$E$189,2,FALSE))</f>
        <v/>
      </c>
      <c r="AF14" s="1164" t="str">
        <f>IF(AD14="","",VLOOKUP(AD14,所属コード!$A$2:$G$189,7,FALSE))</f>
        <v/>
      </c>
      <c r="AG14" s="1166"/>
      <c r="AH14" s="77"/>
      <c r="AI14" s="77"/>
      <c r="AJ14" s="77"/>
      <c r="AK14" s="15"/>
      <c r="AM14" s="621"/>
      <c r="AN14" s="1090" t="str">
        <f t="shared" si="5"/>
        <v/>
      </c>
      <c r="AO14" s="618" t="str">
        <f t="shared" si="6"/>
        <v/>
      </c>
      <c r="AP14" s="617"/>
      <c r="AQ14" s="617"/>
      <c r="AR14" s="617"/>
      <c r="AS14" s="617"/>
      <c r="AT14" s="617"/>
      <c r="AU14" s="617"/>
      <c r="AV14" s="620"/>
      <c r="AW14" s="727"/>
      <c r="AX14" s="728"/>
      <c r="AY14" s="728"/>
      <c r="AZ14" s="728"/>
      <c r="BA14" s="728"/>
      <c r="BB14" s="728"/>
      <c r="BC14" s="728"/>
      <c r="BD14" s="728"/>
      <c r="BE14" s="728"/>
      <c r="BF14" s="728"/>
      <c r="BG14" s="728"/>
      <c r="BH14" s="728"/>
      <c r="BI14" s="728"/>
      <c r="BJ14" s="728"/>
      <c r="BK14" s="728"/>
      <c r="BL14" s="742"/>
      <c r="BM14" s="747">
        <f t="shared" si="7"/>
        <v>0</v>
      </c>
      <c r="BN14" s="738">
        <f t="shared" si="0"/>
        <v>0</v>
      </c>
      <c r="BO14" s="729">
        <f t="shared" si="1"/>
        <v>0</v>
      </c>
      <c r="BP14" s="730">
        <f t="shared" si="2"/>
        <v>0</v>
      </c>
      <c r="BQ14" s="729">
        <f t="shared" si="2"/>
        <v>0</v>
      </c>
      <c r="BR14" s="729">
        <f t="shared" si="8"/>
        <v>0</v>
      </c>
      <c r="BS14" s="729">
        <f t="shared" si="9"/>
        <v>0</v>
      </c>
      <c r="BT14" s="729">
        <f t="shared" si="10"/>
        <v>0</v>
      </c>
      <c r="BU14" s="729">
        <f t="shared" si="11"/>
        <v>0</v>
      </c>
      <c r="BV14" s="729">
        <f t="shared" si="12"/>
        <v>0</v>
      </c>
      <c r="BW14" s="729">
        <f t="shared" si="13"/>
        <v>0</v>
      </c>
      <c r="BX14" s="729">
        <f t="shared" si="13"/>
        <v>0</v>
      </c>
      <c r="BY14" s="729">
        <f t="shared" si="14"/>
        <v>0</v>
      </c>
      <c r="BZ14" s="729">
        <f t="shared" si="14"/>
        <v>0</v>
      </c>
      <c r="CA14" s="729">
        <f t="shared" si="15"/>
        <v>0</v>
      </c>
      <c r="CB14" s="729">
        <f t="shared" si="16"/>
        <v>0</v>
      </c>
      <c r="CC14" s="729">
        <f t="shared" si="16"/>
        <v>0</v>
      </c>
      <c r="CD14" s="729">
        <f t="shared" si="16"/>
        <v>0</v>
      </c>
      <c r="CE14" s="729">
        <f t="shared" si="17"/>
        <v>0</v>
      </c>
      <c r="CF14" s="729">
        <f t="shared" si="18"/>
        <v>0</v>
      </c>
      <c r="CG14" s="729">
        <f t="shared" si="19"/>
        <v>0</v>
      </c>
      <c r="CH14" s="729">
        <f t="shared" si="20"/>
        <v>0</v>
      </c>
      <c r="CI14" s="729">
        <f t="shared" si="21"/>
        <v>0</v>
      </c>
      <c r="CJ14" s="729">
        <f t="shared" si="22"/>
        <v>0</v>
      </c>
      <c r="CK14" s="729">
        <f t="shared" si="23"/>
        <v>0</v>
      </c>
      <c r="CL14" s="729">
        <f t="shared" si="24"/>
        <v>0</v>
      </c>
      <c r="CM14" s="729">
        <f t="shared" si="25"/>
        <v>0</v>
      </c>
      <c r="CN14" s="729">
        <f t="shared" si="26"/>
        <v>0</v>
      </c>
      <c r="CO14" s="729">
        <f t="shared" si="27"/>
        <v>0</v>
      </c>
      <c r="CP14" s="729">
        <f t="shared" si="28"/>
        <v>0</v>
      </c>
      <c r="CQ14" s="729">
        <f t="shared" si="29"/>
        <v>0</v>
      </c>
      <c r="CR14" s="729">
        <f t="shared" si="30"/>
        <v>0</v>
      </c>
      <c r="CS14" s="729">
        <f t="shared" si="31"/>
        <v>0</v>
      </c>
      <c r="CT14" s="729">
        <f t="shared" si="31"/>
        <v>0</v>
      </c>
      <c r="CU14" s="731">
        <f t="shared" si="32"/>
        <v>0</v>
      </c>
      <c r="CV14" s="692" t="str">
        <f t="shared" si="33"/>
        <v/>
      </c>
      <c r="CW14" s="659" t="str">
        <f t="shared" si="34"/>
        <v/>
      </c>
      <c r="CX14" s="659" t="str">
        <f t="shared" si="35"/>
        <v/>
      </c>
      <c r="CY14" s="659" t="str">
        <f t="shared" si="36"/>
        <v/>
      </c>
      <c r="CZ14" s="659" t="str">
        <f t="shared" si="37"/>
        <v/>
      </c>
      <c r="DA14" s="659" t="str">
        <f t="shared" si="38"/>
        <v/>
      </c>
      <c r="DB14" s="82" t="str">
        <f t="shared" si="39"/>
        <v/>
      </c>
      <c r="DC14" s="625" t="str">
        <f t="shared" si="3"/>
        <v/>
      </c>
      <c r="DD14" s="625" t="str">
        <f t="shared" si="40"/>
        <v>0</v>
      </c>
      <c r="DE14" s="620">
        <f t="shared" si="41"/>
        <v>0</v>
      </c>
      <c r="DF14" s="1051" t="s">
        <v>41</v>
      </c>
      <c r="DG14" s="1080">
        <v>235011</v>
      </c>
      <c r="DH14" s="625">
        <f t="shared" si="42"/>
        <v>0</v>
      </c>
      <c r="DI14" s="625">
        <f t="shared" si="43"/>
        <v>0</v>
      </c>
      <c r="DJ14" s="626" t="str">
        <f t="shared" si="44"/>
        <v>00</v>
      </c>
    </row>
    <row r="15" spans="1:116" s="5" customFormat="1" ht="15" customHeight="1">
      <c r="A15" s="85"/>
      <c r="B15" s="85"/>
      <c r="C15" s="85"/>
      <c r="D15" s="85"/>
      <c r="E15" s="85"/>
      <c r="F15" s="85"/>
      <c r="G15" s="85"/>
      <c r="H15" s="85"/>
      <c r="I15" s="85"/>
      <c r="J15" s="85"/>
      <c r="K15" s="85"/>
      <c r="L15" s="85"/>
      <c r="M15" s="85"/>
      <c r="N15" s="85"/>
      <c r="O15" s="85"/>
      <c r="P15" s="1235">
        <v>12</v>
      </c>
      <c r="Q15" s="1386"/>
      <c r="R15" s="1387"/>
      <c r="S15" s="1366"/>
      <c r="T15" s="1367"/>
      <c r="U15" s="1391"/>
      <c r="V15" s="1360"/>
      <c r="W15" s="1071"/>
      <c r="X15" s="1072"/>
      <c r="Y15" s="1073"/>
      <c r="Z15" s="1153"/>
      <c r="AA15" s="1153"/>
      <c r="AB15" s="1361"/>
      <c r="AC15" s="1352" t="str">
        <f t="shared" si="4"/>
        <v>00</v>
      </c>
      <c r="AD15" s="524" t="str">
        <f t="shared" si="45"/>
        <v/>
      </c>
      <c r="AE15" s="525" t="str">
        <f>IF(AD15="","",VLOOKUP(AD15,所属コード!$A$2:$E$189,2,FALSE))</f>
        <v/>
      </c>
      <c r="AF15" s="1164" t="str">
        <f>IF(AD15="","",VLOOKUP(AD15,所属コード!$A$2:$G$189,7,FALSE))</f>
        <v/>
      </c>
      <c r="AG15" s="1166"/>
      <c r="AH15" s="77"/>
      <c r="AI15" s="77"/>
      <c r="AJ15" s="77"/>
      <c r="AK15" s="15"/>
      <c r="AM15" s="621"/>
      <c r="AN15" s="1090" t="str">
        <f t="shared" si="5"/>
        <v/>
      </c>
      <c r="AO15" s="618" t="str">
        <f t="shared" si="6"/>
        <v/>
      </c>
      <c r="AP15" s="617"/>
      <c r="AQ15" s="617"/>
      <c r="AR15" s="617"/>
      <c r="AS15" s="617"/>
      <c r="AT15" s="617"/>
      <c r="AU15" s="617"/>
      <c r="AV15" s="620"/>
      <c r="AW15" s="727"/>
      <c r="AX15" s="728"/>
      <c r="AY15" s="728"/>
      <c r="AZ15" s="728"/>
      <c r="BA15" s="728"/>
      <c r="BB15" s="728"/>
      <c r="BC15" s="728"/>
      <c r="BD15" s="728"/>
      <c r="BE15" s="728"/>
      <c r="BF15" s="728"/>
      <c r="BG15" s="728"/>
      <c r="BH15" s="728"/>
      <c r="BI15" s="728"/>
      <c r="BJ15" s="728"/>
      <c r="BK15" s="728"/>
      <c r="BL15" s="742"/>
      <c r="BM15" s="747">
        <f t="shared" si="7"/>
        <v>0</v>
      </c>
      <c r="BN15" s="738">
        <f t="shared" si="0"/>
        <v>0</v>
      </c>
      <c r="BO15" s="729">
        <f t="shared" si="1"/>
        <v>0</v>
      </c>
      <c r="BP15" s="730">
        <f t="shared" si="2"/>
        <v>0</v>
      </c>
      <c r="BQ15" s="729">
        <f t="shared" si="2"/>
        <v>0</v>
      </c>
      <c r="BR15" s="729">
        <f t="shared" si="8"/>
        <v>0</v>
      </c>
      <c r="BS15" s="729">
        <f t="shared" si="9"/>
        <v>0</v>
      </c>
      <c r="BT15" s="729">
        <f t="shared" si="10"/>
        <v>0</v>
      </c>
      <c r="BU15" s="729">
        <f t="shared" si="11"/>
        <v>0</v>
      </c>
      <c r="BV15" s="729">
        <f t="shared" si="12"/>
        <v>0</v>
      </c>
      <c r="BW15" s="729">
        <f t="shared" si="13"/>
        <v>0</v>
      </c>
      <c r="BX15" s="729">
        <f t="shared" si="13"/>
        <v>0</v>
      </c>
      <c r="BY15" s="729">
        <f t="shared" si="14"/>
        <v>0</v>
      </c>
      <c r="BZ15" s="729">
        <f t="shared" si="14"/>
        <v>0</v>
      </c>
      <c r="CA15" s="729">
        <f t="shared" si="15"/>
        <v>0</v>
      </c>
      <c r="CB15" s="729">
        <f t="shared" si="16"/>
        <v>0</v>
      </c>
      <c r="CC15" s="729">
        <f t="shared" si="16"/>
        <v>0</v>
      </c>
      <c r="CD15" s="729">
        <f t="shared" si="16"/>
        <v>0</v>
      </c>
      <c r="CE15" s="729">
        <f t="shared" si="17"/>
        <v>0</v>
      </c>
      <c r="CF15" s="729">
        <f t="shared" si="18"/>
        <v>0</v>
      </c>
      <c r="CG15" s="729">
        <f t="shared" si="19"/>
        <v>0</v>
      </c>
      <c r="CH15" s="729">
        <f t="shared" si="20"/>
        <v>0</v>
      </c>
      <c r="CI15" s="729">
        <f t="shared" si="21"/>
        <v>0</v>
      </c>
      <c r="CJ15" s="729">
        <f t="shared" si="22"/>
        <v>0</v>
      </c>
      <c r="CK15" s="729">
        <f t="shared" si="23"/>
        <v>0</v>
      </c>
      <c r="CL15" s="729">
        <f t="shared" si="24"/>
        <v>0</v>
      </c>
      <c r="CM15" s="729">
        <f t="shared" si="25"/>
        <v>0</v>
      </c>
      <c r="CN15" s="729">
        <f t="shared" si="26"/>
        <v>0</v>
      </c>
      <c r="CO15" s="729">
        <f t="shared" si="27"/>
        <v>0</v>
      </c>
      <c r="CP15" s="729">
        <f t="shared" si="28"/>
        <v>0</v>
      </c>
      <c r="CQ15" s="729">
        <f t="shared" si="29"/>
        <v>0</v>
      </c>
      <c r="CR15" s="729">
        <f t="shared" si="30"/>
        <v>0</v>
      </c>
      <c r="CS15" s="729">
        <f t="shared" si="31"/>
        <v>0</v>
      </c>
      <c r="CT15" s="729">
        <f t="shared" si="31"/>
        <v>0</v>
      </c>
      <c r="CU15" s="731">
        <f t="shared" si="32"/>
        <v>0</v>
      </c>
      <c r="CV15" s="692" t="str">
        <f t="shared" si="33"/>
        <v/>
      </c>
      <c r="CW15" s="659" t="str">
        <f t="shared" si="34"/>
        <v/>
      </c>
      <c r="CX15" s="659" t="str">
        <f t="shared" si="35"/>
        <v/>
      </c>
      <c r="CY15" s="659" t="str">
        <f t="shared" si="36"/>
        <v/>
      </c>
      <c r="CZ15" s="659" t="str">
        <f t="shared" si="37"/>
        <v/>
      </c>
      <c r="DA15" s="659" t="str">
        <f t="shared" si="38"/>
        <v/>
      </c>
      <c r="DB15" s="82" t="str">
        <f t="shared" si="39"/>
        <v/>
      </c>
      <c r="DC15" s="625" t="str">
        <f t="shared" si="3"/>
        <v/>
      </c>
      <c r="DD15" s="625" t="str">
        <f t="shared" si="40"/>
        <v>0</v>
      </c>
      <c r="DE15" s="620">
        <f t="shared" si="41"/>
        <v>0</v>
      </c>
      <c r="DF15" s="1051" t="s">
        <v>152</v>
      </c>
      <c r="DG15" s="1080">
        <v>235012</v>
      </c>
      <c r="DH15" s="625">
        <f t="shared" si="42"/>
        <v>0</v>
      </c>
      <c r="DI15" s="625">
        <f t="shared" si="43"/>
        <v>0</v>
      </c>
      <c r="DJ15" s="626" t="str">
        <f t="shared" si="44"/>
        <v>00</v>
      </c>
    </row>
    <row r="16" spans="1:116" s="5" customFormat="1" ht="15" customHeight="1">
      <c r="A16" s="85"/>
      <c r="B16" s="85"/>
      <c r="C16" s="85"/>
      <c r="D16" s="85"/>
      <c r="E16" s="85"/>
      <c r="F16" s="85"/>
      <c r="G16" s="85"/>
      <c r="H16" s="85"/>
      <c r="I16" s="85"/>
      <c r="J16" s="85"/>
      <c r="K16" s="85"/>
      <c r="L16" s="85"/>
      <c r="M16" s="85"/>
      <c r="N16" s="85"/>
      <c r="O16" s="85"/>
      <c r="P16" s="1235">
        <v>13</v>
      </c>
      <c r="Q16" s="1386"/>
      <c r="R16" s="1387"/>
      <c r="S16" s="1368"/>
      <c r="T16" s="1369"/>
      <c r="U16" s="1391"/>
      <c r="V16" s="1360"/>
      <c r="W16" s="1061"/>
      <c r="X16" s="1062"/>
      <c r="Y16" s="1063"/>
      <c r="Z16" s="1153"/>
      <c r="AA16" s="1153"/>
      <c r="AB16" s="1361"/>
      <c r="AC16" s="1352" t="str">
        <f t="shared" si="4"/>
        <v>00</v>
      </c>
      <c r="AD16" s="524" t="str">
        <f t="shared" si="45"/>
        <v/>
      </c>
      <c r="AE16" s="525" t="str">
        <f>IF(AD16="","",VLOOKUP(AD16,所属コード!$A$2:$E$189,2,FALSE))</f>
        <v/>
      </c>
      <c r="AF16" s="1164" t="str">
        <f>IF(AD16="","",VLOOKUP(AD16,所属コード!$A$2:$G$189,7,FALSE))</f>
        <v/>
      </c>
      <c r="AG16" s="1166"/>
      <c r="AH16" s="77"/>
      <c r="AI16" s="77"/>
      <c r="AJ16" s="77"/>
      <c r="AK16" s="15"/>
      <c r="AM16" s="621"/>
      <c r="AN16" s="1090" t="str">
        <f t="shared" si="5"/>
        <v/>
      </c>
      <c r="AO16" s="618" t="str">
        <f t="shared" si="6"/>
        <v/>
      </c>
      <c r="AP16" s="617"/>
      <c r="AQ16" s="617"/>
      <c r="AR16" s="617"/>
      <c r="AS16" s="617"/>
      <c r="AT16" s="617"/>
      <c r="AU16" s="617"/>
      <c r="AV16" s="620"/>
      <c r="AW16" s="727"/>
      <c r="AX16" s="728"/>
      <c r="AY16" s="728"/>
      <c r="AZ16" s="728"/>
      <c r="BA16" s="728"/>
      <c r="BB16" s="728"/>
      <c r="BC16" s="728"/>
      <c r="BD16" s="728"/>
      <c r="BE16" s="728"/>
      <c r="BF16" s="728"/>
      <c r="BG16" s="728"/>
      <c r="BH16" s="728"/>
      <c r="BI16" s="728"/>
      <c r="BJ16" s="728"/>
      <c r="BK16" s="728"/>
      <c r="BL16" s="742"/>
      <c r="BM16" s="747">
        <f t="shared" si="7"/>
        <v>0</v>
      </c>
      <c r="BN16" s="738">
        <f t="shared" si="0"/>
        <v>0</v>
      </c>
      <c r="BO16" s="729">
        <f t="shared" si="1"/>
        <v>0</v>
      </c>
      <c r="BP16" s="730">
        <f t="shared" si="2"/>
        <v>0</v>
      </c>
      <c r="BQ16" s="729">
        <f t="shared" si="2"/>
        <v>0</v>
      </c>
      <c r="BR16" s="729">
        <f t="shared" si="8"/>
        <v>0</v>
      </c>
      <c r="BS16" s="729">
        <f t="shared" si="9"/>
        <v>0</v>
      </c>
      <c r="BT16" s="729">
        <f t="shared" si="10"/>
        <v>0</v>
      </c>
      <c r="BU16" s="729">
        <f t="shared" si="11"/>
        <v>0</v>
      </c>
      <c r="BV16" s="729">
        <f t="shared" si="12"/>
        <v>0</v>
      </c>
      <c r="BW16" s="729">
        <f t="shared" si="13"/>
        <v>0</v>
      </c>
      <c r="BX16" s="729">
        <f t="shared" si="13"/>
        <v>0</v>
      </c>
      <c r="BY16" s="729">
        <f t="shared" si="14"/>
        <v>0</v>
      </c>
      <c r="BZ16" s="729">
        <f t="shared" si="14"/>
        <v>0</v>
      </c>
      <c r="CA16" s="729">
        <f t="shared" si="15"/>
        <v>0</v>
      </c>
      <c r="CB16" s="729">
        <f t="shared" si="16"/>
        <v>0</v>
      </c>
      <c r="CC16" s="729">
        <f t="shared" si="16"/>
        <v>0</v>
      </c>
      <c r="CD16" s="729">
        <f t="shared" si="16"/>
        <v>0</v>
      </c>
      <c r="CE16" s="729">
        <f t="shared" si="17"/>
        <v>0</v>
      </c>
      <c r="CF16" s="729">
        <f t="shared" si="18"/>
        <v>0</v>
      </c>
      <c r="CG16" s="729">
        <f t="shared" si="19"/>
        <v>0</v>
      </c>
      <c r="CH16" s="729">
        <f t="shared" si="20"/>
        <v>0</v>
      </c>
      <c r="CI16" s="729">
        <f t="shared" si="21"/>
        <v>0</v>
      </c>
      <c r="CJ16" s="729">
        <f t="shared" si="22"/>
        <v>0</v>
      </c>
      <c r="CK16" s="729">
        <f t="shared" si="23"/>
        <v>0</v>
      </c>
      <c r="CL16" s="729">
        <f t="shared" si="24"/>
        <v>0</v>
      </c>
      <c r="CM16" s="729">
        <f t="shared" si="25"/>
        <v>0</v>
      </c>
      <c r="CN16" s="729">
        <f t="shared" si="26"/>
        <v>0</v>
      </c>
      <c r="CO16" s="729">
        <f t="shared" si="27"/>
        <v>0</v>
      </c>
      <c r="CP16" s="729">
        <f t="shared" si="28"/>
        <v>0</v>
      </c>
      <c r="CQ16" s="729">
        <f t="shared" si="29"/>
        <v>0</v>
      </c>
      <c r="CR16" s="729">
        <f t="shared" si="30"/>
        <v>0</v>
      </c>
      <c r="CS16" s="729">
        <f t="shared" si="31"/>
        <v>0</v>
      </c>
      <c r="CT16" s="729">
        <f t="shared" si="31"/>
        <v>0</v>
      </c>
      <c r="CU16" s="731">
        <f t="shared" si="32"/>
        <v>0</v>
      </c>
      <c r="CV16" s="692" t="str">
        <f t="shared" si="33"/>
        <v/>
      </c>
      <c r="CW16" s="659" t="str">
        <f t="shared" si="34"/>
        <v/>
      </c>
      <c r="CX16" s="659" t="str">
        <f t="shared" si="35"/>
        <v/>
      </c>
      <c r="CY16" s="659" t="str">
        <f t="shared" si="36"/>
        <v/>
      </c>
      <c r="CZ16" s="659" t="str">
        <f t="shared" si="37"/>
        <v/>
      </c>
      <c r="DA16" s="659" t="str">
        <f t="shared" si="38"/>
        <v/>
      </c>
      <c r="DB16" s="82" t="str">
        <f t="shared" si="39"/>
        <v/>
      </c>
      <c r="DC16" s="625" t="str">
        <f t="shared" si="3"/>
        <v/>
      </c>
      <c r="DD16" s="625" t="str">
        <f t="shared" si="40"/>
        <v>0</v>
      </c>
      <c r="DE16" s="620">
        <f t="shared" si="41"/>
        <v>0</v>
      </c>
      <c r="DF16" s="1051" t="s">
        <v>8</v>
      </c>
      <c r="DG16" s="1080">
        <v>235013</v>
      </c>
      <c r="DH16" s="625">
        <f t="shared" si="42"/>
        <v>0</v>
      </c>
      <c r="DI16" s="625">
        <f t="shared" si="43"/>
        <v>0</v>
      </c>
      <c r="DJ16" s="626" t="str">
        <f t="shared" si="44"/>
        <v>00</v>
      </c>
    </row>
    <row r="17" spans="1:114" s="5" customFormat="1" ht="15" customHeight="1">
      <c r="A17" s="85"/>
      <c r="B17" s="85"/>
      <c r="C17" s="85"/>
      <c r="D17" s="85"/>
      <c r="E17" s="85"/>
      <c r="F17" s="85"/>
      <c r="G17" s="85"/>
      <c r="H17" s="85"/>
      <c r="I17" s="85"/>
      <c r="J17" s="85"/>
      <c r="K17" s="85"/>
      <c r="L17" s="85"/>
      <c r="M17" s="85"/>
      <c r="N17" s="85"/>
      <c r="O17" s="85"/>
      <c r="P17" s="1235">
        <v>14</v>
      </c>
      <c r="Q17" s="1386"/>
      <c r="R17" s="1387"/>
      <c r="S17" s="1368"/>
      <c r="T17" s="1369"/>
      <c r="U17" s="1391"/>
      <c r="V17" s="1360"/>
      <c r="W17" s="1061"/>
      <c r="X17" s="1062"/>
      <c r="Y17" s="1063"/>
      <c r="Z17" s="1153"/>
      <c r="AA17" s="1153"/>
      <c r="AB17" s="1361"/>
      <c r="AC17" s="1352" t="str">
        <f t="shared" si="4"/>
        <v>00</v>
      </c>
      <c r="AD17" s="524" t="str">
        <f t="shared" si="45"/>
        <v/>
      </c>
      <c r="AE17" s="525" t="str">
        <f>IF(AD17="","",VLOOKUP(AD17,所属コード!$A$2:$E$189,2,FALSE))</f>
        <v/>
      </c>
      <c r="AF17" s="1164" t="str">
        <f>IF(AD17="","",VLOOKUP(AD17,所属コード!$A$2:$G$189,7,FALSE))</f>
        <v/>
      </c>
      <c r="AG17" s="1166"/>
      <c r="AH17" s="77"/>
      <c r="AI17" s="77"/>
      <c r="AJ17" s="77"/>
      <c r="AK17" s="15"/>
      <c r="AM17" s="621"/>
      <c r="AN17" s="1090" t="str">
        <f t="shared" si="5"/>
        <v/>
      </c>
      <c r="AO17" s="618" t="str">
        <f t="shared" si="6"/>
        <v/>
      </c>
      <c r="AP17" s="617"/>
      <c r="AQ17" s="617"/>
      <c r="AR17" s="617"/>
      <c r="AS17" s="617"/>
      <c r="AT17" s="617"/>
      <c r="AU17" s="617"/>
      <c r="AV17" s="620"/>
      <c r="AW17" s="727"/>
      <c r="AX17" s="728"/>
      <c r="AY17" s="728"/>
      <c r="AZ17" s="728"/>
      <c r="BA17" s="728"/>
      <c r="BB17" s="728"/>
      <c r="BC17" s="728"/>
      <c r="BD17" s="728"/>
      <c r="BE17" s="728"/>
      <c r="BF17" s="728"/>
      <c r="BG17" s="728"/>
      <c r="BH17" s="728"/>
      <c r="BI17" s="728"/>
      <c r="BJ17" s="728"/>
      <c r="BK17" s="728"/>
      <c r="BL17" s="742"/>
      <c r="BM17" s="747">
        <f t="shared" si="7"/>
        <v>0</v>
      </c>
      <c r="BN17" s="738">
        <f t="shared" si="0"/>
        <v>0</v>
      </c>
      <c r="BO17" s="729">
        <f t="shared" si="1"/>
        <v>0</v>
      </c>
      <c r="BP17" s="730">
        <f t="shared" si="2"/>
        <v>0</v>
      </c>
      <c r="BQ17" s="729">
        <f t="shared" si="2"/>
        <v>0</v>
      </c>
      <c r="BR17" s="729">
        <f t="shared" si="8"/>
        <v>0</v>
      </c>
      <c r="BS17" s="729">
        <f t="shared" si="9"/>
        <v>0</v>
      </c>
      <c r="BT17" s="729">
        <f t="shared" si="10"/>
        <v>0</v>
      </c>
      <c r="BU17" s="729">
        <f t="shared" si="11"/>
        <v>0</v>
      </c>
      <c r="BV17" s="729">
        <f t="shared" si="12"/>
        <v>0</v>
      </c>
      <c r="BW17" s="729">
        <f t="shared" si="13"/>
        <v>0</v>
      </c>
      <c r="BX17" s="729">
        <f t="shared" si="13"/>
        <v>0</v>
      </c>
      <c r="BY17" s="729">
        <f t="shared" si="14"/>
        <v>0</v>
      </c>
      <c r="BZ17" s="729">
        <f t="shared" si="14"/>
        <v>0</v>
      </c>
      <c r="CA17" s="729">
        <f t="shared" si="15"/>
        <v>0</v>
      </c>
      <c r="CB17" s="729">
        <f t="shared" si="16"/>
        <v>0</v>
      </c>
      <c r="CC17" s="729">
        <f t="shared" si="16"/>
        <v>0</v>
      </c>
      <c r="CD17" s="729">
        <f t="shared" si="16"/>
        <v>0</v>
      </c>
      <c r="CE17" s="729">
        <f t="shared" si="17"/>
        <v>0</v>
      </c>
      <c r="CF17" s="729">
        <f t="shared" si="18"/>
        <v>0</v>
      </c>
      <c r="CG17" s="729">
        <f t="shared" si="19"/>
        <v>0</v>
      </c>
      <c r="CH17" s="729">
        <f t="shared" si="20"/>
        <v>0</v>
      </c>
      <c r="CI17" s="729">
        <f t="shared" si="21"/>
        <v>0</v>
      </c>
      <c r="CJ17" s="729">
        <f t="shared" si="22"/>
        <v>0</v>
      </c>
      <c r="CK17" s="729">
        <f t="shared" si="23"/>
        <v>0</v>
      </c>
      <c r="CL17" s="729">
        <f t="shared" si="24"/>
        <v>0</v>
      </c>
      <c r="CM17" s="729">
        <f t="shared" si="25"/>
        <v>0</v>
      </c>
      <c r="CN17" s="729">
        <f t="shared" si="26"/>
        <v>0</v>
      </c>
      <c r="CO17" s="729">
        <f t="shared" si="27"/>
        <v>0</v>
      </c>
      <c r="CP17" s="729">
        <f t="shared" si="28"/>
        <v>0</v>
      </c>
      <c r="CQ17" s="729">
        <f t="shared" si="29"/>
        <v>0</v>
      </c>
      <c r="CR17" s="729">
        <f t="shared" si="30"/>
        <v>0</v>
      </c>
      <c r="CS17" s="729">
        <f t="shared" si="31"/>
        <v>0</v>
      </c>
      <c r="CT17" s="729">
        <f t="shared" si="31"/>
        <v>0</v>
      </c>
      <c r="CU17" s="731">
        <f t="shared" si="32"/>
        <v>0</v>
      </c>
      <c r="CV17" s="692" t="str">
        <f t="shared" si="33"/>
        <v/>
      </c>
      <c r="CW17" s="659" t="str">
        <f t="shared" si="34"/>
        <v/>
      </c>
      <c r="CX17" s="659" t="str">
        <f t="shared" si="35"/>
        <v/>
      </c>
      <c r="CY17" s="659" t="str">
        <f t="shared" si="36"/>
        <v/>
      </c>
      <c r="CZ17" s="659" t="str">
        <f t="shared" si="37"/>
        <v/>
      </c>
      <c r="DA17" s="659" t="str">
        <f t="shared" si="38"/>
        <v/>
      </c>
      <c r="DB17" s="82" t="str">
        <f t="shared" si="39"/>
        <v/>
      </c>
      <c r="DC17" s="625" t="str">
        <f t="shared" si="3"/>
        <v/>
      </c>
      <c r="DD17" s="625" t="str">
        <f t="shared" si="40"/>
        <v>0</v>
      </c>
      <c r="DE17" s="620">
        <f t="shared" si="41"/>
        <v>0</v>
      </c>
      <c r="DF17" s="1051" t="s">
        <v>13</v>
      </c>
      <c r="DG17" s="1080">
        <v>235014</v>
      </c>
      <c r="DH17" s="625">
        <f t="shared" si="42"/>
        <v>0</v>
      </c>
      <c r="DI17" s="625">
        <f t="shared" si="43"/>
        <v>0</v>
      </c>
      <c r="DJ17" s="626" t="str">
        <f t="shared" si="44"/>
        <v>00</v>
      </c>
    </row>
    <row r="18" spans="1:114" s="5" customFormat="1" ht="15" customHeight="1">
      <c r="A18" s="85"/>
      <c r="B18" s="85"/>
      <c r="C18" s="85"/>
      <c r="D18" s="85"/>
      <c r="E18" s="85"/>
      <c r="F18" s="85"/>
      <c r="G18" s="85"/>
      <c r="H18" s="85"/>
      <c r="I18" s="85"/>
      <c r="J18" s="85"/>
      <c r="K18" s="85"/>
      <c r="L18" s="85"/>
      <c r="M18" s="85"/>
      <c r="N18" s="85"/>
      <c r="O18" s="85"/>
      <c r="P18" s="1235">
        <v>15</v>
      </c>
      <c r="Q18" s="1386"/>
      <c r="R18" s="1387"/>
      <c r="S18" s="1368"/>
      <c r="T18" s="1369"/>
      <c r="U18" s="1391"/>
      <c r="V18" s="1360"/>
      <c r="W18" s="1061"/>
      <c r="X18" s="1062"/>
      <c r="Y18" s="1063"/>
      <c r="Z18" s="1153"/>
      <c r="AA18" s="1153"/>
      <c r="AB18" s="1361"/>
      <c r="AC18" s="1352" t="str">
        <f t="shared" si="4"/>
        <v>00</v>
      </c>
      <c r="AD18" s="524" t="str">
        <f t="shared" si="45"/>
        <v/>
      </c>
      <c r="AE18" s="525" t="str">
        <f>IF(AD18="","",VLOOKUP(AD18,所属コード!$A$2:$E$189,2,FALSE))</f>
        <v/>
      </c>
      <c r="AF18" s="1164" t="str">
        <f>IF(AD18="","",VLOOKUP(AD18,所属コード!$A$2:$G$189,7,FALSE))</f>
        <v/>
      </c>
      <c r="AG18" s="1166"/>
      <c r="AH18" s="77"/>
      <c r="AI18" s="77"/>
      <c r="AJ18" s="77"/>
      <c r="AK18" s="15"/>
      <c r="AM18" s="621"/>
      <c r="AN18" s="1090" t="str">
        <f t="shared" si="5"/>
        <v/>
      </c>
      <c r="AO18" s="618" t="str">
        <f t="shared" si="6"/>
        <v/>
      </c>
      <c r="AP18" s="617"/>
      <c r="AQ18" s="617"/>
      <c r="AR18" s="617"/>
      <c r="AS18" s="617"/>
      <c r="AT18" s="617"/>
      <c r="AU18" s="617"/>
      <c r="AV18" s="620"/>
      <c r="AW18" s="727"/>
      <c r="AX18" s="728"/>
      <c r="AY18" s="728"/>
      <c r="AZ18" s="728"/>
      <c r="BA18" s="728"/>
      <c r="BB18" s="728"/>
      <c r="BC18" s="728"/>
      <c r="BD18" s="728"/>
      <c r="BE18" s="728"/>
      <c r="BF18" s="728"/>
      <c r="BG18" s="728"/>
      <c r="BH18" s="728"/>
      <c r="BI18" s="728"/>
      <c r="BJ18" s="728"/>
      <c r="BK18" s="728"/>
      <c r="BL18" s="742"/>
      <c r="BM18" s="747">
        <f t="shared" si="7"/>
        <v>0</v>
      </c>
      <c r="BN18" s="738">
        <f t="shared" si="0"/>
        <v>0</v>
      </c>
      <c r="BO18" s="729">
        <f t="shared" si="1"/>
        <v>0</v>
      </c>
      <c r="BP18" s="730">
        <f t="shared" si="2"/>
        <v>0</v>
      </c>
      <c r="BQ18" s="729">
        <f t="shared" si="2"/>
        <v>0</v>
      </c>
      <c r="BR18" s="729">
        <f t="shared" si="8"/>
        <v>0</v>
      </c>
      <c r="BS18" s="729">
        <f t="shared" si="9"/>
        <v>0</v>
      </c>
      <c r="BT18" s="729">
        <f t="shared" si="10"/>
        <v>0</v>
      </c>
      <c r="BU18" s="729">
        <f t="shared" si="11"/>
        <v>0</v>
      </c>
      <c r="BV18" s="729">
        <f t="shared" si="12"/>
        <v>0</v>
      </c>
      <c r="BW18" s="729">
        <f t="shared" si="13"/>
        <v>0</v>
      </c>
      <c r="BX18" s="729">
        <f t="shared" si="13"/>
        <v>0</v>
      </c>
      <c r="BY18" s="729">
        <f t="shared" si="14"/>
        <v>0</v>
      </c>
      <c r="BZ18" s="729">
        <f t="shared" si="14"/>
        <v>0</v>
      </c>
      <c r="CA18" s="729">
        <f t="shared" si="15"/>
        <v>0</v>
      </c>
      <c r="CB18" s="729">
        <f t="shared" si="16"/>
        <v>0</v>
      </c>
      <c r="CC18" s="729">
        <f t="shared" si="16"/>
        <v>0</v>
      </c>
      <c r="CD18" s="729">
        <f t="shared" si="16"/>
        <v>0</v>
      </c>
      <c r="CE18" s="729">
        <f t="shared" si="17"/>
        <v>0</v>
      </c>
      <c r="CF18" s="729">
        <f t="shared" si="18"/>
        <v>0</v>
      </c>
      <c r="CG18" s="729">
        <f t="shared" si="19"/>
        <v>0</v>
      </c>
      <c r="CH18" s="729">
        <f t="shared" si="20"/>
        <v>0</v>
      </c>
      <c r="CI18" s="729">
        <f t="shared" si="21"/>
        <v>0</v>
      </c>
      <c r="CJ18" s="729">
        <f t="shared" si="22"/>
        <v>0</v>
      </c>
      <c r="CK18" s="729">
        <f t="shared" si="23"/>
        <v>0</v>
      </c>
      <c r="CL18" s="729">
        <f t="shared" si="24"/>
        <v>0</v>
      </c>
      <c r="CM18" s="729">
        <f t="shared" si="25"/>
        <v>0</v>
      </c>
      <c r="CN18" s="729">
        <f t="shared" si="26"/>
        <v>0</v>
      </c>
      <c r="CO18" s="729">
        <f t="shared" si="27"/>
        <v>0</v>
      </c>
      <c r="CP18" s="729">
        <f t="shared" si="28"/>
        <v>0</v>
      </c>
      <c r="CQ18" s="729">
        <f t="shared" si="29"/>
        <v>0</v>
      </c>
      <c r="CR18" s="729">
        <f t="shared" si="30"/>
        <v>0</v>
      </c>
      <c r="CS18" s="729">
        <f t="shared" si="31"/>
        <v>0</v>
      </c>
      <c r="CT18" s="729">
        <f t="shared" si="31"/>
        <v>0</v>
      </c>
      <c r="CU18" s="731">
        <f t="shared" si="32"/>
        <v>0</v>
      </c>
      <c r="CV18" s="692" t="str">
        <f t="shared" si="33"/>
        <v/>
      </c>
      <c r="CW18" s="659" t="str">
        <f t="shared" si="34"/>
        <v/>
      </c>
      <c r="CX18" s="659" t="str">
        <f t="shared" si="35"/>
        <v/>
      </c>
      <c r="CY18" s="659" t="str">
        <f t="shared" si="36"/>
        <v/>
      </c>
      <c r="CZ18" s="659" t="str">
        <f t="shared" si="37"/>
        <v/>
      </c>
      <c r="DA18" s="659" t="str">
        <f t="shared" si="38"/>
        <v/>
      </c>
      <c r="DB18" s="82" t="str">
        <f t="shared" si="39"/>
        <v/>
      </c>
      <c r="DC18" s="625" t="str">
        <f t="shared" si="3"/>
        <v/>
      </c>
      <c r="DD18" s="625" t="str">
        <f t="shared" si="40"/>
        <v>0</v>
      </c>
      <c r="DE18" s="620">
        <f t="shared" si="41"/>
        <v>0</v>
      </c>
      <c r="DF18" s="1051" t="s">
        <v>42</v>
      </c>
      <c r="DG18" s="1080">
        <v>235015</v>
      </c>
      <c r="DH18" s="625">
        <f t="shared" si="42"/>
        <v>0</v>
      </c>
      <c r="DI18" s="625">
        <f t="shared" si="43"/>
        <v>0</v>
      </c>
      <c r="DJ18" s="626" t="str">
        <f t="shared" si="44"/>
        <v>00</v>
      </c>
    </row>
    <row r="19" spans="1:114" s="5" customFormat="1" ht="15" customHeight="1">
      <c r="A19" s="85"/>
      <c r="B19" s="85"/>
      <c r="C19" s="85"/>
      <c r="D19" s="85"/>
      <c r="E19" s="85"/>
      <c r="F19" s="85"/>
      <c r="G19" s="85"/>
      <c r="H19" s="85"/>
      <c r="I19" s="85"/>
      <c r="J19" s="85"/>
      <c r="K19" s="85"/>
      <c r="L19" s="85"/>
      <c r="M19" s="85"/>
      <c r="N19" s="85"/>
      <c r="O19" s="85"/>
      <c r="P19" s="1235">
        <v>16</v>
      </c>
      <c r="Q19" s="1386"/>
      <c r="R19" s="1387"/>
      <c r="S19" s="1368"/>
      <c r="T19" s="1369"/>
      <c r="U19" s="1391"/>
      <c r="V19" s="1360"/>
      <c r="W19" s="1061"/>
      <c r="X19" s="1062"/>
      <c r="Y19" s="1063"/>
      <c r="Z19" s="1153"/>
      <c r="AA19" s="1153"/>
      <c r="AB19" s="1361"/>
      <c r="AC19" s="1352" t="str">
        <f t="shared" si="4"/>
        <v>00</v>
      </c>
      <c r="AD19" s="524" t="str">
        <f t="shared" si="45"/>
        <v/>
      </c>
      <c r="AE19" s="525" t="str">
        <f>IF(AD19="","",VLOOKUP(AD19,所属コード!$A$2:$E$189,2,FALSE))</f>
        <v/>
      </c>
      <c r="AF19" s="1164" t="str">
        <f>IF(AD19="","",VLOOKUP(AD19,所属コード!$A$2:$G$189,7,FALSE))</f>
        <v/>
      </c>
      <c r="AG19" s="1166"/>
      <c r="AH19" s="77"/>
      <c r="AI19" s="77"/>
      <c r="AJ19" s="77"/>
      <c r="AK19" s="15"/>
      <c r="AM19" s="621"/>
      <c r="AN19" s="1090" t="str">
        <f t="shared" si="5"/>
        <v/>
      </c>
      <c r="AO19" s="618" t="str">
        <f t="shared" si="6"/>
        <v/>
      </c>
      <c r="AP19" s="617"/>
      <c r="AQ19" s="617"/>
      <c r="AR19" s="617"/>
      <c r="AS19" s="617"/>
      <c r="AT19" s="617"/>
      <c r="AU19" s="617"/>
      <c r="AV19" s="620"/>
      <c r="AW19" s="727"/>
      <c r="AX19" s="728"/>
      <c r="AY19" s="728"/>
      <c r="AZ19" s="728"/>
      <c r="BA19" s="728"/>
      <c r="BB19" s="728"/>
      <c r="BC19" s="728"/>
      <c r="BD19" s="728"/>
      <c r="BE19" s="728"/>
      <c r="BF19" s="728"/>
      <c r="BG19" s="728"/>
      <c r="BH19" s="728"/>
      <c r="BI19" s="728"/>
      <c r="BJ19" s="728"/>
      <c r="BK19" s="728"/>
      <c r="BL19" s="742"/>
      <c r="BM19" s="747">
        <f t="shared" si="7"/>
        <v>0</v>
      </c>
      <c r="BN19" s="738">
        <f t="shared" si="0"/>
        <v>0</v>
      </c>
      <c r="BO19" s="729">
        <f t="shared" si="1"/>
        <v>0</v>
      </c>
      <c r="BP19" s="730">
        <f t="shared" si="2"/>
        <v>0</v>
      </c>
      <c r="BQ19" s="729">
        <f t="shared" si="2"/>
        <v>0</v>
      </c>
      <c r="BR19" s="729">
        <f t="shared" si="8"/>
        <v>0</v>
      </c>
      <c r="BS19" s="729">
        <f t="shared" si="9"/>
        <v>0</v>
      </c>
      <c r="BT19" s="729">
        <f t="shared" si="10"/>
        <v>0</v>
      </c>
      <c r="BU19" s="729">
        <f t="shared" si="11"/>
        <v>0</v>
      </c>
      <c r="BV19" s="729">
        <f t="shared" si="12"/>
        <v>0</v>
      </c>
      <c r="BW19" s="729">
        <f t="shared" si="13"/>
        <v>0</v>
      </c>
      <c r="BX19" s="729">
        <f t="shared" si="13"/>
        <v>0</v>
      </c>
      <c r="BY19" s="729">
        <f t="shared" si="14"/>
        <v>0</v>
      </c>
      <c r="BZ19" s="729">
        <f t="shared" si="14"/>
        <v>0</v>
      </c>
      <c r="CA19" s="729">
        <f t="shared" si="15"/>
        <v>0</v>
      </c>
      <c r="CB19" s="729">
        <f t="shared" si="16"/>
        <v>0</v>
      </c>
      <c r="CC19" s="729">
        <f t="shared" si="16"/>
        <v>0</v>
      </c>
      <c r="CD19" s="729">
        <f t="shared" si="16"/>
        <v>0</v>
      </c>
      <c r="CE19" s="729">
        <f t="shared" si="17"/>
        <v>0</v>
      </c>
      <c r="CF19" s="729">
        <f t="shared" si="18"/>
        <v>0</v>
      </c>
      <c r="CG19" s="729">
        <f t="shared" si="19"/>
        <v>0</v>
      </c>
      <c r="CH19" s="729">
        <f t="shared" si="20"/>
        <v>0</v>
      </c>
      <c r="CI19" s="729">
        <f t="shared" si="21"/>
        <v>0</v>
      </c>
      <c r="CJ19" s="729">
        <f t="shared" si="22"/>
        <v>0</v>
      </c>
      <c r="CK19" s="729">
        <f t="shared" si="23"/>
        <v>0</v>
      </c>
      <c r="CL19" s="729">
        <f t="shared" si="24"/>
        <v>0</v>
      </c>
      <c r="CM19" s="729">
        <f t="shared" si="25"/>
        <v>0</v>
      </c>
      <c r="CN19" s="729">
        <f t="shared" si="26"/>
        <v>0</v>
      </c>
      <c r="CO19" s="729">
        <f t="shared" si="27"/>
        <v>0</v>
      </c>
      <c r="CP19" s="729">
        <f t="shared" si="28"/>
        <v>0</v>
      </c>
      <c r="CQ19" s="729">
        <f t="shared" si="29"/>
        <v>0</v>
      </c>
      <c r="CR19" s="729">
        <f t="shared" si="30"/>
        <v>0</v>
      </c>
      <c r="CS19" s="729">
        <f t="shared" si="31"/>
        <v>0</v>
      </c>
      <c r="CT19" s="729">
        <f t="shared" si="31"/>
        <v>0</v>
      </c>
      <c r="CU19" s="731">
        <f t="shared" si="32"/>
        <v>0</v>
      </c>
      <c r="CV19" s="692" t="str">
        <f t="shared" si="33"/>
        <v/>
      </c>
      <c r="CW19" s="659" t="str">
        <f t="shared" si="34"/>
        <v/>
      </c>
      <c r="CX19" s="659" t="str">
        <f t="shared" si="35"/>
        <v/>
      </c>
      <c r="CY19" s="659" t="str">
        <f t="shared" si="36"/>
        <v/>
      </c>
      <c r="CZ19" s="659" t="str">
        <f t="shared" si="37"/>
        <v/>
      </c>
      <c r="DA19" s="659" t="str">
        <f t="shared" si="38"/>
        <v/>
      </c>
      <c r="DB19" s="82" t="str">
        <f t="shared" si="39"/>
        <v/>
      </c>
      <c r="DC19" s="625" t="str">
        <f t="shared" si="3"/>
        <v/>
      </c>
      <c r="DD19" s="625" t="str">
        <f t="shared" si="40"/>
        <v>0</v>
      </c>
      <c r="DE19" s="620">
        <f t="shared" si="41"/>
        <v>0</v>
      </c>
      <c r="DF19" s="1051" t="s">
        <v>14</v>
      </c>
      <c r="DG19" s="1080">
        <v>235016</v>
      </c>
      <c r="DH19" s="625">
        <f t="shared" si="42"/>
        <v>0</v>
      </c>
      <c r="DI19" s="625">
        <f t="shared" si="43"/>
        <v>0</v>
      </c>
      <c r="DJ19" s="626" t="str">
        <f t="shared" si="44"/>
        <v>00</v>
      </c>
    </row>
    <row r="20" spans="1:114" s="5" customFormat="1" ht="15" customHeight="1">
      <c r="A20" s="1237"/>
      <c r="B20" s="1237"/>
      <c r="C20" s="1237"/>
      <c r="D20" s="1237"/>
      <c r="E20" s="1237"/>
      <c r="F20" s="1237"/>
      <c r="G20" s="1237"/>
      <c r="H20" s="1237"/>
      <c r="I20" s="1237"/>
      <c r="J20" s="1237"/>
      <c r="K20" s="1237"/>
      <c r="L20" s="1237"/>
      <c r="M20" s="1237"/>
      <c r="N20" s="1237"/>
      <c r="O20" s="1237"/>
      <c r="P20" s="1235">
        <v>17</v>
      </c>
      <c r="Q20" s="1386"/>
      <c r="R20" s="1387"/>
      <c r="S20" s="1368"/>
      <c r="T20" s="1369"/>
      <c r="U20" s="1391"/>
      <c r="V20" s="1360"/>
      <c r="W20" s="1064"/>
      <c r="X20" s="1065"/>
      <c r="Y20" s="1066"/>
      <c r="Z20" s="1153"/>
      <c r="AA20" s="1153"/>
      <c r="AB20" s="1361"/>
      <c r="AC20" s="1352" t="str">
        <f t="shared" si="4"/>
        <v>00</v>
      </c>
      <c r="AD20" s="524" t="str">
        <f t="shared" si="45"/>
        <v/>
      </c>
      <c r="AE20" s="525" t="str">
        <f>IF(AD20="","",VLOOKUP(AD20,所属コード!$A$2:$E$189,2,FALSE))</f>
        <v/>
      </c>
      <c r="AF20" s="1164" t="str">
        <f>IF(AD20="","",VLOOKUP(AD20,所属コード!$A$2:$G$189,7,FALSE))</f>
        <v/>
      </c>
      <c r="AG20" s="1166"/>
      <c r="AH20" s="77"/>
      <c r="AI20" s="77"/>
      <c r="AJ20" s="77"/>
      <c r="AK20" s="15"/>
      <c r="AM20" s="621"/>
      <c r="AN20" s="1090" t="str">
        <f t="shared" si="5"/>
        <v/>
      </c>
      <c r="AO20" s="618" t="str">
        <f t="shared" si="6"/>
        <v/>
      </c>
      <c r="AP20" s="617"/>
      <c r="AQ20" s="617"/>
      <c r="AR20" s="617"/>
      <c r="AS20" s="617"/>
      <c r="AT20" s="617"/>
      <c r="AU20" s="617"/>
      <c r="AV20" s="620"/>
      <c r="AW20" s="727"/>
      <c r="AX20" s="728"/>
      <c r="AY20" s="728"/>
      <c r="AZ20" s="728"/>
      <c r="BA20" s="728"/>
      <c r="BB20" s="728"/>
      <c r="BC20" s="728"/>
      <c r="BD20" s="728"/>
      <c r="BE20" s="728"/>
      <c r="BF20" s="728"/>
      <c r="BG20" s="728"/>
      <c r="BH20" s="728"/>
      <c r="BI20" s="728"/>
      <c r="BJ20" s="728"/>
      <c r="BK20" s="728"/>
      <c r="BL20" s="742"/>
      <c r="BM20" s="747">
        <f t="shared" si="7"/>
        <v>0</v>
      </c>
      <c r="BN20" s="738">
        <f t="shared" si="0"/>
        <v>0</v>
      </c>
      <c r="BO20" s="729">
        <f t="shared" si="1"/>
        <v>0</v>
      </c>
      <c r="BP20" s="730">
        <f t="shared" si="2"/>
        <v>0</v>
      </c>
      <c r="BQ20" s="729">
        <f t="shared" si="2"/>
        <v>0</v>
      </c>
      <c r="BR20" s="729">
        <f t="shared" si="8"/>
        <v>0</v>
      </c>
      <c r="BS20" s="729">
        <f t="shared" si="9"/>
        <v>0</v>
      </c>
      <c r="BT20" s="729">
        <f t="shared" si="10"/>
        <v>0</v>
      </c>
      <c r="BU20" s="729">
        <f t="shared" si="11"/>
        <v>0</v>
      </c>
      <c r="BV20" s="729">
        <f t="shared" si="12"/>
        <v>0</v>
      </c>
      <c r="BW20" s="729">
        <f t="shared" si="13"/>
        <v>0</v>
      </c>
      <c r="BX20" s="729">
        <f t="shared" si="13"/>
        <v>0</v>
      </c>
      <c r="BY20" s="729">
        <f t="shared" si="14"/>
        <v>0</v>
      </c>
      <c r="BZ20" s="729">
        <f t="shared" si="14"/>
        <v>0</v>
      </c>
      <c r="CA20" s="729">
        <f t="shared" si="15"/>
        <v>0</v>
      </c>
      <c r="CB20" s="729">
        <f t="shared" si="16"/>
        <v>0</v>
      </c>
      <c r="CC20" s="729">
        <f t="shared" si="16"/>
        <v>0</v>
      </c>
      <c r="CD20" s="729">
        <f t="shared" si="16"/>
        <v>0</v>
      </c>
      <c r="CE20" s="729">
        <f t="shared" si="17"/>
        <v>0</v>
      </c>
      <c r="CF20" s="729">
        <f t="shared" si="18"/>
        <v>0</v>
      </c>
      <c r="CG20" s="729">
        <f t="shared" si="19"/>
        <v>0</v>
      </c>
      <c r="CH20" s="729">
        <f t="shared" si="20"/>
        <v>0</v>
      </c>
      <c r="CI20" s="729">
        <f t="shared" si="21"/>
        <v>0</v>
      </c>
      <c r="CJ20" s="729">
        <f t="shared" si="22"/>
        <v>0</v>
      </c>
      <c r="CK20" s="729">
        <f t="shared" si="23"/>
        <v>0</v>
      </c>
      <c r="CL20" s="729">
        <f t="shared" si="24"/>
        <v>0</v>
      </c>
      <c r="CM20" s="729">
        <f t="shared" si="25"/>
        <v>0</v>
      </c>
      <c r="CN20" s="729">
        <f t="shared" si="26"/>
        <v>0</v>
      </c>
      <c r="CO20" s="729">
        <f t="shared" si="27"/>
        <v>0</v>
      </c>
      <c r="CP20" s="729">
        <f t="shared" si="28"/>
        <v>0</v>
      </c>
      <c r="CQ20" s="729">
        <f t="shared" si="29"/>
        <v>0</v>
      </c>
      <c r="CR20" s="729">
        <f t="shared" si="30"/>
        <v>0</v>
      </c>
      <c r="CS20" s="729">
        <f t="shared" si="31"/>
        <v>0</v>
      </c>
      <c r="CT20" s="729">
        <f t="shared" si="31"/>
        <v>0</v>
      </c>
      <c r="CU20" s="731">
        <f t="shared" si="32"/>
        <v>0</v>
      </c>
      <c r="CV20" s="692" t="str">
        <f t="shared" si="33"/>
        <v/>
      </c>
      <c r="CW20" s="659" t="str">
        <f t="shared" si="34"/>
        <v/>
      </c>
      <c r="CX20" s="659" t="str">
        <f t="shared" si="35"/>
        <v/>
      </c>
      <c r="CY20" s="659" t="str">
        <f t="shared" si="36"/>
        <v/>
      </c>
      <c r="CZ20" s="659" t="str">
        <f t="shared" si="37"/>
        <v/>
      </c>
      <c r="DA20" s="659" t="str">
        <f t="shared" si="38"/>
        <v/>
      </c>
      <c r="DB20" s="82" t="str">
        <f t="shared" si="39"/>
        <v/>
      </c>
      <c r="DC20" s="625" t="str">
        <f t="shared" si="3"/>
        <v/>
      </c>
      <c r="DD20" s="625" t="str">
        <f t="shared" si="40"/>
        <v>0</v>
      </c>
      <c r="DE20" s="620">
        <f t="shared" si="41"/>
        <v>0</v>
      </c>
      <c r="DF20" s="1051" t="s">
        <v>43</v>
      </c>
      <c r="DG20" s="1080">
        <v>235017</v>
      </c>
      <c r="DH20" s="625">
        <f t="shared" si="42"/>
        <v>0</v>
      </c>
      <c r="DI20" s="625">
        <f t="shared" si="43"/>
        <v>0</v>
      </c>
      <c r="DJ20" s="626" t="str">
        <f t="shared" si="44"/>
        <v>00</v>
      </c>
    </row>
    <row r="21" spans="1:114" s="5" customFormat="1" ht="15" customHeight="1">
      <c r="A21" s="1237"/>
      <c r="B21" s="1237"/>
      <c r="C21" s="1237"/>
      <c r="D21" s="1237"/>
      <c r="E21" s="1237"/>
      <c r="F21" s="1237"/>
      <c r="G21" s="1237"/>
      <c r="H21" s="1237"/>
      <c r="I21" s="1237"/>
      <c r="J21" s="1237"/>
      <c r="K21" s="1237"/>
      <c r="L21" s="1237"/>
      <c r="M21" s="1237"/>
      <c r="N21" s="1237"/>
      <c r="O21" s="1237"/>
      <c r="P21" s="1235">
        <v>18</v>
      </c>
      <c r="Q21" s="1386"/>
      <c r="R21" s="1387"/>
      <c r="S21" s="1368"/>
      <c r="T21" s="1369"/>
      <c r="U21" s="1391"/>
      <c r="V21" s="1360"/>
      <c r="W21" s="1061"/>
      <c r="X21" s="1062"/>
      <c r="Y21" s="1063"/>
      <c r="Z21" s="1153"/>
      <c r="AA21" s="1153"/>
      <c r="AB21" s="1361"/>
      <c r="AC21" s="1352" t="str">
        <f t="shared" si="4"/>
        <v>00</v>
      </c>
      <c r="AD21" s="524" t="str">
        <f t="shared" si="45"/>
        <v/>
      </c>
      <c r="AE21" s="525" t="str">
        <f>IF(AD21="","",VLOOKUP(AD21,所属コード!$A$2:$E$189,2,FALSE))</f>
        <v/>
      </c>
      <c r="AF21" s="1164" t="str">
        <f>IF(AD21="","",VLOOKUP(AD21,所属コード!$A$2:$G$189,7,FALSE))</f>
        <v/>
      </c>
      <c r="AG21" s="1166"/>
      <c r="AH21" s="77"/>
      <c r="AI21" s="77"/>
      <c r="AJ21" s="77"/>
      <c r="AK21" s="15"/>
      <c r="AM21" s="621"/>
      <c r="AN21" s="1090" t="str">
        <f t="shared" si="5"/>
        <v/>
      </c>
      <c r="AO21" s="618" t="str">
        <f t="shared" si="6"/>
        <v/>
      </c>
      <c r="AP21" s="617"/>
      <c r="AQ21" s="617"/>
      <c r="AR21" s="617"/>
      <c r="AS21" s="617"/>
      <c r="AT21" s="617"/>
      <c r="AU21" s="617"/>
      <c r="AV21" s="620"/>
      <c r="AW21" s="727"/>
      <c r="AX21" s="728"/>
      <c r="AY21" s="728"/>
      <c r="AZ21" s="728"/>
      <c r="BA21" s="728"/>
      <c r="BB21" s="728"/>
      <c r="BC21" s="728"/>
      <c r="BD21" s="728"/>
      <c r="BE21" s="728"/>
      <c r="BF21" s="728"/>
      <c r="BG21" s="728"/>
      <c r="BH21" s="728"/>
      <c r="BI21" s="728"/>
      <c r="BJ21" s="728"/>
      <c r="BK21" s="728"/>
      <c r="BL21" s="742"/>
      <c r="BM21" s="747">
        <f t="shared" si="7"/>
        <v>0</v>
      </c>
      <c r="BN21" s="738">
        <f t="shared" si="0"/>
        <v>0</v>
      </c>
      <c r="BO21" s="729">
        <f t="shared" si="1"/>
        <v>0</v>
      </c>
      <c r="BP21" s="730">
        <f t="shared" si="2"/>
        <v>0</v>
      </c>
      <c r="BQ21" s="729">
        <f t="shared" si="2"/>
        <v>0</v>
      </c>
      <c r="BR21" s="729">
        <f t="shared" si="8"/>
        <v>0</v>
      </c>
      <c r="BS21" s="729">
        <f t="shared" si="9"/>
        <v>0</v>
      </c>
      <c r="BT21" s="729">
        <f t="shared" si="10"/>
        <v>0</v>
      </c>
      <c r="BU21" s="729">
        <f t="shared" si="11"/>
        <v>0</v>
      </c>
      <c r="BV21" s="729">
        <f t="shared" si="12"/>
        <v>0</v>
      </c>
      <c r="BW21" s="729">
        <f t="shared" si="13"/>
        <v>0</v>
      </c>
      <c r="BX21" s="729">
        <f t="shared" si="13"/>
        <v>0</v>
      </c>
      <c r="BY21" s="729">
        <f t="shared" si="14"/>
        <v>0</v>
      </c>
      <c r="BZ21" s="729">
        <f t="shared" si="14"/>
        <v>0</v>
      </c>
      <c r="CA21" s="729">
        <f t="shared" si="15"/>
        <v>0</v>
      </c>
      <c r="CB21" s="729">
        <f t="shared" si="16"/>
        <v>0</v>
      </c>
      <c r="CC21" s="729">
        <f t="shared" si="16"/>
        <v>0</v>
      </c>
      <c r="CD21" s="729">
        <f t="shared" si="16"/>
        <v>0</v>
      </c>
      <c r="CE21" s="729">
        <f t="shared" si="17"/>
        <v>0</v>
      </c>
      <c r="CF21" s="729">
        <f t="shared" si="18"/>
        <v>0</v>
      </c>
      <c r="CG21" s="729">
        <f t="shared" si="19"/>
        <v>0</v>
      </c>
      <c r="CH21" s="729">
        <f t="shared" si="20"/>
        <v>0</v>
      </c>
      <c r="CI21" s="729">
        <f t="shared" si="21"/>
        <v>0</v>
      </c>
      <c r="CJ21" s="729">
        <f t="shared" si="22"/>
        <v>0</v>
      </c>
      <c r="CK21" s="729">
        <f t="shared" si="23"/>
        <v>0</v>
      </c>
      <c r="CL21" s="729">
        <f t="shared" si="24"/>
        <v>0</v>
      </c>
      <c r="CM21" s="729">
        <f t="shared" si="25"/>
        <v>0</v>
      </c>
      <c r="CN21" s="729">
        <f t="shared" si="26"/>
        <v>0</v>
      </c>
      <c r="CO21" s="729">
        <f t="shared" si="27"/>
        <v>0</v>
      </c>
      <c r="CP21" s="729">
        <f t="shared" si="28"/>
        <v>0</v>
      </c>
      <c r="CQ21" s="729">
        <f t="shared" si="29"/>
        <v>0</v>
      </c>
      <c r="CR21" s="729">
        <f t="shared" si="30"/>
        <v>0</v>
      </c>
      <c r="CS21" s="729">
        <f t="shared" si="31"/>
        <v>0</v>
      </c>
      <c r="CT21" s="729">
        <f t="shared" si="31"/>
        <v>0</v>
      </c>
      <c r="CU21" s="731">
        <f t="shared" si="32"/>
        <v>0</v>
      </c>
      <c r="CV21" s="692" t="str">
        <f t="shared" si="33"/>
        <v/>
      </c>
      <c r="CW21" s="659" t="str">
        <f t="shared" si="34"/>
        <v/>
      </c>
      <c r="CX21" s="659" t="str">
        <f t="shared" si="35"/>
        <v/>
      </c>
      <c r="CY21" s="659" t="str">
        <f t="shared" si="36"/>
        <v/>
      </c>
      <c r="CZ21" s="659" t="str">
        <f t="shared" si="37"/>
        <v/>
      </c>
      <c r="DA21" s="659" t="str">
        <f t="shared" si="38"/>
        <v/>
      </c>
      <c r="DB21" s="82" t="str">
        <f t="shared" si="39"/>
        <v/>
      </c>
      <c r="DC21" s="625" t="str">
        <f t="shared" si="3"/>
        <v/>
      </c>
      <c r="DD21" s="625" t="str">
        <f t="shared" si="40"/>
        <v>0</v>
      </c>
      <c r="DE21" s="620">
        <f t="shared" si="41"/>
        <v>0</v>
      </c>
      <c r="DF21" s="1051" t="s">
        <v>44</v>
      </c>
      <c r="DG21" s="1080">
        <v>235018</v>
      </c>
      <c r="DH21" s="625">
        <f t="shared" si="42"/>
        <v>0</v>
      </c>
      <c r="DI21" s="625">
        <f t="shared" si="43"/>
        <v>0</v>
      </c>
      <c r="DJ21" s="626" t="str">
        <f t="shared" si="44"/>
        <v>00</v>
      </c>
    </row>
    <row r="22" spans="1:114" s="5" customFormat="1" ht="15" customHeight="1">
      <c r="A22" s="1237"/>
      <c r="B22" s="1237"/>
      <c r="C22" s="1237"/>
      <c r="D22" s="1237"/>
      <c r="E22" s="1237"/>
      <c r="F22" s="1237"/>
      <c r="G22" s="1237"/>
      <c r="H22" s="1237"/>
      <c r="I22" s="1237"/>
      <c r="J22" s="1237"/>
      <c r="K22" s="1237"/>
      <c r="L22" s="1237"/>
      <c r="M22" s="1237"/>
      <c r="N22" s="1237"/>
      <c r="O22" s="1237"/>
      <c r="P22" s="1235">
        <v>19</v>
      </c>
      <c r="Q22" s="1386"/>
      <c r="R22" s="1387"/>
      <c r="S22" s="1368"/>
      <c r="T22" s="1369"/>
      <c r="U22" s="1391"/>
      <c r="V22" s="1360"/>
      <c r="W22" s="1061"/>
      <c r="X22" s="1062"/>
      <c r="Y22" s="1063"/>
      <c r="Z22" s="1153"/>
      <c r="AA22" s="1153"/>
      <c r="AB22" s="1361"/>
      <c r="AC22" s="1352" t="str">
        <f t="shared" si="4"/>
        <v>00</v>
      </c>
      <c r="AD22" s="524" t="str">
        <f t="shared" si="45"/>
        <v/>
      </c>
      <c r="AE22" s="525" t="str">
        <f>IF(AD22="","",VLOOKUP(AD22,所属コード!$A$2:$E$189,2,FALSE))</f>
        <v/>
      </c>
      <c r="AF22" s="1164" t="str">
        <f>IF(AD22="","",VLOOKUP(AD22,所属コード!$A$2:$G$189,7,FALSE))</f>
        <v/>
      </c>
      <c r="AG22" s="1166"/>
      <c r="AH22" s="77"/>
      <c r="AI22" s="77"/>
      <c r="AJ22" s="77"/>
      <c r="AK22" s="15"/>
      <c r="AM22" s="621"/>
      <c r="AN22" s="1090" t="str">
        <f t="shared" si="5"/>
        <v/>
      </c>
      <c r="AO22" s="618" t="str">
        <f t="shared" si="6"/>
        <v/>
      </c>
      <c r="AP22" s="617"/>
      <c r="AQ22" s="617"/>
      <c r="AR22" s="617"/>
      <c r="AS22" s="617"/>
      <c r="AT22" s="617"/>
      <c r="AU22" s="617"/>
      <c r="AV22" s="620"/>
      <c r="AW22" s="727"/>
      <c r="AX22" s="728"/>
      <c r="AY22" s="728"/>
      <c r="AZ22" s="728"/>
      <c r="BA22" s="728"/>
      <c r="BB22" s="728"/>
      <c r="BC22" s="728"/>
      <c r="BD22" s="728"/>
      <c r="BE22" s="728"/>
      <c r="BF22" s="728"/>
      <c r="BG22" s="728"/>
      <c r="BH22" s="728"/>
      <c r="BI22" s="728"/>
      <c r="BJ22" s="728"/>
      <c r="BK22" s="728"/>
      <c r="BL22" s="742"/>
      <c r="BM22" s="747">
        <f t="shared" si="7"/>
        <v>0</v>
      </c>
      <c r="BN22" s="738">
        <f t="shared" si="0"/>
        <v>0</v>
      </c>
      <c r="BO22" s="729">
        <f t="shared" si="1"/>
        <v>0</v>
      </c>
      <c r="BP22" s="730">
        <f t="shared" si="2"/>
        <v>0</v>
      </c>
      <c r="BQ22" s="729">
        <f t="shared" si="2"/>
        <v>0</v>
      </c>
      <c r="BR22" s="729">
        <f t="shared" si="8"/>
        <v>0</v>
      </c>
      <c r="BS22" s="729">
        <f t="shared" si="9"/>
        <v>0</v>
      </c>
      <c r="BT22" s="729">
        <f t="shared" si="10"/>
        <v>0</v>
      </c>
      <c r="BU22" s="729">
        <f t="shared" si="11"/>
        <v>0</v>
      </c>
      <c r="BV22" s="729">
        <f t="shared" si="12"/>
        <v>0</v>
      </c>
      <c r="BW22" s="729">
        <f t="shared" si="13"/>
        <v>0</v>
      </c>
      <c r="BX22" s="729">
        <f t="shared" si="13"/>
        <v>0</v>
      </c>
      <c r="BY22" s="729">
        <f t="shared" si="14"/>
        <v>0</v>
      </c>
      <c r="BZ22" s="729">
        <f t="shared" si="14"/>
        <v>0</v>
      </c>
      <c r="CA22" s="729">
        <f t="shared" si="15"/>
        <v>0</v>
      </c>
      <c r="CB22" s="729">
        <f t="shared" si="16"/>
        <v>0</v>
      </c>
      <c r="CC22" s="729">
        <f t="shared" si="16"/>
        <v>0</v>
      </c>
      <c r="CD22" s="729">
        <f t="shared" si="16"/>
        <v>0</v>
      </c>
      <c r="CE22" s="729">
        <f t="shared" si="17"/>
        <v>0</v>
      </c>
      <c r="CF22" s="729">
        <f t="shared" si="18"/>
        <v>0</v>
      </c>
      <c r="CG22" s="729">
        <f t="shared" si="19"/>
        <v>0</v>
      </c>
      <c r="CH22" s="729">
        <f t="shared" si="20"/>
        <v>0</v>
      </c>
      <c r="CI22" s="729">
        <f t="shared" si="21"/>
        <v>0</v>
      </c>
      <c r="CJ22" s="729">
        <f t="shared" si="22"/>
        <v>0</v>
      </c>
      <c r="CK22" s="729">
        <f t="shared" si="23"/>
        <v>0</v>
      </c>
      <c r="CL22" s="729">
        <f t="shared" si="24"/>
        <v>0</v>
      </c>
      <c r="CM22" s="729">
        <f t="shared" si="25"/>
        <v>0</v>
      </c>
      <c r="CN22" s="729">
        <f t="shared" si="26"/>
        <v>0</v>
      </c>
      <c r="CO22" s="729">
        <f t="shared" si="27"/>
        <v>0</v>
      </c>
      <c r="CP22" s="729">
        <f t="shared" si="28"/>
        <v>0</v>
      </c>
      <c r="CQ22" s="729">
        <f t="shared" si="29"/>
        <v>0</v>
      </c>
      <c r="CR22" s="729">
        <f t="shared" si="30"/>
        <v>0</v>
      </c>
      <c r="CS22" s="729">
        <f t="shared" si="31"/>
        <v>0</v>
      </c>
      <c r="CT22" s="729">
        <f t="shared" si="31"/>
        <v>0</v>
      </c>
      <c r="CU22" s="731">
        <f t="shared" si="32"/>
        <v>0</v>
      </c>
      <c r="CV22" s="692" t="str">
        <f t="shared" si="33"/>
        <v/>
      </c>
      <c r="CW22" s="659" t="str">
        <f t="shared" si="34"/>
        <v/>
      </c>
      <c r="CX22" s="659" t="str">
        <f t="shared" si="35"/>
        <v/>
      </c>
      <c r="CY22" s="659" t="str">
        <f t="shared" si="36"/>
        <v/>
      </c>
      <c r="CZ22" s="659" t="str">
        <f t="shared" si="37"/>
        <v/>
      </c>
      <c r="DA22" s="659" t="str">
        <f t="shared" si="38"/>
        <v/>
      </c>
      <c r="DB22" s="82" t="str">
        <f t="shared" si="39"/>
        <v/>
      </c>
      <c r="DC22" s="625" t="str">
        <f t="shared" si="3"/>
        <v/>
      </c>
      <c r="DD22" s="625" t="str">
        <f t="shared" si="40"/>
        <v>0</v>
      </c>
      <c r="DE22" s="620">
        <f t="shared" si="41"/>
        <v>0</v>
      </c>
      <c r="DF22" s="1051" t="s">
        <v>45</v>
      </c>
      <c r="DG22" s="1080">
        <v>235019</v>
      </c>
      <c r="DH22" s="625">
        <f t="shared" si="42"/>
        <v>0</v>
      </c>
      <c r="DI22" s="625">
        <f t="shared" si="43"/>
        <v>0</v>
      </c>
      <c r="DJ22" s="626" t="str">
        <f t="shared" si="44"/>
        <v>00</v>
      </c>
    </row>
    <row r="23" spans="1:114" s="5" customFormat="1" ht="15" customHeight="1">
      <c r="A23" s="1237"/>
      <c r="B23" s="1237"/>
      <c r="C23" s="1237"/>
      <c r="D23" s="1237"/>
      <c r="E23" s="1237"/>
      <c r="F23" s="1237"/>
      <c r="G23" s="1237"/>
      <c r="H23" s="1237"/>
      <c r="I23" s="1237"/>
      <c r="J23" s="1237"/>
      <c r="K23" s="1237"/>
      <c r="L23" s="1237"/>
      <c r="M23" s="1237"/>
      <c r="N23" s="1237"/>
      <c r="O23" s="1237"/>
      <c r="P23" s="1235">
        <v>20</v>
      </c>
      <c r="Q23" s="1386"/>
      <c r="R23" s="1387"/>
      <c r="S23" s="1368"/>
      <c r="T23" s="1369"/>
      <c r="U23" s="1391"/>
      <c r="V23" s="1360"/>
      <c r="W23" s="1061"/>
      <c r="X23" s="1062"/>
      <c r="Y23" s="1063"/>
      <c r="Z23" s="1153"/>
      <c r="AA23" s="1153"/>
      <c r="AB23" s="1361"/>
      <c r="AC23" s="1352" t="str">
        <f t="shared" si="4"/>
        <v>00</v>
      </c>
      <c r="AD23" s="524" t="str">
        <f t="shared" si="45"/>
        <v/>
      </c>
      <c r="AE23" s="525" t="str">
        <f>IF(AD23="","",VLOOKUP(AD23,所属コード!$A$2:$E$189,2,FALSE))</f>
        <v/>
      </c>
      <c r="AF23" s="1164" t="str">
        <f>IF(AD23="","",VLOOKUP(AD23,所属コード!$A$2:$G$189,7,FALSE))</f>
        <v/>
      </c>
      <c r="AG23" s="1166"/>
      <c r="AH23" s="77"/>
      <c r="AI23" s="77"/>
      <c r="AJ23" s="77"/>
      <c r="AK23" s="15"/>
      <c r="AM23" s="621"/>
      <c r="AN23" s="1090" t="str">
        <f t="shared" si="5"/>
        <v/>
      </c>
      <c r="AO23" s="618" t="str">
        <f t="shared" si="6"/>
        <v/>
      </c>
      <c r="AP23" s="617"/>
      <c r="AQ23" s="617"/>
      <c r="AR23" s="617"/>
      <c r="AS23" s="617"/>
      <c r="AT23" s="617"/>
      <c r="AU23" s="617"/>
      <c r="AV23" s="620"/>
      <c r="AW23" s="727"/>
      <c r="AX23" s="728"/>
      <c r="AY23" s="728"/>
      <c r="AZ23" s="728"/>
      <c r="BA23" s="728"/>
      <c r="BB23" s="728"/>
      <c r="BC23" s="728"/>
      <c r="BD23" s="728"/>
      <c r="BE23" s="728"/>
      <c r="BF23" s="728"/>
      <c r="BG23" s="728"/>
      <c r="BH23" s="728"/>
      <c r="BI23" s="728"/>
      <c r="BJ23" s="728"/>
      <c r="BK23" s="728"/>
      <c r="BL23" s="742"/>
      <c r="BM23" s="747">
        <f t="shared" si="7"/>
        <v>0</v>
      </c>
      <c r="BN23" s="738">
        <f t="shared" si="0"/>
        <v>0</v>
      </c>
      <c r="BO23" s="729">
        <f t="shared" si="1"/>
        <v>0</v>
      </c>
      <c r="BP23" s="730">
        <f t="shared" si="2"/>
        <v>0</v>
      </c>
      <c r="BQ23" s="729">
        <f t="shared" si="2"/>
        <v>0</v>
      </c>
      <c r="BR23" s="729">
        <f t="shared" si="8"/>
        <v>0</v>
      </c>
      <c r="BS23" s="729">
        <f t="shared" si="9"/>
        <v>0</v>
      </c>
      <c r="BT23" s="729">
        <f t="shared" si="10"/>
        <v>0</v>
      </c>
      <c r="BU23" s="729">
        <f t="shared" si="11"/>
        <v>0</v>
      </c>
      <c r="BV23" s="729">
        <f t="shared" si="12"/>
        <v>0</v>
      </c>
      <c r="BW23" s="729">
        <f t="shared" si="13"/>
        <v>0</v>
      </c>
      <c r="BX23" s="729">
        <f t="shared" si="13"/>
        <v>0</v>
      </c>
      <c r="BY23" s="729">
        <f t="shared" si="14"/>
        <v>0</v>
      </c>
      <c r="BZ23" s="729">
        <f t="shared" si="14"/>
        <v>0</v>
      </c>
      <c r="CA23" s="729">
        <f t="shared" si="15"/>
        <v>0</v>
      </c>
      <c r="CB23" s="729">
        <f t="shared" si="16"/>
        <v>0</v>
      </c>
      <c r="CC23" s="729">
        <f t="shared" si="16"/>
        <v>0</v>
      </c>
      <c r="CD23" s="729">
        <f t="shared" si="16"/>
        <v>0</v>
      </c>
      <c r="CE23" s="729">
        <f t="shared" si="17"/>
        <v>0</v>
      </c>
      <c r="CF23" s="729">
        <f t="shared" si="18"/>
        <v>0</v>
      </c>
      <c r="CG23" s="729">
        <f t="shared" si="19"/>
        <v>0</v>
      </c>
      <c r="CH23" s="729">
        <f t="shared" si="20"/>
        <v>0</v>
      </c>
      <c r="CI23" s="729">
        <f t="shared" si="21"/>
        <v>0</v>
      </c>
      <c r="CJ23" s="729">
        <f t="shared" si="22"/>
        <v>0</v>
      </c>
      <c r="CK23" s="729">
        <f t="shared" si="23"/>
        <v>0</v>
      </c>
      <c r="CL23" s="729">
        <f t="shared" si="24"/>
        <v>0</v>
      </c>
      <c r="CM23" s="729">
        <f t="shared" si="25"/>
        <v>0</v>
      </c>
      <c r="CN23" s="729">
        <f t="shared" si="26"/>
        <v>0</v>
      </c>
      <c r="CO23" s="729">
        <f t="shared" si="27"/>
        <v>0</v>
      </c>
      <c r="CP23" s="729">
        <f t="shared" si="28"/>
        <v>0</v>
      </c>
      <c r="CQ23" s="729">
        <f t="shared" si="29"/>
        <v>0</v>
      </c>
      <c r="CR23" s="729">
        <f t="shared" si="30"/>
        <v>0</v>
      </c>
      <c r="CS23" s="729">
        <f t="shared" si="31"/>
        <v>0</v>
      </c>
      <c r="CT23" s="729">
        <f t="shared" si="31"/>
        <v>0</v>
      </c>
      <c r="CU23" s="731">
        <f t="shared" si="32"/>
        <v>0</v>
      </c>
      <c r="CV23" s="692" t="str">
        <f t="shared" si="33"/>
        <v/>
      </c>
      <c r="CW23" s="659" t="str">
        <f t="shared" si="34"/>
        <v/>
      </c>
      <c r="CX23" s="659" t="str">
        <f t="shared" si="35"/>
        <v/>
      </c>
      <c r="CY23" s="659" t="str">
        <f t="shared" si="36"/>
        <v/>
      </c>
      <c r="CZ23" s="659" t="str">
        <f t="shared" si="37"/>
        <v/>
      </c>
      <c r="DA23" s="659" t="str">
        <f t="shared" si="38"/>
        <v/>
      </c>
      <c r="DB23" s="82" t="str">
        <f t="shared" si="39"/>
        <v/>
      </c>
      <c r="DC23" s="625" t="str">
        <f t="shared" si="3"/>
        <v/>
      </c>
      <c r="DD23" s="625" t="str">
        <f t="shared" si="40"/>
        <v>0</v>
      </c>
      <c r="DE23" s="620">
        <f t="shared" si="41"/>
        <v>0</v>
      </c>
      <c r="DF23" s="1051" t="s">
        <v>46</v>
      </c>
      <c r="DG23" s="1080">
        <v>235020</v>
      </c>
      <c r="DH23" s="625">
        <f t="shared" si="42"/>
        <v>0</v>
      </c>
      <c r="DI23" s="625">
        <f t="shared" si="43"/>
        <v>0</v>
      </c>
      <c r="DJ23" s="626" t="str">
        <f t="shared" si="44"/>
        <v>00</v>
      </c>
    </row>
    <row r="24" spans="1:114" s="5" customFormat="1" ht="15" customHeight="1">
      <c r="A24" s="1237"/>
      <c r="B24" s="1237"/>
      <c r="C24" s="1237"/>
      <c r="D24" s="1237"/>
      <c r="E24" s="1237"/>
      <c r="F24" s="1237"/>
      <c r="G24" s="1237"/>
      <c r="H24" s="1237"/>
      <c r="I24" s="1237"/>
      <c r="J24" s="1237"/>
      <c r="K24" s="1237"/>
      <c r="L24" s="1237"/>
      <c r="M24" s="1237"/>
      <c r="N24" s="1237"/>
      <c r="O24" s="1237"/>
      <c r="P24" s="1235">
        <v>21</v>
      </c>
      <c r="Q24" s="1386"/>
      <c r="R24" s="1387"/>
      <c r="S24" s="1368"/>
      <c r="T24" s="1369"/>
      <c r="U24" s="1391"/>
      <c r="V24" s="1360"/>
      <c r="W24" s="1061"/>
      <c r="X24" s="1062"/>
      <c r="Y24" s="1063"/>
      <c r="Z24" s="1153"/>
      <c r="AA24" s="1153"/>
      <c r="AB24" s="1361"/>
      <c r="AC24" s="1352" t="str">
        <f t="shared" si="4"/>
        <v>00</v>
      </c>
      <c r="AD24" s="524" t="str">
        <f t="shared" si="45"/>
        <v/>
      </c>
      <c r="AE24" s="525" t="str">
        <f>IF(AD24="","",VLOOKUP(AD24,所属コード!$A$2:$E$189,2,FALSE))</f>
        <v/>
      </c>
      <c r="AF24" s="1164" t="str">
        <f>IF(AD24="","",VLOOKUP(AD24,所属コード!$A$2:$G$189,7,FALSE))</f>
        <v/>
      </c>
      <c r="AG24" s="1166"/>
      <c r="AH24" s="77"/>
      <c r="AI24" s="77"/>
      <c r="AJ24" s="77"/>
      <c r="AK24" s="15"/>
      <c r="AM24" s="621"/>
      <c r="AN24" s="1090" t="str">
        <f t="shared" si="5"/>
        <v/>
      </c>
      <c r="AO24" s="618" t="str">
        <f t="shared" si="6"/>
        <v/>
      </c>
      <c r="AP24" s="617"/>
      <c r="AQ24" s="617"/>
      <c r="AR24" s="617"/>
      <c r="AS24" s="617"/>
      <c r="AT24" s="617"/>
      <c r="AU24" s="617"/>
      <c r="AV24" s="620"/>
      <c r="AW24" s="727"/>
      <c r="AX24" s="728"/>
      <c r="AY24" s="728"/>
      <c r="AZ24" s="728"/>
      <c r="BA24" s="728"/>
      <c r="BB24" s="728"/>
      <c r="BC24" s="728"/>
      <c r="BD24" s="728"/>
      <c r="BE24" s="728"/>
      <c r="BF24" s="728"/>
      <c r="BG24" s="728"/>
      <c r="BH24" s="728"/>
      <c r="BI24" s="728"/>
      <c r="BJ24" s="728"/>
      <c r="BK24" s="728"/>
      <c r="BL24" s="742"/>
      <c r="BM24" s="747">
        <f t="shared" si="7"/>
        <v>0</v>
      </c>
      <c r="BN24" s="738">
        <f t="shared" si="0"/>
        <v>0</v>
      </c>
      <c r="BO24" s="729">
        <f t="shared" si="1"/>
        <v>0</v>
      </c>
      <c r="BP24" s="730">
        <f t="shared" si="2"/>
        <v>0</v>
      </c>
      <c r="BQ24" s="729">
        <f t="shared" si="2"/>
        <v>0</v>
      </c>
      <c r="BR24" s="729">
        <f t="shared" si="8"/>
        <v>0</v>
      </c>
      <c r="BS24" s="729">
        <f t="shared" si="9"/>
        <v>0</v>
      </c>
      <c r="BT24" s="729">
        <f t="shared" si="10"/>
        <v>0</v>
      </c>
      <c r="BU24" s="729">
        <f t="shared" si="11"/>
        <v>0</v>
      </c>
      <c r="BV24" s="729">
        <f t="shared" si="12"/>
        <v>0</v>
      </c>
      <c r="BW24" s="729">
        <f t="shared" si="13"/>
        <v>0</v>
      </c>
      <c r="BX24" s="729">
        <f t="shared" si="13"/>
        <v>0</v>
      </c>
      <c r="BY24" s="729">
        <f t="shared" si="14"/>
        <v>0</v>
      </c>
      <c r="BZ24" s="729">
        <f t="shared" si="14"/>
        <v>0</v>
      </c>
      <c r="CA24" s="729">
        <f t="shared" si="15"/>
        <v>0</v>
      </c>
      <c r="CB24" s="729">
        <f t="shared" si="16"/>
        <v>0</v>
      </c>
      <c r="CC24" s="729">
        <f t="shared" si="16"/>
        <v>0</v>
      </c>
      <c r="CD24" s="729">
        <f t="shared" si="16"/>
        <v>0</v>
      </c>
      <c r="CE24" s="729">
        <f t="shared" si="17"/>
        <v>0</v>
      </c>
      <c r="CF24" s="729">
        <f t="shared" si="18"/>
        <v>0</v>
      </c>
      <c r="CG24" s="729">
        <f t="shared" si="19"/>
        <v>0</v>
      </c>
      <c r="CH24" s="729">
        <f t="shared" si="20"/>
        <v>0</v>
      </c>
      <c r="CI24" s="729">
        <f t="shared" si="21"/>
        <v>0</v>
      </c>
      <c r="CJ24" s="729">
        <f t="shared" si="22"/>
        <v>0</v>
      </c>
      <c r="CK24" s="729">
        <f t="shared" si="23"/>
        <v>0</v>
      </c>
      <c r="CL24" s="729">
        <f t="shared" si="24"/>
        <v>0</v>
      </c>
      <c r="CM24" s="729">
        <f t="shared" si="25"/>
        <v>0</v>
      </c>
      <c r="CN24" s="729">
        <f t="shared" si="26"/>
        <v>0</v>
      </c>
      <c r="CO24" s="729">
        <f t="shared" si="27"/>
        <v>0</v>
      </c>
      <c r="CP24" s="729">
        <f t="shared" si="28"/>
        <v>0</v>
      </c>
      <c r="CQ24" s="729">
        <f t="shared" si="29"/>
        <v>0</v>
      </c>
      <c r="CR24" s="729">
        <f t="shared" si="30"/>
        <v>0</v>
      </c>
      <c r="CS24" s="729">
        <f t="shared" si="31"/>
        <v>0</v>
      </c>
      <c r="CT24" s="729">
        <f t="shared" si="31"/>
        <v>0</v>
      </c>
      <c r="CU24" s="731">
        <f t="shared" si="32"/>
        <v>0</v>
      </c>
      <c r="CV24" s="692" t="str">
        <f t="shared" si="33"/>
        <v/>
      </c>
      <c r="CW24" s="659" t="str">
        <f t="shared" si="34"/>
        <v/>
      </c>
      <c r="CX24" s="659" t="str">
        <f t="shared" si="35"/>
        <v/>
      </c>
      <c r="CY24" s="659" t="str">
        <f t="shared" si="36"/>
        <v/>
      </c>
      <c r="CZ24" s="659" t="str">
        <f t="shared" si="37"/>
        <v/>
      </c>
      <c r="DA24" s="659" t="str">
        <f t="shared" si="38"/>
        <v/>
      </c>
      <c r="DB24" s="82" t="str">
        <f t="shared" si="39"/>
        <v/>
      </c>
      <c r="DC24" s="625" t="str">
        <f t="shared" si="3"/>
        <v/>
      </c>
      <c r="DD24" s="625" t="str">
        <f t="shared" si="40"/>
        <v>0</v>
      </c>
      <c r="DE24" s="620">
        <f t="shared" si="41"/>
        <v>0</v>
      </c>
      <c r="DF24" s="1051" t="s">
        <v>47</v>
      </c>
      <c r="DG24" s="1080">
        <v>235021</v>
      </c>
      <c r="DH24" s="625">
        <f t="shared" si="42"/>
        <v>0</v>
      </c>
      <c r="DI24" s="625">
        <f t="shared" si="43"/>
        <v>0</v>
      </c>
      <c r="DJ24" s="626" t="str">
        <f t="shared" si="44"/>
        <v>00</v>
      </c>
    </row>
    <row r="25" spans="1:114" s="5" customFormat="1" ht="15" customHeight="1">
      <c r="A25" s="1237"/>
      <c r="B25" s="1237"/>
      <c r="C25" s="1237"/>
      <c r="D25" s="1237"/>
      <c r="E25" s="1237"/>
      <c r="F25" s="1237"/>
      <c r="G25" s="1237"/>
      <c r="H25" s="1237"/>
      <c r="I25" s="1237"/>
      <c r="J25" s="1237"/>
      <c r="K25" s="1237"/>
      <c r="L25" s="1237"/>
      <c r="M25" s="1237"/>
      <c r="N25" s="1237"/>
      <c r="O25" s="1237"/>
      <c r="P25" s="1235">
        <v>22</v>
      </c>
      <c r="Q25" s="1386"/>
      <c r="R25" s="1387"/>
      <c r="S25" s="1368"/>
      <c r="T25" s="1369"/>
      <c r="U25" s="1391"/>
      <c r="V25" s="1360"/>
      <c r="W25" s="1061"/>
      <c r="X25" s="1062"/>
      <c r="Y25" s="1063"/>
      <c r="Z25" s="1153"/>
      <c r="AA25" s="1153"/>
      <c r="AB25" s="1361"/>
      <c r="AC25" s="1352" t="str">
        <f t="shared" si="4"/>
        <v>00</v>
      </c>
      <c r="AD25" s="524" t="str">
        <f t="shared" si="45"/>
        <v/>
      </c>
      <c r="AE25" s="525" t="str">
        <f>IF(AD25="","",VLOOKUP(AD25,所属コード!$A$2:$E$189,2,FALSE))</f>
        <v/>
      </c>
      <c r="AF25" s="1164" t="str">
        <f>IF(AD25="","",VLOOKUP(AD25,所属コード!$A$2:$G$189,7,FALSE))</f>
        <v/>
      </c>
      <c r="AG25" s="1166"/>
      <c r="AH25" s="77"/>
      <c r="AI25" s="77"/>
      <c r="AJ25" s="77"/>
      <c r="AK25" s="15"/>
      <c r="AM25" s="621"/>
      <c r="AN25" s="1090" t="str">
        <f t="shared" si="5"/>
        <v/>
      </c>
      <c r="AO25" s="618" t="str">
        <f t="shared" si="6"/>
        <v/>
      </c>
      <c r="AP25" s="617"/>
      <c r="AQ25" s="617"/>
      <c r="AR25" s="617"/>
      <c r="AS25" s="617"/>
      <c r="AT25" s="617"/>
      <c r="AU25" s="617"/>
      <c r="AV25" s="620"/>
      <c r="AW25" s="727"/>
      <c r="AX25" s="728"/>
      <c r="AY25" s="728"/>
      <c r="AZ25" s="728"/>
      <c r="BA25" s="728"/>
      <c r="BB25" s="728"/>
      <c r="BC25" s="728"/>
      <c r="BD25" s="728"/>
      <c r="BE25" s="728"/>
      <c r="BF25" s="728"/>
      <c r="BG25" s="728"/>
      <c r="BH25" s="728"/>
      <c r="BI25" s="728"/>
      <c r="BJ25" s="728"/>
      <c r="BK25" s="728"/>
      <c r="BL25" s="742"/>
      <c r="BM25" s="747">
        <f t="shared" si="7"/>
        <v>0</v>
      </c>
      <c r="BN25" s="738">
        <f t="shared" si="0"/>
        <v>0</v>
      </c>
      <c r="BO25" s="729">
        <f t="shared" si="1"/>
        <v>0</v>
      </c>
      <c r="BP25" s="730">
        <f t="shared" si="2"/>
        <v>0</v>
      </c>
      <c r="BQ25" s="729">
        <f t="shared" si="2"/>
        <v>0</v>
      </c>
      <c r="BR25" s="729">
        <f t="shared" si="8"/>
        <v>0</v>
      </c>
      <c r="BS25" s="729">
        <f t="shared" si="9"/>
        <v>0</v>
      </c>
      <c r="BT25" s="729">
        <f t="shared" si="10"/>
        <v>0</v>
      </c>
      <c r="BU25" s="729">
        <f t="shared" si="11"/>
        <v>0</v>
      </c>
      <c r="BV25" s="729">
        <f t="shared" si="12"/>
        <v>0</v>
      </c>
      <c r="BW25" s="729">
        <f t="shared" si="13"/>
        <v>0</v>
      </c>
      <c r="BX25" s="729">
        <f t="shared" si="13"/>
        <v>0</v>
      </c>
      <c r="BY25" s="729">
        <f t="shared" si="14"/>
        <v>0</v>
      </c>
      <c r="BZ25" s="729">
        <f t="shared" si="14"/>
        <v>0</v>
      </c>
      <c r="CA25" s="729">
        <f t="shared" si="15"/>
        <v>0</v>
      </c>
      <c r="CB25" s="729">
        <f t="shared" si="16"/>
        <v>0</v>
      </c>
      <c r="CC25" s="729">
        <f t="shared" si="16"/>
        <v>0</v>
      </c>
      <c r="CD25" s="729">
        <f t="shared" si="16"/>
        <v>0</v>
      </c>
      <c r="CE25" s="729">
        <f t="shared" si="17"/>
        <v>0</v>
      </c>
      <c r="CF25" s="729">
        <f t="shared" si="18"/>
        <v>0</v>
      </c>
      <c r="CG25" s="729">
        <f t="shared" si="19"/>
        <v>0</v>
      </c>
      <c r="CH25" s="729">
        <f t="shared" si="20"/>
        <v>0</v>
      </c>
      <c r="CI25" s="729">
        <f t="shared" si="21"/>
        <v>0</v>
      </c>
      <c r="CJ25" s="729">
        <f t="shared" si="22"/>
        <v>0</v>
      </c>
      <c r="CK25" s="729">
        <f t="shared" si="23"/>
        <v>0</v>
      </c>
      <c r="CL25" s="729">
        <f t="shared" si="24"/>
        <v>0</v>
      </c>
      <c r="CM25" s="729">
        <f t="shared" si="25"/>
        <v>0</v>
      </c>
      <c r="CN25" s="729">
        <f t="shared" si="26"/>
        <v>0</v>
      </c>
      <c r="CO25" s="729">
        <f t="shared" si="27"/>
        <v>0</v>
      </c>
      <c r="CP25" s="729">
        <f t="shared" si="28"/>
        <v>0</v>
      </c>
      <c r="CQ25" s="729">
        <f t="shared" si="29"/>
        <v>0</v>
      </c>
      <c r="CR25" s="729">
        <f t="shared" si="30"/>
        <v>0</v>
      </c>
      <c r="CS25" s="729">
        <f t="shared" si="31"/>
        <v>0</v>
      </c>
      <c r="CT25" s="729">
        <f t="shared" si="31"/>
        <v>0</v>
      </c>
      <c r="CU25" s="731">
        <f t="shared" si="32"/>
        <v>0</v>
      </c>
      <c r="CV25" s="692" t="str">
        <f t="shared" si="33"/>
        <v/>
      </c>
      <c r="CW25" s="659" t="str">
        <f t="shared" si="34"/>
        <v/>
      </c>
      <c r="CX25" s="659" t="str">
        <f t="shared" si="35"/>
        <v/>
      </c>
      <c r="CY25" s="659" t="str">
        <f t="shared" si="36"/>
        <v/>
      </c>
      <c r="CZ25" s="659" t="str">
        <f t="shared" si="37"/>
        <v/>
      </c>
      <c r="DA25" s="659" t="str">
        <f t="shared" si="38"/>
        <v/>
      </c>
      <c r="DB25" s="82" t="str">
        <f t="shared" si="39"/>
        <v/>
      </c>
      <c r="DC25" s="625" t="str">
        <f t="shared" si="3"/>
        <v/>
      </c>
      <c r="DD25" s="625" t="str">
        <f t="shared" si="40"/>
        <v>0</v>
      </c>
      <c r="DE25" s="620">
        <f t="shared" si="41"/>
        <v>0</v>
      </c>
      <c r="DF25" s="1051" t="s">
        <v>48</v>
      </c>
      <c r="DG25" s="1080">
        <v>235022</v>
      </c>
      <c r="DH25" s="625">
        <f t="shared" si="42"/>
        <v>0</v>
      </c>
      <c r="DI25" s="625">
        <f t="shared" si="43"/>
        <v>0</v>
      </c>
      <c r="DJ25" s="626" t="str">
        <f t="shared" si="44"/>
        <v>00</v>
      </c>
    </row>
    <row r="26" spans="1:114" s="5" customFormat="1" ht="15" customHeight="1">
      <c r="A26" s="1237"/>
      <c r="B26" s="1237"/>
      <c r="C26" s="1237"/>
      <c r="D26" s="1237"/>
      <c r="E26" s="1237"/>
      <c r="F26" s="1237"/>
      <c r="G26" s="1237"/>
      <c r="H26" s="1237"/>
      <c r="I26" s="1237"/>
      <c r="J26" s="1237"/>
      <c r="K26" s="1237"/>
      <c r="L26" s="1237"/>
      <c r="M26" s="1237"/>
      <c r="N26" s="1237"/>
      <c r="O26" s="1237"/>
      <c r="P26" s="1235">
        <v>23</v>
      </c>
      <c r="Q26" s="1386"/>
      <c r="R26" s="1387"/>
      <c r="S26" s="1368"/>
      <c r="T26" s="1369"/>
      <c r="U26" s="1391"/>
      <c r="V26" s="1360"/>
      <c r="W26" s="1061"/>
      <c r="X26" s="1062"/>
      <c r="Y26" s="1063"/>
      <c r="Z26" s="1153"/>
      <c r="AA26" s="1153"/>
      <c r="AB26" s="1361"/>
      <c r="AC26" s="1352" t="str">
        <f t="shared" si="4"/>
        <v>00</v>
      </c>
      <c r="AD26" s="524" t="str">
        <f t="shared" si="45"/>
        <v/>
      </c>
      <c r="AE26" s="525" t="str">
        <f>IF(AD26="","",VLOOKUP(AD26,所属コード!$A$2:$E$189,2,FALSE))</f>
        <v/>
      </c>
      <c r="AF26" s="1164" t="str">
        <f>IF(AD26="","",VLOOKUP(AD26,所属コード!$A$2:$G$189,7,FALSE))</f>
        <v/>
      </c>
      <c r="AG26" s="1166"/>
      <c r="AH26" s="77"/>
      <c r="AI26" s="77"/>
      <c r="AJ26" s="77"/>
      <c r="AK26" s="15"/>
      <c r="AM26" s="621"/>
      <c r="AN26" s="1090" t="str">
        <f t="shared" si="5"/>
        <v/>
      </c>
      <c r="AO26" s="618" t="str">
        <f t="shared" si="6"/>
        <v/>
      </c>
      <c r="AP26" s="617"/>
      <c r="AQ26" s="617"/>
      <c r="AR26" s="617"/>
      <c r="AS26" s="617"/>
      <c r="AT26" s="617"/>
      <c r="AU26" s="617"/>
      <c r="AV26" s="620"/>
      <c r="AW26" s="727"/>
      <c r="AX26" s="728"/>
      <c r="AY26" s="728"/>
      <c r="AZ26" s="728"/>
      <c r="BA26" s="728"/>
      <c r="BB26" s="728"/>
      <c r="BC26" s="728"/>
      <c r="BD26" s="728"/>
      <c r="BE26" s="728"/>
      <c r="BF26" s="728"/>
      <c r="BG26" s="728"/>
      <c r="BH26" s="728"/>
      <c r="BI26" s="728"/>
      <c r="BJ26" s="728"/>
      <c r="BK26" s="728"/>
      <c r="BL26" s="742"/>
      <c r="BM26" s="747">
        <f t="shared" si="7"/>
        <v>0</v>
      </c>
      <c r="BN26" s="738">
        <f t="shared" si="0"/>
        <v>0</v>
      </c>
      <c r="BO26" s="729">
        <f t="shared" si="1"/>
        <v>0</v>
      </c>
      <c r="BP26" s="730">
        <f t="shared" si="2"/>
        <v>0</v>
      </c>
      <c r="BQ26" s="729">
        <f t="shared" si="2"/>
        <v>0</v>
      </c>
      <c r="BR26" s="729">
        <f t="shared" si="8"/>
        <v>0</v>
      </c>
      <c r="BS26" s="729">
        <f t="shared" si="9"/>
        <v>0</v>
      </c>
      <c r="BT26" s="729">
        <f t="shared" si="10"/>
        <v>0</v>
      </c>
      <c r="BU26" s="729">
        <f t="shared" si="11"/>
        <v>0</v>
      </c>
      <c r="BV26" s="729">
        <f t="shared" si="12"/>
        <v>0</v>
      </c>
      <c r="BW26" s="729">
        <f t="shared" si="13"/>
        <v>0</v>
      </c>
      <c r="BX26" s="729">
        <f t="shared" si="13"/>
        <v>0</v>
      </c>
      <c r="BY26" s="729">
        <f t="shared" si="14"/>
        <v>0</v>
      </c>
      <c r="BZ26" s="729">
        <f t="shared" si="14"/>
        <v>0</v>
      </c>
      <c r="CA26" s="729">
        <f t="shared" si="15"/>
        <v>0</v>
      </c>
      <c r="CB26" s="729">
        <f t="shared" si="16"/>
        <v>0</v>
      </c>
      <c r="CC26" s="729">
        <f t="shared" si="16"/>
        <v>0</v>
      </c>
      <c r="CD26" s="729">
        <f t="shared" si="16"/>
        <v>0</v>
      </c>
      <c r="CE26" s="729">
        <f t="shared" si="17"/>
        <v>0</v>
      </c>
      <c r="CF26" s="729">
        <f t="shared" si="18"/>
        <v>0</v>
      </c>
      <c r="CG26" s="729">
        <f t="shared" si="19"/>
        <v>0</v>
      </c>
      <c r="CH26" s="729">
        <f t="shared" si="20"/>
        <v>0</v>
      </c>
      <c r="CI26" s="729">
        <f t="shared" si="21"/>
        <v>0</v>
      </c>
      <c r="CJ26" s="729">
        <f t="shared" si="22"/>
        <v>0</v>
      </c>
      <c r="CK26" s="729">
        <f t="shared" si="23"/>
        <v>0</v>
      </c>
      <c r="CL26" s="729">
        <f t="shared" si="24"/>
        <v>0</v>
      </c>
      <c r="CM26" s="729">
        <f t="shared" si="25"/>
        <v>0</v>
      </c>
      <c r="CN26" s="729">
        <f t="shared" si="26"/>
        <v>0</v>
      </c>
      <c r="CO26" s="729">
        <f t="shared" si="27"/>
        <v>0</v>
      </c>
      <c r="CP26" s="729">
        <f t="shared" si="28"/>
        <v>0</v>
      </c>
      <c r="CQ26" s="729">
        <f t="shared" si="29"/>
        <v>0</v>
      </c>
      <c r="CR26" s="729">
        <f t="shared" si="30"/>
        <v>0</v>
      </c>
      <c r="CS26" s="729">
        <f t="shared" si="31"/>
        <v>0</v>
      </c>
      <c r="CT26" s="729">
        <f t="shared" si="31"/>
        <v>0</v>
      </c>
      <c r="CU26" s="731">
        <f t="shared" si="32"/>
        <v>0</v>
      </c>
      <c r="CV26" s="692" t="str">
        <f t="shared" si="33"/>
        <v/>
      </c>
      <c r="CW26" s="659" t="str">
        <f t="shared" si="34"/>
        <v/>
      </c>
      <c r="CX26" s="659" t="str">
        <f t="shared" si="35"/>
        <v/>
      </c>
      <c r="CY26" s="659" t="str">
        <f t="shared" si="36"/>
        <v/>
      </c>
      <c r="CZ26" s="659" t="str">
        <f t="shared" si="37"/>
        <v/>
      </c>
      <c r="DA26" s="659" t="str">
        <f t="shared" si="38"/>
        <v/>
      </c>
      <c r="DB26" s="82" t="str">
        <f t="shared" si="39"/>
        <v/>
      </c>
      <c r="DC26" s="625" t="str">
        <f t="shared" si="3"/>
        <v/>
      </c>
      <c r="DD26" s="625" t="str">
        <f t="shared" si="40"/>
        <v>0</v>
      </c>
      <c r="DE26" s="620">
        <f t="shared" si="41"/>
        <v>0</v>
      </c>
      <c r="DF26" s="1051" t="s">
        <v>49</v>
      </c>
      <c r="DG26" s="1080">
        <v>235023</v>
      </c>
      <c r="DH26" s="625">
        <f t="shared" si="42"/>
        <v>0</v>
      </c>
      <c r="DI26" s="625">
        <f t="shared" si="43"/>
        <v>0</v>
      </c>
      <c r="DJ26" s="626" t="str">
        <f t="shared" si="44"/>
        <v>00</v>
      </c>
    </row>
    <row r="27" spans="1:114" s="5" customFormat="1" ht="15" customHeight="1">
      <c r="A27" s="1237"/>
      <c r="B27" s="1237"/>
      <c r="C27" s="1237"/>
      <c r="D27" s="1237"/>
      <c r="E27" s="1237"/>
      <c r="F27" s="1237"/>
      <c r="G27" s="1237"/>
      <c r="H27" s="1237"/>
      <c r="I27" s="1237"/>
      <c r="J27" s="1237"/>
      <c r="K27" s="1237"/>
      <c r="L27" s="1237"/>
      <c r="M27" s="1237"/>
      <c r="N27" s="1237"/>
      <c r="O27" s="1237"/>
      <c r="P27" s="1235">
        <v>24</v>
      </c>
      <c r="Q27" s="1386"/>
      <c r="R27" s="1387"/>
      <c r="S27" s="1368"/>
      <c r="T27" s="1369"/>
      <c r="U27" s="1391"/>
      <c r="V27" s="1360"/>
      <c r="W27" s="1061"/>
      <c r="X27" s="1062"/>
      <c r="Y27" s="1063"/>
      <c r="Z27" s="1153"/>
      <c r="AA27" s="1153"/>
      <c r="AB27" s="1361"/>
      <c r="AC27" s="1352" t="str">
        <f t="shared" si="4"/>
        <v>00</v>
      </c>
      <c r="AD27" s="524" t="str">
        <f t="shared" si="45"/>
        <v/>
      </c>
      <c r="AE27" s="525" t="str">
        <f>IF(AD27="","",VLOOKUP(AD27,所属コード!$A$2:$E$189,2,FALSE))</f>
        <v/>
      </c>
      <c r="AF27" s="1164" t="str">
        <f>IF(AD27="","",VLOOKUP(AD27,所属コード!$A$2:$G$189,7,FALSE))</f>
        <v/>
      </c>
      <c r="AG27" s="1166"/>
      <c r="AH27" s="77"/>
      <c r="AI27" s="77"/>
      <c r="AJ27" s="77"/>
      <c r="AK27" s="15"/>
      <c r="AM27" s="621"/>
      <c r="AN27" s="1090" t="str">
        <f t="shared" si="5"/>
        <v/>
      </c>
      <c r="AO27" s="618" t="str">
        <f t="shared" si="6"/>
        <v/>
      </c>
      <c r="AP27" s="617"/>
      <c r="AQ27" s="617"/>
      <c r="AR27" s="617"/>
      <c r="AS27" s="617"/>
      <c r="AT27" s="617"/>
      <c r="AU27" s="617"/>
      <c r="AV27" s="620"/>
      <c r="AW27" s="727"/>
      <c r="AX27" s="728"/>
      <c r="AY27" s="728"/>
      <c r="AZ27" s="728"/>
      <c r="BA27" s="728"/>
      <c r="BB27" s="728"/>
      <c r="BC27" s="728"/>
      <c r="BD27" s="728"/>
      <c r="BE27" s="728"/>
      <c r="BF27" s="728"/>
      <c r="BG27" s="728"/>
      <c r="BH27" s="728"/>
      <c r="BI27" s="728"/>
      <c r="BJ27" s="728"/>
      <c r="BK27" s="728"/>
      <c r="BL27" s="742"/>
      <c r="BM27" s="747">
        <f t="shared" si="7"/>
        <v>0</v>
      </c>
      <c r="BN27" s="738">
        <f t="shared" si="0"/>
        <v>0</v>
      </c>
      <c r="BO27" s="729">
        <f t="shared" si="1"/>
        <v>0</v>
      </c>
      <c r="BP27" s="730">
        <f t="shared" si="2"/>
        <v>0</v>
      </c>
      <c r="BQ27" s="729">
        <f t="shared" si="2"/>
        <v>0</v>
      </c>
      <c r="BR27" s="729">
        <f t="shared" si="8"/>
        <v>0</v>
      </c>
      <c r="BS27" s="729">
        <f t="shared" si="9"/>
        <v>0</v>
      </c>
      <c r="BT27" s="729">
        <f t="shared" si="10"/>
        <v>0</v>
      </c>
      <c r="BU27" s="729">
        <f t="shared" si="11"/>
        <v>0</v>
      </c>
      <c r="BV27" s="729">
        <f t="shared" si="12"/>
        <v>0</v>
      </c>
      <c r="BW27" s="729">
        <f t="shared" si="13"/>
        <v>0</v>
      </c>
      <c r="BX27" s="729">
        <f t="shared" si="13"/>
        <v>0</v>
      </c>
      <c r="BY27" s="729">
        <f t="shared" si="14"/>
        <v>0</v>
      </c>
      <c r="BZ27" s="729">
        <f t="shared" si="14"/>
        <v>0</v>
      </c>
      <c r="CA27" s="729">
        <f t="shared" si="15"/>
        <v>0</v>
      </c>
      <c r="CB27" s="729">
        <f t="shared" si="16"/>
        <v>0</v>
      </c>
      <c r="CC27" s="729">
        <f t="shared" si="16"/>
        <v>0</v>
      </c>
      <c r="CD27" s="729">
        <f t="shared" si="16"/>
        <v>0</v>
      </c>
      <c r="CE27" s="729">
        <f t="shared" si="17"/>
        <v>0</v>
      </c>
      <c r="CF27" s="729">
        <f t="shared" si="18"/>
        <v>0</v>
      </c>
      <c r="CG27" s="729">
        <f t="shared" si="19"/>
        <v>0</v>
      </c>
      <c r="CH27" s="729">
        <f t="shared" si="20"/>
        <v>0</v>
      </c>
      <c r="CI27" s="729">
        <f t="shared" si="21"/>
        <v>0</v>
      </c>
      <c r="CJ27" s="729">
        <f t="shared" si="22"/>
        <v>0</v>
      </c>
      <c r="CK27" s="729">
        <f t="shared" si="23"/>
        <v>0</v>
      </c>
      <c r="CL27" s="729">
        <f t="shared" si="24"/>
        <v>0</v>
      </c>
      <c r="CM27" s="729">
        <f t="shared" si="25"/>
        <v>0</v>
      </c>
      <c r="CN27" s="729">
        <f t="shared" si="26"/>
        <v>0</v>
      </c>
      <c r="CO27" s="729">
        <f t="shared" si="27"/>
        <v>0</v>
      </c>
      <c r="CP27" s="729">
        <f t="shared" si="28"/>
        <v>0</v>
      </c>
      <c r="CQ27" s="729">
        <f t="shared" si="29"/>
        <v>0</v>
      </c>
      <c r="CR27" s="729">
        <f t="shared" si="30"/>
        <v>0</v>
      </c>
      <c r="CS27" s="729">
        <f t="shared" si="31"/>
        <v>0</v>
      </c>
      <c r="CT27" s="729">
        <f t="shared" si="31"/>
        <v>0</v>
      </c>
      <c r="CU27" s="731">
        <f t="shared" si="32"/>
        <v>0</v>
      </c>
      <c r="CV27" s="692" t="str">
        <f t="shared" si="33"/>
        <v/>
      </c>
      <c r="CW27" s="659" t="str">
        <f t="shared" si="34"/>
        <v/>
      </c>
      <c r="CX27" s="659" t="str">
        <f t="shared" si="35"/>
        <v/>
      </c>
      <c r="CY27" s="659" t="str">
        <f t="shared" si="36"/>
        <v/>
      </c>
      <c r="CZ27" s="659" t="str">
        <f t="shared" si="37"/>
        <v/>
      </c>
      <c r="DA27" s="659" t="str">
        <f t="shared" si="38"/>
        <v/>
      </c>
      <c r="DB27" s="82" t="str">
        <f t="shared" si="39"/>
        <v/>
      </c>
      <c r="DC27" s="625" t="str">
        <f t="shared" si="3"/>
        <v/>
      </c>
      <c r="DD27" s="625" t="str">
        <f t="shared" si="40"/>
        <v>0</v>
      </c>
      <c r="DE27" s="620">
        <f t="shared" si="41"/>
        <v>0</v>
      </c>
      <c r="DF27" s="1051" t="s">
        <v>50</v>
      </c>
      <c r="DG27" s="1080">
        <v>235024</v>
      </c>
      <c r="DH27" s="625">
        <f t="shared" si="42"/>
        <v>0</v>
      </c>
      <c r="DI27" s="625">
        <f t="shared" si="43"/>
        <v>0</v>
      </c>
      <c r="DJ27" s="626" t="str">
        <f t="shared" si="44"/>
        <v>00</v>
      </c>
    </row>
    <row r="28" spans="1:114" s="5" customFormat="1" ht="15" customHeight="1">
      <c r="A28" s="1237"/>
      <c r="B28" s="1237"/>
      <c r="C28" s="1237"/>
      <c r="D28" s="1237"/>
      <c r="E28" s="1237"/>
      <c r="F28" s="1237"/>
      <c r="G28" s="1237"/>
      <c r="H28" s="1237"/>
      <c r="I28" s="1237"/>
      <c r="J28" s="1237"/>
      <c r="K28" s="1237"/>
      <c r="L28" s="1237"/>
      <c r="M28" s="1237"/>
      <c r="N28" s="1237"/>
      <c r="O28" s="1237"/>
      <c r="P28" s="1235">
        <v>25</v>
      </c>
      <c r="Q28" s="1386"/>
      <c r="R28" s="1387"/>
      <c r="S28" s="1368"/>
      <c r="T28" s="1369"/>
      <c r="U28" s="1391"/>
      <c r="V28" s="1360"/>
      <c r="W28" s="1061"/>
      <c r="X28" s="1062"/>
      <c r="Y28" s="1063"/>
      <c r="Z28" s="1153"/>
      <c r="AA28" s="1153"/>
      <c r="AB28" s="1361"/>
      <c r="AC28" s="1352" t="str">
        <f t="shared" si="4"/>
        <v>00</v>
      </c>
      <c r="AD28" s="524" t="str">
        <f t="shared" si="45"/>
        <v/>
      </c>
      <c r="AE28" s="525" t="str">
        <f>IF(AD28="","",VLOOKUP(AD28,所属コード!$A$2:$E$189,2,FALSE))</f>
        <v/>
      </c>
      <c r="AF28" s="1164" t="str">
        <f>IF(AD28="","",VLOOKUP(AD28,所属コード!$A$2:$G$189,7,FALSE))</f>
        <v/>
      </c>
      <c r="AG28" s="1166"/>
      <c r="AH28" s="77"/>
      <c r="AI28" s="77"/>
      <c r="AJ28" s="77"/>
      <c r="AK28" s="15"/>
      <c r="AM28" s="621"/>
      <c r="AN28" s="1090" t="str">
        <f t="shared" si="5"/>
        <v/>
      </c>
      <c r="AO28" s="618" t="str">
        <f t="shared" si="6"/>
        <v/>
      </c>
      <c r="AP28" s="617"/>
      <c r="AQ28" s="617"/>
      <c r="AR28" s="617"/>
      <c r="AS28" s="617"/>
      <c r="AT28" s="617"/>
      <c r="AU28" s="617"/>
      <c r="AV28" s="620"/>
      <c r="AW28" s="727"/>
      <c r="AX28" s="728"/>
      <c r="AY28" s="728"/>
      <c r="AZ28" s="728"/>
      <c r="BA28" s="728"/>
      <c r="BB28" s="728"/>
      <c r="BC28" s="728"/>
      <c r="BD28" s="728"/>
      <c r="BE28" s="728"/>
      <c r="BF28" s="728"/>
      <c r="BG28" s="728"/>
      <c r="BH28" s="728"/>
      <c r="BI28" s="728"/>
      <c r="BJ28" s="728"/>
      <c r="BK28" s="728"/>
      <c r="BL28" s="742"/>
      <c r="BM28" s="747">
        <f t="shared" si="7"/>
        <v>0</v>
      </c>
      <c r="BN28" s="738">
        <f t="shared" si="0"/>
        <v>0</v>
      </c>
      <c r="BO28" s="729">
        <f t="shared" si="1"/>
        <v>0</v>
      </c>
      <c r="BP28" s="730">
        <f t="shared" si="2"/>
        <v>0</v>
      </c>
      <c r="BQ28" s="729">
        <f t="shared" si="2"/>
        <v>0</v>
      </c>
      <c r="BR28" s="729">
        <f t="shared" si="8"/>
        <v>0</v>
      </c>
      <c r="BS28" s="729">
        <f t="shared" si="9"/>
        <v>0</v>
      </c>
      <c r="BT28" s="729">
        <f t="shared" si="10"/>
        <v>0</v>
      </c>
      <c r="BU28" s="729">
        <f t="shared" si="11"/>
        <v>0</v>
      </c>
      <c r="BV28" s="729">
        <f t="shared" si="12"/>
        <v>0</v>
      </c>
      <c r="BW28" s="729">
        <f t="shared" si="13"/>
        <v>0</v>
      </c>
      <c r="BX28" s="729">
        <f t="shared" si="13"/>
        <v>0</v>
      </c>
      <c r="BY28" s="729">
        <f t="shared" si="14"/>
        <v>0</v>
      </c>
      <c r="BZ28" s="729">
        <f t="shared" si="14"/>
        <v>0</v>
      </c>
      <c r="CA28" s="729">
        <f t="shared" si="15"/>
        <v>0</v>
      </c>
      <c r="CB28" s="729">
        <f t="shared" si="16"/>
        <v>0</v>
      </c>
      <c r="CC28" s="729">
        <f t="shared" si="16"/>
        <v>0</v>
      </c>
      <c r="CD28" s="729">
        <f t="shared" si="16"/>
        <v>0</v>
      </c>
      <c r="CE28" s="729">
        <f t="shared" si="17"/>
        <v>0</v>
      </c>
      <c r="CF28" s="729">
        <f t="shared" si="18"/>
        <v>0</v>
      </c>
      <c r="CG28" s="729">
        <f t="shared" si="19"/>
        <v>0</v>
      </c>
      <c r="CH28" s="729">
        <f t="shared" si="20"/>
        <v>0</v>
      </c>
      <c r="CI28" s="729">
        <f t="shared" si="21"/>
        <v>0</v>
      </c>
      <c r="CJ28" s="729">
        <f t="shared" si="22"/>
        <v>0</v>
      </c>
      <c r="CK28" s="729">
        <f t="shared" si="23"/>
        <v>0</v>
      </c>
      <c r="CL28" s="729">
        <f t="shared" si="24"/>
        <v>0</v>
      </c>
      <c r="CM28" s="729">
        <f t="shared" si="25"/>
        <v>0</v>
      </c>
      <c r="CN28" s="729">
        <f t="shared" si="26"/>
        <v>0</v>
      </c>
      <c r="CO28" s="729">
        <f t="shared" si="27"/>
        <v>0</v>
      </c>
      <c r="CP28" s="729">
        <f t="shared" si="28"/>
        <v>0</v>
      </c>
      <c r="CQ28" s="729">
        <f t="shared" si="29"/>
        <v>0</v>
      </c>
      <c r="CR28" s="729">
        <f t="shared" si="30"/>
        <v>0</v>
      </c>
      <c r="CS28" s="729">
        <f t="shared" si="31"/>
        <v>0</v>
      </c>
      <c r="CT28" s="729">
        <f t="shared" si="31"/>
        <v>0</v>
      </c>
      <c r="CU28" s="731">
        <f t="shared" si="32"/>
        <v>0</v>
      </c>
      <c r="CV28" s="692" t="str">
        <f t="shared" si="33"/>
        <v/>
      </c>
      <c r="CW28" s="659" t="str">
        <f t="shared" si="34"/>
        <v/>
      </c>
      <c r="CX28" s="659" t="str">
        <f t="shared" si="35"/>
        <v/>
      </c>
      <c r="CY28" s="659" t="str">
        <f t="shared" si="36"/>
        <v/>
      </c>
      <c r="CZ28" s="659" t="str">
        <f t="shared" si="37"/>
        <v/>
      </c>
      <c r="DA28" s="659" t="str">
        <f t="shared" si="38"/>
        <v/>
      </c>
      <c r="DB28" s="82" t="str">
        <f t="shared" si="39"/>
        <v/>
      </c>
      <c r="DC28" s="625" t="str">
        <f t="shared" si="3"/>
        <v/>
      </c>
      <c r="DD28" s="625" t="str">
        <f t="shared" si="40"/>
        <v>0</v>
      </c>
      <c r="DE28" s="620">
        <f t="shared" si="41"/>
        <v>0</v>
      </c>
      <c r="DF28" s="1051" t="s">
        <v>279</v>
      </c>
      <c r="DG28" s="1080">
        <v>235025</v>
      </c>
      <c r="DH28" s="625">
        <f t="shared" si="42"/>
        <v>0</v>
      </c>
      <c r="DI28" s="625">
        <f t="shared" si="43"/>
        <v>0</v>
      </c>
      <c r="DJ28" s="626" t="str">
        <f t="shared" si="44"/>
        <v>00</v>
      </c>
    </row>
    <row r="29" spans="1:114" s="5" customFormat="1" ht="15" customHeight="1">
      <c r="A29" s="1237"/>
      <c r="B29" s="1237"/>
      <c r="C29" s="1237"/>
      <c r="D29" s="1237"/>
      <c r="E29" s="1237"/>
      <c r="F29" s="1237"/>
      <c r="G29" s="1237"/>
      <c r="H29" s="1237"/>
      <c r="I29" s="1237"/>
      <c r="J29" s="1237"/>
      <c r="K29" s="1237"/>
      <c r="L29" s="1237"/>
      <c r="M29" s="1237"/>
      <c r="N29" s="1237"/>
      <c r="O29" s="1237"/>
      <c r="P29" s="1235">
        <v>26</v>
      </c>
      <c r="Q29" s="1386"/>
      <c r="R29" s="1387"/>
      <c r="S29" s="1368"/>
      <c r="T29" s="1369"/>
      <c r="U29" s="1391"/>
      <c r="V29" s="1360"/>
      <c r="W29" s="1061"/>
      <c r="X29" s="1062"/>
      <c r="Y29" s="1063"/>
      <c r="Z29" s="1153"/>
      <c r="AA29" s="1153"/>
      <c r="AB29" s="1361"/>
      <c r="AC29" s="1352" t="str">
        <f t="shared" si="4"/>
        <v>00</v>
      </c>
      <c r="AD29" s="524" t="str">
        <f t="shared" si="45"/>
        <v/>
      </c>
      <c r="AE29" s="525" t="str">
        <f>IF(AD29="","",VLOOKUP(AD29,所属コード!$A$2:$E$189,2,FALSE))</f>
        <v/>
      </c>
      <c r="AF29" s="1164" t="str">
        <f>IF(AD29="","",VLOOKUP(AD29,所属コード!$A$2:$G$189,7,FALSE))</f>
        <v/>
      </c>
      <c r="AG29" s="1166"/>
      <c r="AH29" s="77"/>
      <c r="AI29" s="77"/>
      <c r="AJ29" s="77"/>
      <c r="AK29" s="15"/>
      <c r="AM29" s="621"/>
      <c r="AN29" s="1090" t="str">
        <f t="shared" si="5"/>
        <v/>
      </c>
      <c r="AO29" s="618" t="str">
        <f t="shared" si="6"/>
        <v/>
      </c>
      <c r="AP29" s="617"/>
      <c r="AQ29" s="617"/>
      <c r="AR29" s="617"/>
      <c r="AS29" s="617"/>
      <c r="AT29" s="617"/>
      <c r="AU29" s="617"/>
      <c r="AV29" s="620"/>
      <c r="AW29" s="727"/>
      <c r="AX29" s="728"/>
      <c r="AY29" s="728"/>
      <c r="AZ29" s="728"/>
      <c r="BA29" s="728"/>
      <c r="BB29" s="728"/>
      <c r="BC29" s="728"/>
      <c r="BD29" s="728"/>
      <c r="BE29" s="728"/>
      <c r="BF29" s="728"/>
      <c r="BG29" s="728"/>
      <c r="BH29" s="728"/>
      <c r="BI29" s="728"/>
      <c r="BJ29" s="728"/>
      <c r="BK29" s="728"/>
      <c r="BL29" s="742"/>
      <c r="BM29" s="747">
        <f t="shared" si="7"/>
        <v>0</v>
      </c>
      <c r="BN29" s="738">
        <f t="shared" si="0"/>
        <v>0</v>
      </c>
      <c r="BO29" s="729">
        <f t="shared" si="1"/>
        <v>0</v>
      </c>
      <c r="BP29" s="730">
        <f t="shared" si="2"/>
        <v>0</v>
      </c>
      <c r="BQ29" s="729">
        <f t="shared" si="2"/>
        <v>0</v>
      </c>
      <c r="BR29" s="729">
        <f t="shared" si="8"/>
        <v>0</v>
      </c>
      <c r="BS29" s="729">
        <f t="shared" si="9"/>
        <v>0</v>
      </c>
      <c r="BT29" s="729">
        <f t="shared" si="10"/>
        <v>0</v>
      </c>
      <c r="BU29" s="729">
        <f t="shared" si="11"/>
        <v>0</v>
      </c>
      <c r="BV29" s="729">
        <f t="shared" si="12"/>
        <v>0</v>
      </c>
      <c r="BW29" s="729">
        <f t="shared" si="13"/>
        <v>0</v>
      </c>
      <c r="BX29" s="729">
        <f t="shared" si="13"/>
        <v>0</v>
      </c>
      <c r="BY29" s="729">
        <f t="shared" si="14"/>
        <v>0</v>
      </c>
      <c r="BZ29" s="729">
        <f t="shared" si="14"/>
        <v>0</v>
      </c>
      <c r="CA29" s="729">
        <f t="shared" si="15"/>
        <v>0</v>
      </c>
      <c r="CB29" s="729">
        <f t="shared" si="16"/>
        <v>0</v>
      </c>
      <c r="CC29" s="729">
        <f t="shared" si="16"/>
        <v>0</v>
      </c>
      <c r="CD29" s="729">
        <f t="shared" si="16"/>
        <v>0</v>
      </c>
      <c r="CE29" s="729">
        <f t="shared" si="17"/>
        <v>0</v>
      </c>
      <c r="CF29" s="729">
        <f t="shared" si="18"/>
        <v>0</v>
      </c>
      <c r="CG29" s="729">
        <f t="shared" si="19"/>
        <v>0</v>
      </c>
      <c r="CH29" s="729">
        <f t="shared" si="20"/>
        <v>0</v>
      </c>
      <c r="CI29" s="729">
        <f t="shared" si="21"/>
        <v>0</v>
      </c>
      <c r="CJ29" s="729">
        <f t="shared" si="22"/>
        <v>0</v>
      </c>
      <c r="CK29" s="729">
        <f t="shared" si="23"/>
        <v>0</v>
      </c>
      <c r="CL29" s="729">
        <f t="shared" si="24"/>
        <v>0</v>
      </c>
      <c r="CM29" s="729">
        <f t="shared" si="25"/>
        <v>0</v>
      </c>
      <c r="CN29" s="729">
        <f t="shared" si="26"/>
        <v>0</v>
      </c>
      <c r="CO29" s="729">
        <f t="shared" si="27"/>
        <v>0</v>
      </c>
      <c r="CP29" s="729">
        <f t="shared" si="28"/>
        <v>0</v>
      </c>
      <c r="CQ29" s="729">
        <f t="shared" si="29"/>
        <v>0</v>
      </c>
      <c r="CR29" s="729">
        <f t="shared" si="30"/>
        <v>0</v>
      </c>
      <c r="CS29" s="729">
        <f t="shared" si="31"/>
        <v>0</v>
      </c>
      <c r="CT29" s="729">
        <f t="shared" si="31"/>
        <v>0</v>
      </c>
      <c r="CU29" s="731">
        <f t="shared" si="32"/>
        <v>0</v>
      </c>
      <c r="CV29" s="692" t="str">
        <f t="shared" si="33"/>
        <v/>
      </c>
      <c r="CW29" s="659" t="str">
        <f t="shared" si="34"/>
        <v/>
      </c>
      <c r="CX29" s="659" t="str">
        <f t="shared" si="35"/>
        <v/>
      </c>
      <c r="CY29" s="659" t="str">
        <f t="shared" si="36"/>
        <v/>
      </c>
      <c r="CZ29" s="659" t="str">
        <f t="shared" si="37"/>
        <v/>
      </c>
      <c r="DA29" s="659" t="str">
        <f t="shared" si="38"/>
        <v/>
      </c>
      <c r="DB29" s="82" t="str">
        <f t="shared" si="39"/>
        <v/>
      </c>
      <c r="DC29" s="625" t="str">
        <f t="shared" si="3"/>
        <v/>
      </c>
      <c r="DD29" s="625" t="str">
        <f t="shared" si="40"/>
        <v>0</v>
      </c>
      <c r="DE29" s="620">
        <f t="shared" si="41"/>
        <v>0</v>
      </c>
      <c r="DF29" s="1051" t="s">
        <v>51</v>
      </c>
      <c r="DG29" s="1080">
        <v>235026</v>
      </c>
      <c r="DH29" s="625">
        <f t="shared" si="42"/>
        <v>0</v>
      </c>
      <c r="DI29" s="625">
        <f t="shared" si="43"/>
        <v>0</v>
      </c>
      <c r="DJ29" s="626" t="str">
        <f t="shared" si="44"/>
        <v>00</v>
      </c>
    </row>
    <row r="30" spans="1:114" s="5" customFormat="1" ht="15" customHeight="1">
      <c r="A30" s="1237"/>
      <c r="B30" s="1237"/>
      <c r="C30" s="1237"/>
      <c r="D30" s="1237"/>
      <c r="E30" s="1237"/>
      <c r="F30" s="1237"/>
      <c r="G30" s="1237"/>
      <c r="H30" s="1237"/>
      <c r="I30" s="1237"/>
      <c r="J30" s="1237"/>
      <c r="K30" s="1237"/>
      <c r="L30" s="1237"/>
      <c r="M30" s="1237"/>
      <c r="N30" s="1237"/>
      <c r="O30" s="1237"/>
      <c r="P30" s="1235">
        <v>27</v>
      </c>
      <c r="Q30" s="1386"/>
      <c r="R30" s="1387"/>
      <c r="S30" s="1368"/>
      <c r="T30" s="1369"/>
      <c r="U30" s="1391"/>
      <c r="V30" s="1360"/>
      <c r="W30" s="1061"/>
      <c r="X30" s="1062"/>
      <c r="Y30" s="1063"/>
      <c r="Z30" s="1153"/>
      <c r="AA30" s="1153"/>
      <c r="AB30" s="1361"/>
      <c r="AC30" s="1352" t="str">
        <f t="shared" si="4"/>
        <v>00</v>
      </c>
      <c r="AD30" s="524" t="str">
        <f t="shared" si="45"/>
        <v/>
      </c>
      <c r="AE30" s="525" t="str">
        <f>IF(AD30="","",VLOOKUP(AD30,所属コード!$A$2:$E$189,2,FALSE))</f>
        <v/>
      </c>
      <c r="AF30" s="1164" t="str">
        <f>IF(AD30="","",VLOOKUP(AD30,所属コード!$A$2:$G$189,7,FALSE))</f>
        <v/>
      </c>
      <c r="AG30" s="1166"/>
      <c r="AH30" s="77"/>
      <c r="AI30" s="77"/>
      <c r="AJ30" s="77"/>
      <c r="AK30" s="15"/>
      <c r="AM30" s="621"/>
      <c r="AN30" s="1090" t="str">
        <f t="shared" si="5"/>
        <v/>
      </c>
      <c r="AO30" s="618" t="str">
        <f t="shared" si="6"/>
        <v/>
      </c>
      <c r="AP30" s="617"/>
      <c r="AQ30" s="617"/>
      <c r="AR30" s="617"/>
      <c r="AS30" s="617"/>
      <c r="AT30" s="617"/>
      <c r="AU30" s="617"/>
      <c r="AV30" s="620"/>
      <c r="AW30" s="727"/>
      <c r="AX30" s="728"/>
      <c r="AY30" s="728"/>
      <c r="AZ30" s="728"/>
      <c r="BA30" s="728"/>
      <c r="BB30" s="728"/>
      <c r="BC30" s="728"/>
      <c r="BD30" s="728"/>
      <c r="BE30" s="728"/>
      <c r="BF30" s="728"/>
      <c r="BG30" s="728"/>
      <c r="BH30" s="728"/>
      <c r="BI30" s="728"/>
      <c r="BJ30" s="728"/>
      <c r="BK30" s="728"/>
      <c r="BL30" s="742"/>
      <c r="BM30" s="747">
        <f t="shared" si="7"/>
        <v>0</v>
      </c>
      <c r="BN30" s="738">
        <f t="shared" si="0"/>
        <v>0</v>
      </c>
      <c r="BO30" s="729">
        <f t="shared" si="1"/>
        <v>0</v>
      </c>
      <c r="BP30" s="730">
        <f t="shared" si="2"/>
        <v>0</v>
      </c>
      <c r="BQ30" s="729">
        <f t="shared" si="2"/>
        <v>0</v>
      </c>
      <c r="BR30" s="729">
        <f t="shared" si="8"/>
        <v>0</v>
      </c>
      <c r="BS30" s="729">
        <f t="shared" si="9"/>
        <v>0</v>
      </c>
      <c r="BT30" s="729">
        <f t="shared" si="10"/>
        <v>0</v>
      </c>
      <c r="BU30" s="729">
        <f t="shared" si="11"/>
        <v>0</v>
      </c>
      <c r="BV30" s="729">
        <f t="shared" si="12"/>
        <v>0</v>
      </c>
      <c r="BW30" s="729">
        <f t="shared" si="13"/>
        <v>0</v>
      </c>
      <c r="BX30" s="729">
        <f t="shared" si="13"/>
        <v>0</v>
      </c>
      <c r="BY30" s="729">
        <f t="shared" si="14"/>
        <v>0</v>
      </c>
      <c r="BZ30" s="729">
        <f t="shared" si="14"/>
        <v>0</v>
      </c>
      <c r="CA30" s="729">
        <f t="shared" si="15"/>
        <v>0</v>
      </c>
      <c r="CB30" s="729">
        <f t="shared" si="16"/>
        <v>0</v>
      </c>
      <c r="CC30" s="729">
        <f t="shared" si="16"/>
        <v>0</v>
      </c>
      <c r="CD30" s="729">
        <f t="shared" si="16"/>
        <v>0</v>
      </c>
      <c r="CE30" s="729">
        <f t="shared" si="17"/>
        <v>0</v>
      </c>
      <c r="CF30" s="729">
        <f t="shared" si="18"/>
        <v>0</v>
      </c>
      <c r="CG30" s="729">
        <f t="shared" si="19"/>
        <v>0</v>
      </c>
      <c r="CH30" s="729">
        <f t="shared" si="20"/>
        <v>0</v>
      </c>
      <c r="CI30" s="729">
        <f t="shared" si="21"/>
        <v>0</v>
      </c>
      <c r="CJ30" s="729">
        <f t="shared" si="22"/>
        <v>0</v>
      </c>
      <c r="CK30" s="729">
        <f t="shared" si="23"/>
        <v>0</v>
      </c>
      <c r="CL30" s="729">
        <f t="shared" si="24"/>
        <v>0</v>
      </c>
      <c r="CM30" s="729">
        <f t="shared" si="25"/>
        <v>0</v>
      </c>
      <c r="CN30" s="729">
        <f t="shared" si="26"/>
        <v>0</v>
      </c>
      <c r="CO30" s="729">
        <f t="shared" si="27"/>
        <v>0</v>
      </c>
      <c r="CP30" s="729">
        <f t="shared" si="28"/>
        <v>0</v>
      </c>
      <c r="CQ30" s="729">
        <f t="shared" si="29"/>
        <v>0</v>
      </c>
      <c r="CR30" s="729">
        <f t="shared" si="30"/>
        <v>0</v>
      </c>
      <c r="CS30" s="729">
        <f t="shared" si="31"/>
        <v>0</v>
      </c>
      <c r="CT30" s="729">
        <f t="shared" si="31"/>
        <v>0</v>
      </c>
      <c r="CU30" s="731">
        <f t="shared" si="32"/>
        <v>0</v>
      </c>
      <c r="CV30" s="692" t="str">
        <f t="shared" si="33"/>
        <v/>
      </c>
      <c r="CW30" s="659" t="str">
        <f t="shared" si="34"/>
        <v/>
      </c>
      <c r="CX30" s="659" t="str">
        <f t="shared" si="35"/>
        <v/>
      </c>
      <c r="CY30" s="659" t="str">
        <f t="shared" si="36"/>
        <v/>
      </c>
      <c r="CZ30" s="659" t="str">
        <f t="shared" si="37"/>
        <v/>
      </c>
      <c r="DA30" s="659" t="str">
        <f t="shared" si="38"/>
        <v/>
      </c>
      <c r="DB30" s="82" t="str">
        <f t="shared" si="39"/>
        <v/>
      </c>
      <c r="DC30" s="625" t="str">
        <f t="shared" si="3"/>
        <v/>
      </c>
      <c r="DD30" s="625" t="str">
        <f t="shared" si="40"/>
        <v>0</v>
      </c>
      <c r="DE30" s="620">
        <f t="shared" si="41"/>
        <v>0</v>
      </c>
      <c r="DF30" s="1051" t="s">
        <v>52</v>
      </c>
      <c r="DG30" s="1080">
        <v>235027</v>
      </c>
      <c r="DH30" s="625">
        <f t="shared" si="42"/>
        <v>0</v>
      </c>
      <c r="DI30" s="625">
        <f t="shared" si="43"/>
        <v>0</v>
      </c>
      <c r="DJ30" s="626" t="str">
        <f t="shared" si="44"/>
        <v>00</v>
      </c>
    </row>
    <row r="31" spans="1:114" s="5" customFormat="1" ht="15" customHeight="1">
      <c r="A31" s="1237"/>
      <c r="B31" s="1237"/>
      <c r="C31" s="1237"/>
      <c r="D31" s="1237"/>
      <c r="E31" s="1237"/>
      <c r="F31" s="1237"/>
      <c r="G31" s="1237"/>
      <c r="H31" s="1237"/>
      <c r="I31" s="1237"/>
      <c r="J31" s="1237"/>
      <c r="K31" s="1237"/>
      <c r="L31" s="1237"/>
      <c r="M31" s="1237"/>
      <c r="N31" s="1237"/>
      <c r="O31" s="1237"/>
      <c r="P31" s="1235">
        <v>28</v>
      </c>
      <c r="Q31" s="1386"/>
      <c r="R31" s="1387"/>
      <c r="S31" s="1368"/>
      <c r="T31" s="1369"/>
      <c r="U31" s="1391"/>
      <c r="V31" s="1360"/>
      <c r="W31" s="1061"/>
      <c r="X31" s="1062"/>
      <c r="Y31" s="1063"/>
      <c r="Z31" s="1153"/>
      <c r="AA31" s="1153"/>
      <c r="AB31" s="1361"/>
      <c r="AC31" s="1352" t="str">
        <f t="shared" si="4"/>
        <v>00</v>
      </c>
      <c r="AD31" s="524" t="str">
        <f t="shared" si="45"/>
        <v/>
      </c>
      <c r="AE31" s="525" t="str">
        <f>IF(AD31="","",VLOOKUP(AD31,所属コード!$A$2:$E$189,2,FALSE))</f>
        <v/>
      </c>
      <c r="AF31" s="1164" t="str">
        <f>IF(AD31="","",VLOOKUP(AD31,所属コード!$A$2:$G$189,7,FALSE))</f>
        <v/>
      </c>
      <c r="AG31" s="1166"/>
      <c r="AH31" s="77"/>
      <c r="AI31" s="77"/>
      <c r="AJ31" s="77"/>
      <c r="AK31" s="15"/>
      <c r="AM31" s="621"/>
      <c r="AN31" s="1090" t="str">
        <f t="shared" si="5"/>
        <v/>
      </c>
      <c r="AO31" s="618" t="str">
        <f t="shared" si="6"/>
        <v/>
      </c>
      <c r="AP31" s="617"/>
      <c r="AQ31" s="617"/>
      <c r="AR31" s="617"/>
      <c r="AS31" s="617"/>
      <c r="AT31" s="617"/>
      <c r="AU31" s="617"/>
      <c r="AV31" s="620"/>
      <c r="AW31" s="727"/>
      <c r="AX31" s="728"/>
      <c r="AY31" s="728"/>
      <c r="AZ31" s="728"/>
      <c r="BA31" s="728"/>
      <c r="BB31" s="728"/>
      <c r="BC31" s="728"/>
      <c r="BD31" s="728"/>
      <c r="BE31" s="728"/>
      <c r="BF31" s="728"/>
      <c r="BG31" s="728"/>
      <c r="BH31" s="728"/>
      <c r="BI31" s="728"/>
      <c r="BJ31" s="728"/>
      <c r="BK31" s="728"/>
      <c r="BL31" s="742"/>
      <c r="BM31" s="747">
        <f t="shared" si="7"/>
        <v>0</v>
      </c>
      <c r="BN31" s="738">
        <f t="shared" si="0"/>
        <v>0</v>
      </c>
      <c r="BO31" s="729">
        <f t="shared" si="1"/>
        <v>0</v>
      </c>
      <c r="BP31" s="730">
        <f t="shared" si="2"/>
        <v>0</v>
      </c>
      <c r="BQ31" s="729">
        <f t="shared" si="2"/>
        <v>0</v>
      </c>
      <c r="BR31" s="729">
        <f t="shared" si="8"/>
        <v>0</v>
      </c>
      <c r="BS31" s="729">
        <f t="shared" si="9"/>
        <v>0</v>
      </c>
      <c r="BT31" s="729">
        <f t="shared" si="10"/>
        <v>0</v>
      </c>
      <c r="BU31" s="729">
        <f t="shared" si="11"/>
        <v>0</v>
      </c>
      <c r="BV31" s="729">
        <f t="shared" si="12"/>
        <v>0</v>
      </c>
      <c r="BW31" s="729">
        <f t="shared" si="13"/>
        <v>0</v>
      </c>
      <c r="BX31" s="729">
        <f t="shared" si="13"/>
        <v>0</v>
      </c>
      <c r="BY31" s="729">
        <f t="shared" si="14"/>
        <v>0</v>
      </c>
      <c r="BZ31" s="729">
        <f t="shared" si="14"/>
        <v>0</v>
      </c>
      <c r="CA31" s="729">
        <f t="shared" si="15"/>
        <v>0</v>
      </c>
      <c r="CB31" s="729">
        <f t="shared" si="16"/>
        <v>0</v>
      </c>
      <c r="CC31" s="729">
        <f t="shared" si="16"/>
        <v>0</v>
      </c>
      <c r="CD31" s="729">
        <f t="shared" si="16"/>
        <v>0</v>
      </c>
      <c r="CE31" s="729">
        <f t="shared" si="17"/>
        <v>0</v>
      </c>
      <c r="CF31" s="729">
        <f t="shared" si="18"/>
        <v>0</v>
      </c>
      <c r="CG31" s="729">
        <f t="shared" si="19"/>
        <v>0</v>
      </c>
      <c r="CH31" s="729">
        <f t="shared" si="20"/>
        <v>0</v>
      </c>
      <c r="CI31" s="729">
        <f t="shared" si="21"/>
        <v>0</v>
      </c>
      <c r="CJ31" s="729">
        <f t="shared" si="22"/>
        <v>0</v>
      </c>
      <c r="CK31" s="729">
        <f t="shared" si="23"/>
        <v>0</v>
      </c>
      <c r="CL31" s="729">
        <f t="shared" si="24"/>
        <v>0</v>
      </c>
      <c r="CM31" s="729">
        <f t="shared" si="25"/>
        <v>0</v>
      </c>
      <c r="CN31" s="729">
        <f t="shared" si="26"/>
        <v>0</v>
      </c>
      <c r="CO31" s="729">
        <f t="shared" si="27"/>
        <v>0</v>
      </c>
      <c r="CP31" s="729">
        <f t="shared" si="28"/>
        <v>0</v>
      </c>
      <c r="CQ31" s="729">
        <f t="shared" si="29"/>
        <v>0</v>
      </c>
      <c r="CR31" s="729">
        <f t="shared" si="30"/>
        <v>0</v>
      </c>
      <c r="CS31" s="729">
        <f t="shared" si="31"/>
        <v>0</v>
      </c>
      <c r="CT31" s="729">
        <f t="shared" si="31"/>
        <v>0</v>
      </c>
      <c r="CU31" s="731">
        <f t="shared" si="32"/>
        <v>0</v>
      </c>
      <c r="CV31" s="692" t="str">
        <f t="shared" si="33"/>
        <v/>
      </c>
      <c r="CW31" s="659" t="str">
        <f t="shared" si="34"/>
        <v/>
      </c>
      <c r="CX31" s="659" t="str">
        <f t="shared" si="35"/>
        <v/>
      </c>
      <c r="CY31" s="659" t="str">
        <f t="shared" si="36"/>
        <v/>
      </c>
      <c r="CZ31" s="659" t="str">
        <f t="shared" si="37"/>
        <v/>
      </c>
      <c r="DA31" s="659" t="str">
        <f t="shared" si="38"/>
        <v/>
      </c>
      <c r="DB31" s="82" t="str">
        <f t="shared" si="39"/>
        <v/>
      </c>
      <c r="DC31" s="625" t="str">
        <f t="shared" si="3"/>
        <v/>
      </c>
      <c r="DD31" s="625" t="str">
        <f t="shared" si="40"/>
        <v>0</v>
      </c>
      <c r="DE31" s="620">
        <f t="shared" si="41"/>
        <v>0</v>
      </c>
      <c r="DF31" s="1051" t="s">
        <v>53</v>
      </c>
      <c r="DG31" s="1080">
        <v>235028</v>
      </c>
      <c r="DH31" s="625">
        <f t="shared" si="42"/>
        <v>0</v>
      </c>
      <c r="DI31" s="625">
        <f t="shared" si="43"/>
        <v>0</v>
      </c>
      <c r="DJ31" s="626" t="str">
        <f t="shared" si="44"/>
        <v>00</v>
      </c>
    </row>
    <row r="32" spans="1:114" s="5" customFormat="1" ht="15" customHeight="1">
      <c r="A32" s="1237"/>
      <c r="B32" s="1237"/>
      <c r="C32" s="1237"/>
      <c r="D32" s="1237"/>
      <c r="E32" s="1237"/>
      <c r="F32" s="1237"/>
      <c r="G32" s="1237"/>
      <c r="H32" s="1237"/>
      <c r="I32" s="1237"/>
      <c r="J32" s="1237"/>
      <c r="K32" s="1237"/>
      <c r="L32" s="1237"/>
      <c r="M32" s="1237"/>
      <c r="N32" s="1237"/>
      <c r="O32" s="1237"/>
      <c r="P32" s="1235">
        <v>29</v>
      </c>
      <c r="Q32" s="1386"/>
      <c r="R32" s="1387"/>
      <c r="S32" s="1368"/>
      <c r="T32" s="1369"/>
      <c r="U32" s="1391"/>
      <c r="V32" s="1360"/>
      <c r="W32" s="1061"/>
      <c r="X32" s="1062"/>
      <c r="Y32" s="1063"/>
      <c r="Z32" s="1153"/>
      <c r="AA32" s="1153"/>
      <c r="AB32" s="1361"/>
      <c r="AC32" s="1352" t="str">
        <f t="shared" si="4"/>
        <v>00</v>
      </c>
      <c r="AD32" s="524" t="str">
        <f t="shared" si="45"/>
        <v/>
      </c>
      <c r="AE32" s="525" t="str">
        <f>IF(AD32="","",VLOOKUP(AD32,所属コード!$A$2:$E$189,2,FALSE))</f>
        <v/>
      </c>
      <c r="AF32" s="1164" t="str">
        <f>IF(AD32="","",VLOOKUP(AD32,所属コード!$A$2:$G$189,7,FALSE))</f>
        <v/>
      </c>
      <c r="AG32" s="1166"/>
      <c r="AH32" s="77"/>
      <c r="AI32" s="77"/>
      <c r="AJ32" s="77"/>
      <c r="AK32" s="15"/>
      <c r="AM32" s="621"/>
      <c r="AN32" s="1090" t="str">
        <f t="shared" si="5"/>
        <v/>
      </c>
      <c r="AO32" s="618" t="str">
        <f t="shared" si="6"/>
        <v/>
      </c>
      <c r="AP32" s="617"/>
      <c r="AQ32" s="617"/>
      <c r="AR32" s="617"/>
      <c r="AS32" s="617"/>
      <c r="AT32" s="617"/>
      <c r="AU32" s="617"/>
      <c r="AV32" s="620"/>
      <c r="AW32" s="727"/>
      <c r="AX32" s="728"/>
      <c r="AY32" s="728"/>
      <c r="AZ32" s="728"/>
      <c r="BA32" s="728"/>
      <c r="BB32" s="728"/>
      <c r="BC32" s="728"/>
      <c r="BD32" s="728"/>
      <c r="BE32" s="728"/>
      <c r="BF32" s="728"/>
      <c r="BG32" s="728"/>
      <c r="BH32" s="728"/>
      <c r="BI32" s="728"/>
      <c r="BJ32" s="728"/>
      <c r="BK32" s="728"/>
      <c r="BL32" s="742"/>
      <c r="BM32" s="747">
        <f t="shared" si="7"/>
        <v>0</v>
      </c>
      <c r="BN32" s="738">
        <f t="shared" si="0"/>
        <v>0</v>
      </c>
      <c r="BO32" s="729">
        <f t="shared" si="1"/>
        <v>0</v>
      </c>
      <c r="BP32" s="730">
        <f t="shared" si="2"/>
        <v>0</v>
      </c>
      <c r="BQ32" s="729">
        <f t="shared" si="2"/>
        <v>0</v>
      </c>
      <c r="BR32" s="729">
        <f t="shared" si="8"/>
        <v>0</v>
      </c>
      <c r="BS32" s="729">
        <f t="shared" si="9"/>
        <v>0</v>
      </c>
      <c r="BT32" s="729">
        <f t="shared" si="10"/>
        <v>0</v>
      </c>
      <c r="BU32" s="729">
        <f t="shared" si="11"/>
        <v>0</v>
      </c>
      <c r="BV32" s="729">
        <f t="shared" si="12"/>
        <v>0</v>
      </c>
      <c r="BW32" s="729">
        <f t="shared" si="13"/>
        <v>0</v>
      </c>
      <c r="BX32" s="729">
        <f t="shared" si="13"/>
        <v>0</v>
      </c>
      <c r="BY32" s="729">
        <f t="shared" si="14"/>
        <v>0</v>
      </c>
      <c r="BZ32" s="729">
        <f t="shared" si="14"/>
        <v>0</v>
      </c>
      <c r="CA32" s="729">
        <f t="shared" si="15"/>
        <v>0</v>
      </c>
      <c r="CB32" s="729">
        <f t="shared" si="16"/>
        <v>0</v>
      </c>
      <c r="CC32" s="729">
        <f t="shared" si="16"/>
        <v>0</v>
      </c>
      <c r="CD32" s="729">
        <f t="shared" si="16"/>
        <v>0</v>
      </c>
      <c r="CE32" s="729">
        <f t="shared" si="17"/>
        <v>0</v>
      </c>
      <c r="CF32" s="729">
        <f t="shared" si="18"/>
        <v>0</v>
      </c>
      <c r="CG32" s="729">
        <f t="shared" si="19"/>
        <v>0</v>
      </c>
      <c r="CH32" s="729">
        <f t="shared" si="20"/>
        <v>0</v>
      </c>
      <c r="CI32" s="729">
        <f t="shared" si="21"/>
        <v>0</v>
      </c>
      <c r="CJ32" s="729">
        <f t="shared" si="22"/>
        <v>0</v>
      </c>
      <c r="CK32" s="729">
        <f t="shared" si="23"/>
        <v>0</v>
      </c>
      <c r="CL32" s="729">
        <f t="shared" si="24"/>
        <v>0</v>
      </c>
      <c r="CM32" s="729">
        <f t="shared" si="25"/>
        <v>0</v>
      </c>
      <c r="CN32" s="729">
        <f t="shared" si="26"/>
        <v>0</v>
      </c>
      <c r="CO32" s="729">
        <f t="shared" si="27"/>
        <v>0</v>
      </c>
      <c r="CP32" s="729">
        <f t="shared" si="28"/>
        <v>0</v>
      </c>
      <c r="CQ32" s="729">
        <f t="shared" si="29"/>
        <v>0</v>
      </c>
      <c r="CR32" s="729">
        <f t="shared" si="30"/>
        <v>0</v>
      </c>
      <c r="CS32" s="729">
        <f t="shared" si="31"/>
        <v>0</v>
      </c>
      <c r="CT32" s="729">
        <f t="shared" si="31"/>
        <v>0</v>
      </c>
      <c r="CU32" s="731">
        <f t="shared" si="32"/>
        <v>0</v>
      </c>
      <c r="CV32" s="692" t="str">
        <f t="shared" si="33"/>
        <v/>
      </c>
      <c r="CW32" s="659" t="str">
        <f t="shared" si="34"/>
        <v/>
      </c>
      <c r="CX32" s="659" t="str">
        <f t="shared" si="35"/>
        <v/>
      </c>
      <c r="CY32" s="659" t="str">
        <f t="shared" si="36"/>
        <v/>
      </c>
      <c r="CZ32" s="659" t="str">
        <f t="shared" si="37"/>
        <v/>
      </c>
      <c r="DA32" s="659" t="str">
        <f t="shared" si="38"/>
        <v/>
      </c>
      <c r="DB32" s="82" t="str">
        <f t="shared" si="39"/>
        <v/>
      </c>
      <c r="DC32" s="625" t="str">
        <f t="shared" si="3"/>
        <v/>
      </c>
      <c r="DD32" s="625" t="str">
        <f t="shared" si="40"/>
        <v>0</v>
      </c>
      <c r="DE32" s="620">
        <f t="shared" si="41"/>
        <v>0</v>
      </c>
      <c r="DF32" s="1051" t="s">
        <v>175</v>
      </c>
      <c r="DG32" s="1080">
        <v>235029</v>
      </c>
      <c r="DH32" s="625">
        <f t="shared" si="42"/>
        <v>0</v>
      </c>
      <c r="DI32" s="625">
        <f t="shared" si="43"/>
        <v>0</v>
      </c>
      <c r="DJ32" s="626" t="str">
        <f t="shared" si="44"/>
        <v>00</v>
      </c>
    </row>
    <row r="33" spans="1:114" s="5" customFormat="1" ht="15" customHeight="1">
      <c r="A33" s="1237"/>
      <c r="B33" s="1237"/>
      <c r="C33" s="1237"/>
      <c r="D33" s="1237"/>
      <c r="E33" s="1237"/>
      <c r="F33" s="1237"/>
      <c r="G33" s="1237"/>
      <c r="H33" s="1237"/>
      <c r="I33" s="1237"/>
      <c r="J33" s="1237"/>
      <c r="K33" s="1237"/>
      <c r="L33" s="1237"/>
      <c r="M33" s="1237"/>
      <c r="N33" s="1237"/>
      <c r="O33" s="1237"/>
      <c r="P33" s="1235">
        <v>30</v>
      </c>
      <c r="Q33" s="1386"/>
      <c r="R33" s="1387"/>
      <c r="S33" s="1368"/>
      <c r="T33" s="1369"/>
      <c r="U33" s="1391"/>
      <c r="V33" s="1360"/>
      <c r="W33" s="1061"/>
      <c r="X33" s="1062"/>
      <c r="Y33" s="1063"/>
      <c r="Z33" s="1153"/>
      <c r="AA33" s="1153"/>
      <c r="AB33" s="1361"/>
      <c r="AC33" s="1352" t="str">
        <f t="shared" si="4"/>
        <v>00</v>
      </c>
      <c r="AD33" s="524" t="str">
        <f t="shared" si="45"/>
        <v/>
      </c>
      <c r="AE33" s="525" t="str">
        <f>IF(AD33="","",VLOOKUP(AD33,所属コード!$A$2:$E$189,2,FALSE))</f>
        <v/>
      </c>
      <c r="AF33" s="1164" t="str">
        <f>IF(AD33="","",VLOOKUP(AD33,所属コード!$A$2:$G$189,7,FALSE))</f>
        <v/>
      </c>
      <c r="AG33" s="1166"/>
      <c r="AH33" s="77"/>
      <c r="AI33" s="77"/>
      <c r="AJ33" s="77"/>
      <c r="AK33" s="15"/>
      <c r="AM33" s="621"/>
      <c r="AN33" s="1090" t="str">
        <f t="shared" si="5"/>
        <v/>
      </c>
      <c r="AO33" s="618" t="str">
        <f t="shared" si="6"/>
        <v/>
      </c>
      <c r="AP33" s="617"/>
      <c r="AQ33" s="617"/>
      <c r="AR33" s="617"/>
      <c r="AS33" s="617"/>
      <c r="AT33" s="617"/>
      <c r="AU33" s="617"/>
      <c r="AV33" s="620"/>
      <c r="AW33" s="727"/>
      <c r="AX33" s="728"/>
      <c r="AY33" s="728"/>
      <c r="AZ33" s="728"/>
      <c r="BA33" s="728"/>
      <c r="BB33" s="728"/>
      <c r="BC33" s="728"/>
      <c r="BD33" s="728"/>
      <c r="BE33" s="728"/>
      <c r="BF33" s="728"/>
      <c r="BG33" s="728"/>
      <c r="BH33" s="728"/>
      <c r="BI33" s="728"/>
      <c r="BJ33" s="728"/>
      <c r="BK33" s="728"/>
      <c r="BL33" s="742"/>
      <c r="BM33" s="747">
        <f t="shared" si="7"/>
        <v>0</v>
      </c>
      <c r="BN33" s="738">
        <f t="shared" si="0"/>
        <v>0</v>
      </c>
      <c r="BO33" s="729">
        <f t="shared" si="1"/>
        <v>0</v>
      </c>
      <c r="BP33" s="730">
        <f t="shared" si="2"/>
        <v>0</v>
      </c>
      <c r="BQ33" s="729">
        <f t="shared" si="2"/>
        <v>0</v>
      </c>
      <c r="BR33" s="729">
        <f t="shared" si="8"/>
        <v>0</v>
      </c>
      <c r="BS33" s="729">
        <f t="shared" si="9"/>
        <v>0</v>
      </c>
      <c r="BT33" s="729">
        <f t="shared" si="10"/>
        <v>0</v>
      </c>
      <c r="BU33" s="729">
        <f t="shared" si="11"/>
        <v>0</v>
      </c>
      <c r="BV33" s="729">
        <f t="shared" si="12"/>
        <v>0</v>
      </c>
      <c r="BW33" s="729">
        <f t="shared" si="13"/>
        <v>0</v>
      </c>
      <c r="BX33" s="729">
        <f t="shared" si="13"/>
        <v>0</v>
      </c>
      <c r="BY33" s="729">
        <f t="shared" si="14"/>
        <v>0</v>
      </c>
      <c r="BZ33" s="729">
        <f t="shared" si="14"/>
        <v>0</v>
      </c>
      <c r="CA33" s="729">
        <f t="shared" si="15"/>
        <v>0</v>
      </c>
      <c r="CB33" s="729">
        <f t="shared" si="16"/>
        <v>0</v>
      </c>
      <c r="CC33" s="729">
        <f t="shared" si="16"/>
        <v>0</v>
      </c>
      <c r="CD33" s="729">
        <f t="shared" si="16"/>
        <v>0</v>
      </c>
      <c r="CE33" s="729">
        <f t="shared" si="17"/>
        <v>0</v>
      </c>
      <c r="CF33" s="729">
        <f t="shared" si="18"/>
        <v>0</v>
      </c>
      <c r="CG33" s="729">
        <f t="shared" si="19"/>
        <v>0</v>
      </c>
      <c r="CH33" s="729">
        <f t="shared" si="20"/>
        <v>0</v>
      </c>
      <c r="CI33" s="729">
        <f t="shared" si="21"/>
        <v>0</v>
      </c>
      <c r="CJ33" s="729">
        <f t="shared" si="22"/>
        <v>0</v>
      </c>
      <c r="CK33" s="729">
        <f t="shared" si="23"/>
        <v>0</v>
      </c>
      <c r="CL33" s="729">
        <f t="shared" si="24"/>
        <v>0</v>
      </c>
      <c r="CM33" s="729">
        <f t="shared" si="25"/>
        <v>0</v>
      </c>
      <c r="CN33" s="729">
        <f t="shared" si="26"/>
        <v>0</v>
      </c>
      <c r="CO33" s="729">
        <f t="shared" si="27"/>
        <v>0</v>
      </c>
      <c r="CP33" s="729">
        <f t="shared" si="28"/>
        <v>0</v>
      </c>
      <c r="CQ33" s="729">
        <f t="shared" si="29"/>
        <v>0</v>
      </c>
      <c r="CR33" s="729">
        <f t="shared" si="30"/>
        <v>0</v>
      </c>
      <c r="CS33" s="729">
        <f t="shared" si="31"/>
        <v>0</v>
      </c>
      <c r="CT33" s="729">
        <f t="shared" si="31"/>
        <v>0</v>
      </c>
      <c r="CU33" s="731">
        <f t="shared" si="32"/>
        <v>0</v>
      </c>
      <c r="CV33" s="692" t="str">
        <f t="shared" si="33"/>
        <v/>
      </c>
      <c r="CW33" s="659" t="str">
        <f t="shared" si="34"/>
        <v/>
      </c>
      <c r="CX33" s="659" t="str">
        <f t="shared" si="35"/>
        <v/>
      </c>
      <c r="CY33" s="659" t="str">
        <f t="shared" si="36"/>
        <v/>
      </c>
      <c r="CZ33" s="659" t="str">
        <f t="shared" si="37"/>
        <v/>
      </c>
      <c r="DA33" s="659" t="str">
        <f t="shared" si="38"/>
        <v/>
      </c>
      <c r="DB33" s="82" t="str">
        <f t="shared" si="39"/>
        <v/>
      </c>
      <c r="DC33" s="625" t="str">
        <f t="shared" si="3"/>
        <v/>
      </c>
      <c r="DD33" s="625" t="str">
        <f t="shared" si="40"/>
        <v>0</v>
      </c>
      <c r="DE33" s="620">
        <f t="shared" si="41"/>
        <v>0</v>
      </c>
      <c r="DF33" s="1051" t="s">
        <v>54</v>
      </c>
      <c r="DG33" s="1080">
        <v>235030</v>
      </c>
      <c r="DH33" s="625">
        <f t="shared" si="42"/>
        <v>0</v>
      </c>
      <c r="DI33" s="625">
        <f t="shared" si="43"/>
        <v>0</v>
      </c>
      <c r="DJ33" s="626" t="str">
        <f t="shared" si="44"/>
        <v>00</v>
      </c>
    </row>
    <row r="34" spans="1:114" s="5" customFormat="1" ht="15" customHeight="1">
      <c r="A34" s="1237"/>
      <c r="B34" s="1237"/>
      <c r="C34" s="1237"/>
      <c r="D34" s="1237"/>
      <c r="E34" s="1237"/>
      <c r="F34" s="1237"/>
      <c r="G34" s="1237"/>
      <c r="H34" s="1237"/>
      <c r="I34" s="1237"/>
      <c r="J34" s="1237"/>
      <c r="K34" s="1237"/>
      <c r="L34" s="1237"/>
      <c r="M34" s="1237"/>
      <c r="N34" s="1237"/>
      <c r="O34" s="1237"/>
      <c r="P34" s="1235">
        <v>31</v>
      </c>
      <c r="Q34" s="1386"/>
      <c r="R34" s="1387"/>
      <c r="S34" s="1368"/>
      <c r="T34" s="1369"/>
      <c r="U34" s="1391"/>
      <c r="V34" s="1360"/>
      <c r="W34" s="1061"/>
      <c r="X34" s="1062"/>
      <c r="Y34" s="1063"/>
      <c r="Z34" s="1153"/>
      <c r="AA34" s="1153"/>
      <c r="AB34" s="1361"/>
      <c r="AC34" s="1352" t="str">
        <f t="shared" si="4"/>
        <v>00</v>
      </c>
      <c r="AD34" s="524" t="str">
        <f t="shared" si="45"/>
        <v/>
      </c>
      <c r="AE34" s="525" t="str">
        <f>IF(AD34="","",VLOOKUP(AD34,所属コード!$A$2:$E$189,2,FALSE))</f>
        <v/>
      </c>
      <c r="AF34" s="1164" t="str">
        <f>IF(AD34="","",VLOOKUP(AD34,所属コード!$A$2:$G$189,7,FALSE))</f>
        <v/>
      </c>
      <c r="AG34" s="1166"/>
      <c r="AH34" s="77"/>
      <c r="AI34" s="77"/>
      <c r="AJ34" s="77"/>
      <c r="AK34" s="15"/>
      <c r="AM34" s="621"/>
      <c r="AN34" s="1090" t="str">
        <f t="shared" si="5"/>
        <v/>
      </c>
      <c r="AO34" s="618" t="str">
        <f t="shared" si="6"/>
        <v/>
      </c>
      <c r="AP34" s="617"/>
      <c r="AQ34" s="617"/>
      <c r="AR34" s="617"/>
      <c r="AS34" s="617"/>
      <c r="AT34" s="617"/>
      <c r="AU34" s="617"/>
      <c r="AV34" s="620"/>
      <c r="AW34" s="727"/>
      <c r="AX34" s="728"/>
      <c r="AY34" s="728"/>
      <c r="AZ34" s="728"/>
      <c r="BA34" s="728"/>
      <c r="BB34" s="728"/>
      <c r="BC34" s="728"/>
      <c r="BD34" s="728"/>
      <c r="BE34" s="728"/>
      <c r="BF34" s="728"/>
      <c r="BG34" s="728"/>
      <c r="BH34" s="728"/>
      <c r="BI34" s="728"/>
      <c r="BJ34" s="728"/>
      <c r="BK34" s="728"/>
      <c r="BL34" s="742"/>
      <c r="BM34" s="747">
        <f t="shared" si="7"/>
        <v>0</v>
      </c>
      <c r="BN34" s="738">
        <f t="shared" si="0"/>
        <v>0</v>
      </c>
      <c r="BO34" s="729">
        <f t="shared" si="1"/>
        <v>0</v>
      </c>
      <c r="BP34" s="730">
        <f t="shared" si="2"/>
        <v>0</v>
      </c>
      <c r="BQ34" s="729">
        <f t="shared" si="2"/>
        <v>0</v>
      </c>
      <c r="BR34" s="729">
        <f t="shared" si="8"/>
        <v>0</v>
      </c>
      <c r="BS34" s="729">
        <f t="shared" si="9"/>
        <v>0</v>
      </c>
      <c r="BT34" s="729">
        <f t="shared" si="10"/>
        <v>0</v>
      </c>
      <c r="BU34" s="729">
        <f t="shared" si="11"/>
        <v>0</v>
      </c>
      <c r="BV34" s="729">
        <f t="shared" si="12"/>
        <v>0</v>
      </c>
      <c r="BW34" s="729">
        <f t="shared" si="13"/>
        <v>0</v>
      </c>
      <c r="BX34" s="729">
        <f t="shared" si="13"/>
        <v>0</v>
      </c>
      <c r="BY34" s="729">
        <f t="shared" si="14"/>
        <v>0</v>
      </c>
      <c r="BZ34" s="729">
        <f t="shared" si="14"/>
        <v>0</v>
      </c>
      <c r="CA34" s="729">
        <f t="shared" si="15"/>
        <v>0</v>
      </c>
      <c r="CB34" s="729">
        <f t="shared" si="16"/>
        <v>0</v>
      </c>
      <c r="CC34" s="729">
        <f t="shared" si="16"/>
        <v>0</v>
      </c>
      <c r="CD34" s="729">
        <f t="shared" si="16"/>
        <v>0</v>
      </c>
      <c r="CE34" s="729">
        <f t="shared" si="17"/>
        <v>0</v>
      </c>
      <c r="CF34" s="729">
        <f t="shared" si="18"/>
        <v>0</v>
      </c>
      <c r="CG34" s="729">
        <f t="shared" si="19"/>
        <v>0</v>
      </c>
      <c r="CH34" s="729">
        <f t="shared" si="20"/>
        <v>0</v>
      </c>
      <c r="CI34" s="729">
        <f t="shared" si="21"/>
        <v>0</v>
      </c>
      <c r="CJ34" s="729">
        <f t="shared" si="22"/>
        <v>0</v>
      </c>
      <c r="CK34" s="729">
        <f t="shared" si="23"/>
        <v>0</v>
      </c>
      <c r="CL34" s="729">
        <f t="shared" si="24"/>
        <v>0</v>
      </c>
      <c r="CM34" s="729">
        <f t="shared" si="25"/>
        <v>0</v>
      </c>
      <c r="CN34" s="729">
        <f t="shared" si="26"/>
        <v>0</v>
      </c>
      <c r="CO34" s="729">
        <f t="shared" si="27"/>
        <v>0</v>
      </c>
      <c r="CP34" s="729">
        <f t="shared" si="28"/>
        <v>0</v>
      </c>
      <c r="CQ34" s="729">
        <f t="shared" si="29"/>
        <v>0</v>
      </c>
      <c r="CR34" s="729">
        <f t="shared" si="30"/>
        <v>0</v>
      </c>
      <c r="CS34" s="729">
        <f t="shared" si="31"/>
        <v>0</v>
      </c>
      <c r="CT34" s="729">
        <f t="shared" si="31"/>
        <v>0</v>
      </c>
      <c r="CU34" s="731">
        <f t="shared" si="32"/>
        <v>0</v>
      </c>
      <c r="CV34" s="692" t="str">
        <f t="shared" si="33"/>
        <v/>
      </c>
      <c r="CW34" s="659" t="str">
        <f t="shared" si="34"/>
        <v/>
      </c>
      <c r="CX34" s="659" t="str">
        <f t="shared" si="35"/>
        <v/>
      </c>
      <c r="CY34" s="659" t="str">
        <f t="shared" si="36"/>
        <v/>
      </c>
      <c r="CZ34" s="659" t="str">
        <f t="shared" si="37"/>
        <v/>
      </c>
      <c r="DA34" s="659" t="str">
        <f t="shared" si="38"/>
        <v/>
      </c>
      <c r="DB34" s="82" t="str">
        <f t="shared" si="39"/>
        <v/>
      </c>
      <c r="DC34" s="625" t="str">
        <f t="shared" si="3"/>
        <v/>
      </c>
      <c r="DD34" s="625" t="str">
        <f t="shared" si="40"/>
        <v>0</v>
      </c>
      <c r="DE34" s="620">
        <f t="shared" si="41"/>
        <v>0</v>
      </c>
      <c r="DF34" s="1051" t="s">
        <v>751</v>
      </c>
      <c r="DG34" s="1080">
        <v>235031</v>
      </c>
      <c r="DH34" s="625">
        <f t="shared" si="42"/>
        <v>0</v>
      </c>
      <c r="DI34" s="625">
        <f t="shared" si="43"/>
        <v>0</v>
      </c>
      <c r="DJ34" s="626" t="str">
        <f t="shared" si="44"/>
        <v>00</v>
      </c>
    </row>
    <row r="35" spans="1:114" s="5" customFormat="1" ht="15" customHeight="1">
      <c r="A35" s="1237"/>
      <c r="B35" s="1237"/>
      <c r="C35" s="1237"/>
      <c r="D35" s="1237"/>
      <c r="E35" s="1237"/>
      <c r="F35" s="1237"/>
      <c r="G35" s="1237"/>
      <c r="H35" s="1237"/>
      <c r="I35" s="1237"/>
      <c r="J35" s="1237"/>
      <c r="K35" s="1237"/>
      <c r="L35" s="1237"/>
      <c r="M35" s="1237"/>
      <c r="N35" s="1237"/>
      <c r="O35" s="1237"/>
      <c r="P35" s="1235">
        <v>32</v>
      </c>
      <c r="Q35" s="1386"/>
      <c r="R35" s="1387"/>
      <c r="S35" s="1368"/>
      <c r="T35" s="1369"/>
      <c r="U35" s="1391"/>
      <c r="V35" s="1360"/>
      <c r="W35" s="1061"/>
      <c r="X35" s="1062"/>
      <c r="Y35" s="1063"/>
      <c r="Z35" s="1153"/>
      <c r="AA35" s="1153"/>
      <c r="AB35" s="1361"/>
      <c r="AC35" s="1352" t="str">
        <f t="shared" si="4"/>
        <v>00</v>
      </c>
      <c r="AD35" s="524" t="str">
        <f t="shared" si="45"/>
        <v/>
      </c>
      <c r="AE35" s="525" t="str">
        <f>IF(AD35="","",VLOOKUP(AD35,所属コード!$A$2:$E$189,2,FALSE))</f>
        <v/>
      </c>
      <c r="AF35" s="1164" t="str">
        <f>IF(AD35="","",VLOOKUP(AD35,所属コード!$A$2:$G$189,7,FALSE))</f>
        <v/>
      </c>
      <c r="AG35" s="1166"/>
      <c r="AH35" s="77"/>
      <c r="AI35" s="77"/>
      <c r="AJ35" s="77"/>
      <c r="AK35" s="15"/>
      <c r="AM35" s="621"/>
      <c r="AN35" s="1090" t="str">
        <f t="shared" si="5"/>
        <v/>
      </c>
      <c r="AO35" s="618" t="str">
        <f t="shared" si="6"/>
        <v/>
      </c>
      <c r="AP35" s="617"/>
      <c r="AQ35" s="617"/>
      <c r="AR35" s="617"/>
      <c r="AS35" s="617"/>
      <c r="AT35" s="617"/>
      <c r="AU35" s="617"/>
      <c r="AV35" s="620"/>
      <c r="AW35" s="727"/>
      <c r="AX35" s="728"/>
      <c r="AY35" s="728"/>
      <c r="AZ35" s="728"/>
      <c r="BA35" s="728"/>
      <c r="BB35" s="728"/>
      <c r="BC35" s="728"/>
      <c r="BD35" s="728"/>
      <c r="BE35" s="728"/>
      <c r="BF35" s="728"/>
      <c r="BG35" s="728"/>
      <c r="BH35" s="728"/>
      <c r="BI35" s="728"/>
      <c r="BJ35" s="728"/>
      <c r="BK35" s="728"/>
      <c r="BL35" s="742"/>
      <c r="BM35" s="747">
        <f t="shared" si="7"/>
        <v>0</v>
      </c>
      <c r="BN35" s="738">
        <f t="shared" si="0"/>
        <v>0</v>
      </c>
      <c r="BO35" s="729">
        <f t="shared" si="1"/>
        <v>0</v>
      </c>
      <c r="BP35" s="730">
        <f t="shared" si="2"/>
        <v>0</v>
      </c>
      <c r="BQ35" s="729">
        <f t="shared" si="2"/>
        <v>0</v>
      </c>
      <c r="BR35" s="729">
        <f t="shared" si="8"/>
        <v>0</v>
      </c>
      <c r="BS35" s="729">
        <f t="shared" si="9"/>
        <v>0</v>
      </c>
      <c r="BT35" s="729">
        <f t="shared" si="10"/>
        <v>0</v>
      </c>
      <c r="BU35" s="729">
        <f t="shared" si="11"/>
        <v>0</v>
      </c>
      <c r="BV35" s="729">
        <f t="shared" si="12"/>
        <v>0</v>
      </c>
      <c r="BW35" s="729">
        <f t="shared" si="13"/>
        <v>0</v>
      </c>
      <c r="BX35" s="729">
        <f t="shared" si="13"/>
        <v>0</v>
      </c>
      <c r="BY35" s="729">
        <f t="shared" si="14"/>
        <v>0</v>
      </c>
      <c r="BZ35" s="729">
        <f t="shared" si="14"/>
        <v>0</v>
      </c>
      <c r="CA35" s="729">
        <f t="shared" si="15"/>
        <v>0</v>
      </c>
      <c r="CB35" s="729">
        <f t="shared" si="16"/>
        <v>0</v>
      </c>
      <c r="CC35" s="729">
        <f t="shared" si="16"/>
        <v>0</v>
      </c>
      <c r="CD35" s="729">
        <f t="shared" si="16"/>
        <v>0</v>
      </c>
      <c r="CE35" s="729">
        <f t="shared" si="17"/>
        <v>0</v>
      </c>
      <c r="CF35" s="729">
        <f t="shared" si="18"/>
        <v>0</v>
      </c>
      <c r="CG35" s="729">
        <f t="shared" si="19"/>
        <v>0</v>
      </c>
      <c r="CH35" s="729">
        <f t="shared" si="20"/>
        <v>0</v>
      </c>
      <c r="CI35" s="729">
        <f t="shared" si="21"/>
        <v>0</v>
      </c>
      <c r="CJ35" s="729">
        <f t="shared" si="22"/>
        <v>0</v>
      </c>
      <c r="CK35" s="729">
        <f t="shared" si="23"/>
        <v>0</v>
      </c>
      <c r="CL35" s="729">
        <f t="shared" si="24"/>
        <v>0</v>
      </c>
      <c r="CM35" s="729">
        <f t="shared" si="25"/>
        <v>0</v>
      </c>
      <c r="CN35" s="729">
        <f t="shared" si="26"/>
        <v>0</v>
      </c>
      <c r="CO35" s="729">
        <f t="shared" si="27"/>
        <v>0</v>
      </c>
      <c r="CP35" s="729">
        <f t="shared" si="28"/>
        <v>0</v>
      </c>
      <c r="CQ35" s="729">
        <f t="shared" si="29"/>
        <v>0</v>
      </c>
      <c r="CR35" s="729">
        <f t="shared" si="30"/>
        <v>0</v>
      </c>
      <c r="CS35" s="729">
        <f t="shared" si="31"/>
        <v>0</v>
      </c>
      <c r="CT35" s="729">
        <f t="shared" si="31"/>
        <v>0</v>
      </c>
      <c r="CU35" s="731">
        <f t="shared" si="32"/>
        <v>0</v>
      </c>
      <c r="CV35" s="692" t="str">
        <f t="shared" si="33"/>
        <v/>
      </c>
      <c r="CW35" s="659" t="str">
        <f t="shared" si="34"/>
        <v/>
      </c>
      <c r="CX35" s="659" t="str">
        <f t="shared" si="35"/>
        <v/>
      </c>
      <c r="CY35" s="659" t="str">
        <f t="shared" si="36"/>
        <v/>
      </c>
      <c r="CZ35" s="659" t="str">
        <f t="shared" si="37"/>
        <v/>
      </c>
      <c r="DA35" s="659" t="str">
        <f t="shared" si="38"/>
        <v/>
      </c>
      <c r="DB35" s="82" t="str">
        <f t="shared" si="39"/>
        <v/>
      </c>
      <c r="DC35" s="625" t="str">
        <f t="shared" si="3"/>
        <v/>
      </c>
      <c r="DD35" s="625" t="str">
        <f t="shared" si="40"/>
        <v>0</v>
      </c>
      <c r="DE35" s="620">
        <f t="shared" si="41"/>
        <v>0</v>
      </c>
      <c r="DF35" s="1051" t="s">
        <v>55</v>
      </c>
      <c r="DG35" s="1080">
        <v>235032</v>
      </c>
      <c r="DH35" s="625">
        <f t="shared" si="42"/>
        <v>0</v>
      </c>
      <c r="DI35" s="625">
        <f t="shared" si="43"/>
        <v>0</v>
      </c>
      <c r="DJ35" s="626" t="str">
        <f t="shared" si="44"/>
        <v>00</v>
      </c>
    </row>
    <row r="36" spans="1:114" s="5" customFormat="1" ht="15" customHeight="1">
      <c r="A36" s="1237"/>
      <c r="B36" s="1237"/>
      <c r="C36" s="1237"/>
      <c r="D36" s="1237"/>
      <c r="E36" s="1237"/>
      <c r="F36" s="1237"/>
      <c r="G36" s="1237"/>
      <c r="H36" s="1237"/>
      <c r="I36" s="1237"/>
      <c r="J36" s="1237"/>
      <c r="K36" s="1237"/>
      <c r="L36" s="1237"/>
      <c r="M36" s="1237"/>
      <c r="N36" s="1237"/>
      <c r="O36" s="1237"/>
      <c r="P36" s="1235">
        <v>33</v>
      </c>
      <c r="Q36" s="1386"/>
      <c r="R36" s="1387"/>
      <c r="S36" s="1368"/>
      <c r="T36" s="1369"/>
      <c r="U36" s="1391"/>
      <c r="V36" s="1360"/>
      <c r="W36" s="1061"/>
      <c r="X36" s="1062"/>
      <c r="Y36" s="1063"/>
      <c r="Z36" s="1153"/>
      <c r="AA36" s="1153"/>
      <c r="AB36" s="1361"/>
      <c r="AC36" s="1352" t="str">
        <f t="shared" si="4"/>
        <v>00</v>
      </c>
      <c r="AD36" s="524" t="str">
        <f t="shared" si="45"/>
        <v/>
      </c>
      <c r="AE36" s="525" t="str">
        <f>IF(AD36="","",VLOOKUP(AD36,所属コード!$A$2:$E$189,2,FALSE))</f>
        <v/>
      </c>
      <c r="AF36" s="1164" t="str">
        <f>IF(AD36="","",VLOOKUP(AD36,所属コード!$A$2:$G$189,7,FALSE))</f>
        <v/>
      </c>
      <c r="AG36" s="1166"/>
      <c r="AH36" s="77"/>
      <c r="AI36" s="77"/>
      <c r="AJ36" s="77"/>
      <c r="AK36" s="15"/>
      <c r="AM36" s="621"/>
      <c r="AN36" s="1090" t="str">
        <f t="shared" si="5"/>
        <v/>
      </c>
      <c r="AO36" s="618" t="str">
        <f t="shared" si="6"/>
        <v/>
      </c>
      <c r="AP36" s="617"/>
      <c r="AQ36" s="617"/>
      <c r="AR36" s="617"/>
      <c r="AS36" s="617"/>
      <c r="AT36" s="617"/>
      <c r="AU36" s="617"/>
      <c r="AV36" s="620"/>
      <c r="AW36" s="727"/>
      <c r="AX36" s="728"/>
      <c r="AY36" s="728"/>
      <c r="AZ36" s="728"/>
      <c r="BA36" s="728"/>
      <c r="BB36" s="728"/>
      <c r="BC36" s="728"/>
      <c r="BD36" s="728"/>
      <c r="BE36" s="728"/>
      <c r="BF36" s="728"/>
      <c r="BG36" s="728"/>
      <c r="BH36" s="728"/>
      <c r="BI36" s="728"/>
      <c r="BJ36" s="728"/>
      <c r="BK36" s="728"/>
      <c r="BL36" s="742"/>
      <c r="BM36" s="747">
        <f t="shared" si="7"/>
        <v>0</v>
      </c>
      <c r="BN36" s="738">
        <f t="shared" si="0"/>
        <v>0</v>
      </c>
      <c r="BO36" s="729">
        <f t="shared" si="1"/>
        <v>0</v>
      </c>
      <c r="BP36" s="730">
        <f t="shared" ref="BP36:BQ67" si="46">BD36</f>
        <v>0</v>
      </c>
      <c r="BQ36" s="729">
        <f t="shared" si="46"/>
        <v>0</v>
      </c>
      <c r="BR36" s="729">
        <f t="shared" si="8"/>
        <v>0</v>
      </c>
      <c r="BS36" s="729">
        <f t="shared" si="9"/>
        <v>0</v>
      </c>
      <c r="BT36" s="729">
        <f t="shared" si="10"/>
        <v>0</v>
      </c>
      <c r="BU36" s="729">
        <f t="shared" si="11"/>
        <v>0</v>
      </c>
      <c r="BV36" s="729">
        <f t="shared" si="12"/>
        <v>0</v>
      </c>
      <c r="BW36" s="729">
        <f t="shared" si="13"/>
        <v>0</v>
      </c>
      <c r="BX36" s="729">
        <f t="shared" si="13"/>
        <v>0</v>
      </c>
      <c r="BY36" s="729">
        <f t="shared" si="14"/>
        <v>0</v>
      </c>
      <c r="BZ36" s="729">
        <f t="shared" si="14"/>
        <v>0</v>
      </c>
      <c r="CA36" s="729">
        <f t="shared" si="15"/>
        <v>0</v>
      </c>
      <c r="CB36" s="729">
        <f t="shared" si="16"/>
        <v>0</v>
      </c>
      <c r="CC36" s="729">
        <f t="shared" si="16"/>
        <v>0</v>
      </c>
      <c r="CD36" s="729">
        <f t="shared" si="16"/>
        <v>0</v>
      </c>
      <c r="CE36" s="729">
        <f t="shared" si="17"/>
        <v>0</v>
      </c>
      <c r="CF36" s="729">
        <f t="shared" si="18"/>
        <v>0</v>
      </c>
      <c r="CG36" s="729">
        <f t="shared" si="19"/>
        <v>0</v>
      </c>
      <c r="CH36" s="729">
        <f t="shared" si="20"/>
        <v>0</v>
      </c>
      <c r="CI36" s="729">
        <f t="shared" si="21"/>
        <v>0</v>
      </c>
      <c r="CJ36" s="729">
        <f t="shared" si="22"/>
        <v>0</v>
      </c>
      <c r="CK36" s="729">
        <f t="shared" si="23"/>
        <v>0</v>
      </c>
      <c r="CL36" s="729">
        <f t="shared" si="24"/>
        <v>0</v>
      </c>
      <c r="CM36" s="729">
        <f t="shared" si="25"/>
        <v>0</v>
      </c>
      <c r="CN36" s="729">
        <f t="shared" si="26"/>
        <v>0</v>
      </c>
      <c r="CO36" s="729">
        <f t="shared" si="27"/>
        <v>0</v>
      </c>
      <c r="CP36" s="729">
        <f t="shared" si="28"/>
        <v>0</v>
      </c>
      <c r="CQ36" s="729">
        <f t="shared" si="29"/>
        <v>0</v>
      </c>
      <c r="CR36" s="729">
        <f t="shared" si="30"/>
        <v>0</v>
      </c>
      <c r="CS36" s="729">
        <f t="shared" si="31"/>
        <v>0</v>
      </c>
      <c r="CT36" s="729">
        <f t="shared" si="31"/>
        <v>0</v>
      </c>
      <c r="CU36" s="731">
        <f t="shared" si="32"/>
        <v>0</v>
      </c>
      <c r="CV36" s="692" t="str">
        <f t="shared" si="33"/>
        <v/>
      </c>
      <c r="CW36" s="659" t="str">
        <f t="shared" si="34"/>
        <v/>
      </c>
      <c r="CX36" s="659" t="str">
        <f t="shared" si="35"/>
        <v/>
      </c>
      <c r="CY36" s="659" t="str">
        <f t="shared" si="36"/>
        <v/>
      </c>
      <c r="CZ36" s="659" t="str">
        <f t="shared" si="37"/>
        <v/>
      </c>
      <c r="DA36" s="659" t="str">
        <f t="shared" si="38"/>
        <v/>
      </c>
      <c r="DB36" s="82" t="str">
        <f t="shared" si="39"/>
        <v/>
      </c>
      <c r="DC36" s="625" t="str">
        <f t="shared" si="3"/>
        <v/>
      </c>
      <c r="DD36" s="625" t="str">
        <f t="shared" si="40"/>
        <v>0</v>
      </c>
      <c r="DE36" s="620">
        <f t="shared" si="41"/>
        <v>0</v>
      </c>
      <c r="DF36" s="1051" t="s">
        <v>56</v>
      </c>
      <c r="DG36" s="1080">
        <v>235033</v>
      </c>
      <c r="DH36" s="625">
        <f t="shared" si="42"/>
        <v>0</v>
      </c>
      <c r="DI36" s="625">
        <f t="shared" si="43"/>
        <v>0</v>
      </c>
      <c r="DJ36" s="626" t="str">
        <f t="shared" si="44"/>
        <v>00</v>
      </c>
    </row>
    <row r="37" spans="1:114" s="5" customFormat="1" ht="15" customHeight="1">
      <c r="A37" s="1237"/>
      <c r="B37" s="1237"/>
      <c r="C37" s="1237"/>
      <c r="D37" s="1237"/>
      <c r="E37" s="1237"/>
      <c r="F37" s="1237"/>
      <c r="G37" s="1237"/>
      <c r="H37" s="1237"/>
      <c r="I37" s="1237"/>
      <c r="J37" s="1237"/>
      <c r="K37" s="1237"/>
      <c r="L37" s="1237"/>
      <c r="M37" s="1237"/>
      <c r="N37" s="1237"/>
      <c r="O37" s="1237"/>
      <c r="P37" s="1235">
        <v>34</v>
      </c>
      <c r="Q37" s="1386"/>
      <c r="R37" s="1387"/>
      <c r="S37" s="1368"/>
      <c r="T37" s="1369"/>
      <c r="U37" s="1391"/>
      <c r="V37" s="1360"/>
      <c r="W37" s="1061"/>
      <c r="X37" s="1062"/>
      <c r="Y37" s="1063"/>
      <c r="Z37" s="1153"/>
      <c r="AA37" s="1153"/>
      <c r="AB37" s="1361"/>
      <c r="AC37" s="1352" t="str">
        <f t="shared" si="4"/>
        <v>00</v>
      </c>
      <c r="AD37" s="524" t="str">
        <f t="shared" si="45"/>
        <v/>
      </c>
      <c r="AE37" s="525" t="str">
        <f>IF(AD37="","",VLOOKUP(AD37,所属コード!$A$2:$E$189,2,FALSE))</f>
        <v/>
      </c>
      <c r="AF37" s="1164" t="str">
        <f>IF(AD37="","",VLOOKUP(AD37,所属コード!$A$2:$G$189,7,FALSE))</f>
        <v/>
      </c>
      <c r="AG37" s="1166"/>
      <c r="AH37" s="77"/>
      <c r="AI37" s="77"/>
      <c r="AJ37" s="77"/>
      <c r="AK37" s="15"/>
      <c r="AM37" s="621"/>
      <c r="AN37" s="1090" t="str">
        <f t="shared" si="5"/>
        <v/>
      </c>
      <c r="AO37" s="618" t="str">
        <f t="shared" si="6"/>
        <v/>
      </c>
      <c r="AP37" s="617"/>
      <c r="AQ37" s="617"/>
      <c r="AR37" s="617"/>
      <c r="AS37" s="617"/>
      <c r="AT37" s="617"/>
      <c r="AU37" s="617"/>
      <c r="AV37" s="620"/>
      <c r="AW37" s="727"/>
      <c r="AX37" s="728"/>
      <c r="AY37" s="728"/>
      <c r="AZ37" s="728"/>
      <c r="BA37" s="728"/>
      <c r="BB37" s="728"/>
      <c r="BC37" s="728"/>
      <c r="BD37" s="728"/>
      <c r="BE37" s="728"/>
      <c r="BF37" s="728"/>
      <c r="BG37" s="728"/>
      <c r="BH37" s="728"/>
      <c r="BI37" s="728"/>
      <c r="BJ37" s="728"/>
      <c r="BK37" s="728"/>
      <c r="BL37" s="742"/>
      <c r="BM37" s="747">
        <f t="shared" si="7"/>
        <v>0</v>
      </c>
      <c r="BN37" s="738">
        <f t="shared" si="0"/>
        <v>0</v>
      </c>
      <c r="BO37" s="729">
        <f t="shared" si="1"/>
        <v>0</v>
      </c>
      <c r="BP37" s="730">
        <f t="shared" si="46"/>
        <v>0</v>
      </c>
      <c r="BQ37" s="729">
        <f t="shared" si="46"/>
        <v>0</v>
      </c>
      <c r="BR37" s="729">
        <f t="shared" si="8"/>
        <v>0</v>
      </c>
      <c r="BS37" s="729">
        <f t="shared" si="9"/>
        <v>0</v>
      </c>
      <c r="BT37" s="729">
        <f t="shared" si="10"/>
        <v>0</v>
      </c>
      <c r="BU37" s="729">
        <f t="shared" si="11"/>
        <v>0</v>
      </c>
      <c r="BV37" s="729">
        <f t="shared" si="12"/>
        <v>0</v>
      </c>
      <c r="BW37" s="729">
        <f t="shared" si="13"/>
        <v>0</v>
      </c>
      <c r="BX37" s="729">
        <f t="shared" si="13"/>
        <v>0</v>
      </c>
      <c r="BY37" s="729">
        <f t="shared" si="14"/>
        <v>0</v>
      </c>
      <c r="BZ37" s="729">
        <f t="shared" si="14"/>
        <v>0</v>
      </c>
      <c r="CA37" s="729">
        <f t="shared" si="15"/>
        <v>0</v>
      </c>
      <c r="CB37" s="729">
        <f t="shared" si="16"/>
        <v>0</v>
      </c>
      <c r="CC37" s="729">
        <f t="shared" si="16"/>
        <v>0</v>
      </c>
      <c r="CD37" s="729">
        <f t="shared" si="16"/>
        <v>0</v>
      </c>
      <c r="CE37" s="729">
        <f t="shared" si="17"/>
        <v>0</v>
      </c>
      <c r="CF37" s="729">
        <f t="shared" si="18"/>
        <v>0</v>
      </c>
      <c r="CG37" s="729">
        <f t="shared" si="19"/>
        <v>0</v>
      </c>
      <c r="CH37" s="729">
        <f t="shared" si="20"/>
        <v>0</v>
      </c>
      <c r="CI37" s="729">
        <f t="shared" si="21"/>
        <v>0</v>
      </c>
      <c r="CJ37" s="729">
        <f t="shared" si="22"/>
        <v>0</v>
      </c>
      <c r="CK37" s="729">
        <f t="shared" si="23"/>
        <v>0</v>
      </c>
      <c r="CL37" s="729">
        <f t="shared" si="24"/>
        <v>0</v>
      </c>
      <c r="CM37" s="729">
        <f t="shared" si="25"/>
        <v>0</v>
      </c>
      <c r="CN37" s="729">
        <f t="shared" si="26"/>
        <v>0</v>
      </c>
      <c r="CO37" s="729">
        <f t="shared" si="27"/>
        <v>0</v>
      </c>
      <c r="CP37" s="729">
        <f t="shared" si="28"/>
        <v>0</v>
      </c>
      <c r="CQ37" s="729">
        <f t="shared" si="29"/>
        <v>0</v>
      </c>
      <c r="CR37" s="729">
        <f t="shared" si="30"/>
        <v>0</v>
      </c>
      <c r="CS37" s="729">
        <f t="shared" si="31"/>
        <v>0</v>
      </c>
      <c r="CT37" s="729">
        <f t="shared" si="31"/>
        <v>0</v>
      </c>
      <c r="CU37" s="731">
        <f t="shared" si="32"/>
        <v>0</v>
      </c>
      <c r="CV37" s="692" t="str">
        <f t="shared" si="33"/>
        <v/>
      </c>
      <c r="CW37" s="659" t="str">
        <f t="shared" si="34"/>
        <v/>
      </c>
      <c r="CX37" s="659" t="str">
        <f t="shared" si="35"/>
        <v/>
      </c>
      <c r="CY37" s="659" t="str">
        <f t="shared" si="36"/>
        <v/>
      </c>
      <c r="CZ37" s="659" t="str">
        <f t="shared" si="37"/>
        <v/>
      </c>
      <c r="DA37" s="659" t="str">
        <f t="shared" si="38"/>
        <v/>
      </c>
      <c r="DB37" s="82" t="str">
        <f t="shared" si="39"/>
        <v/>
      </c>
      <c r="DC37" s="625" t="str">
        <f t="shared" si="3"/>
        <v/>
      </c>
      <c r="DD37" s="625" t="str">
        <f t="shared" si="40"/>
        <v>0</v>
      </c>
      <c r="DE37" s="620">
        <f t="shared" si="41"/>
        <v>0</v>
      </c>
      <c r="DF37" s="1051" t="s">
        <v>57</v>
      </c>
      <c r="DG37" s="1080">
        <v>235034</v>
      </c>
      <c r="DH37" s="625">
        <f t="shared" si="42"/>
        <v>0</v>
      </c>
      <c r="DI37" s="625">
        <f t="shared" si="43"/>
        <v>0</v>
      </c>
      <c r="DJ37" s="626" t="str">
        <f t="shared" si="44"/>
        <v>00</v>
      </c>
    </row>
    <row r="38" spans="1:114" s="5" customFormat="1" ht="15" customHeight="1">
      <c r="A38" s="1237"/>
      <c r="B38" s="1237"/>
      <c r="C38" s="1237"/>
      <c r="D38" s="1237"/>
      <c r="E38" s="1237"/>
      <c r="F38" s="1237"/>
      <c r="G38" s="1237"/>
      <c r="H38" s="1237"/>
      <c r="I38" s="1237"/>
      <c r="J38" s="1237"/>
      <c r="K38" s="1237"/>
      <c r="L38" s="1237"/>
      <c r="M38" s="1237"/>
      <c r="N38" s="1237"/>
      <c r="O38" s="1237"/>
      <c r="P38" s="1235">
        <v>35</v>
      </c>
      <c r="Q38" s="1386"/>
      <c r="R38" s="1387"/>
      <c r="S38" s="1368"/>
      <c r="T38" s="1369"/>
      <c r="U38" s="1391"/>
      <c r="V38" s="1360"/>
      <c r="W38" s="1061"/>
      <c r="X38" s="1062"/>
      <c r="Y38" s="1063"/>
      <c r="Z38" s="1153"/>
      <c r="AA38" s="1153"/>
      <c r="AB38" s="1361"/>
      <c r="AC38" s="1352" t="str">
        <f t="shared" si="4"/>
        <v>00</v>
      </c>
      <c r="AD38" s="524" t="str">
        <f t="shared" si="45"/>
        <v/>
      </c>
      <c r="AE38" s="525" t="str">
        <f>IF(AD38="","",VLOOKUP(AD38,所属コード!$A$2:$E$189,2,FALSE))</f>
        <v/>
      </c>
      <c r="AF38" s="1164" t="str">
        <f>IF(AD38="","",VLOOKUP(AD38,所属コード!$A$2:$G$189,7,FALSE))</f>
        <v/>
      </c>
      <c r="AG38" s="1166"/>
      <c r="AH38" s="77"/>
      <c r="AI38" s="77"/>
      <c r="AJ38" s="77"/>
      <c r="AK38" s="15"/>
      <c r="AM38" s="621"/>
      <c r="AN38" s="1090" t="str">
        <f t="shared" si="5"/>
        <v/>
      </c>
      <c r="AO38" s="618" t="str">
        <f t="shared" si="6"/>
        <v/>
      </c>
      <c r="AP38" s="617"/>
      <c r="AQ38" s="617"/>
      <c r="AR38" s="617"/>
      <c r="AS38" s="617"/>
      <c r="AT38" s="617"/>
      <c r="AU38" s="617"/>
      <c r="AV38" s="620"/>
      <c r="AW38" s="727"/>
      <c r="AX38" s="728"/>
      <c r="AY38" s="728"/>
      <c r="AZ38" s="728"/>
      <c r="BA38" s="728"/>
      <c r="BB38" s="728"/>
      <c r="BC38" s="728"/>
      <c r="BD38" s="728"/>
      <c r="BE38" s="728"/>
      <c r="BF38" s="728"/>
      <c r="BG38" s="728"/>
      <c r="BH38" s="728"/>
      <c r="BI38" s="728"/>
      <c r="BJ38" s="728"/>
      <c r="BK38" s="728"/>
      <c r="BL38" s="742"/>
      <c r="BM38" s="747">
        <f t="shared" si="7"/>
        <v>0</v>
      </c>
      <c r="BN38" s="738">
        <f t="shared" si="0"/>
        <v>0</v>
      </c>
      <c r="BO38" s="729">
        <f t="shared" si="1"/>
        <v>0</v>
      </c>
      <c r="BP38" s="730">
        <f t="shared" si="46"/>
        <v>0</v>
      </c>
      <c r="BQ38" s="729">
        <f t="shared" si="46"/>
        <v>0</v>
      </c>
      <c r="BR38" s="729">
        <f t="shared" si="8"/>
        <v>0</v>
      </c>
      <c r="BS38" s="729">
        <f t="shared" si="9"/>
        <v>0</v>
      </c>
      <c r="BT38" s="729">
        <f t="shared" si="10"/>
        <v>0</v>
      </c>
      <c r="BU38" s="729">
        <f t="shared" si="11"/>
        <v>0</v>
      </c>
      <c r="BV38" s="729">
        <f t="shared" si="12"/>
        <v>0</v>
      </c>
      <c r="BW38" s="729">
        <f t="shared" si="13"/>
        <v>0</v>
      </c>
      <c r="BX38" s="729">
        <f t="shared" si="13"/>
        <v>0</v>
      </c>
      <c r="BY38" s="729">
        <f t="shared" si="14"/>
        <v>0</v>
      </c>
      <c r="BZ38" s="729">
        <f t="shared" si="14"/>
        <v>0</v>
      </c>
      <c r="CA38" s="729">
        <f t="shared" si="15"/>
        <v>0</v>
      </c>
      <c r="CB38" s="729">
        <f t="shared" si="16"/>
        <v>0</v>
      </c>
      <c r="CC38" s="729">
        <f t="shared" si="16"/>
        <v>0</v>
      </c>
      <c r="CD38" s="729">
        <f t="shared" si="16"/>
        <v>0</v>
      </c>
      <c r="CE38" s="729">
        <f t="shared" si="17"/>
        <v>0</v>
      </c>
      <c r="CF38" s="729">
        <f t="shared" si="18"/>
        <v>0</v>
      </c>
      <c r="CG38" s="729">
        <f t="shared" si="19"/>
        <v>0</v>
      </c>
      <c r="CH38" s="729">
        <f t="shared" si="20"/>
        <v>0</v>
      </c>
      <c r="CI38" s="729">
        <f t="shared" si="21"/>
        <v>0</v>
      </c>
      <c r="CJ38" s="729">
        <f t="shared" si="22"/>
        <v>0</v>
      </c>
      <c r="CK38" s="729">
        <f t="shared" si="23"/>
        <v>0</v>
      </c>
      <c r="CL38" s="729">
        <f t="shared" si="24"/>
        <v>0</v>
      </c>
      <c r="CM38" s="729">
        <f t="shared" si="25"/>
        <v>0</v>
      </c>
      <c r="CN38" s="729">
        <f t="shared" si="26"/>
        <v>0</v>
      </c>
      <c r="CO38" s="729">
        <f t="shared" si="27"/>
        <v>0</v>
      </c>
      <c r="CP38" s="729">
        <f t="shared" si="28"/>
        <v>0</v>
      </c>
      <c r="CQ38" s="729">
        <f t="shared" si="29"/>
        <v>0</v>
      </c>
      <c r="CR38" s="729">
        <f t="shared" si="30"/>
        <v>0</v>
      </c>
      <c r="CS38" s="729">
        <f t="shared" si="31"/>
        <v>0</v>
      </c>
      <c r="CT38" s="729">
        <f t="shared" si="31"/>
        <v>0</v>
      </c>
      <c r="CU38" s="731">
        <f t="shared" si="32"/>
        <v>0</v>
      </c>
      <c r="CV38" s="692" t="str">
        <f t="shared" si="33"/>
        <v/>
      </c>
      <c r="CW38" s="659" t="str">
        <f t="shared" si="34"/>
        <v/>
      </c>
      <c r="CX38" s="659" t="str">
        <f t="shared" si="35"/>
        <v/>
      </c>
      <c r="CY38" s="659" t="str">
        <f t="shared" si="36"/>
        <v/>
      </c>
      <c r="CZ38" s="659" t="str">
        <f t="shared" si="37"/>
        <v/>
      </c>
      <c r="DA38" s="659" t="str">
        <f t="shared" si="38"/>
        <v/>
      </c>
      <c r="DB38" s="82" t="str">
        <f t="shared" si="39"/>
        <v/>
      </c>
      <c r="DC38" s="625" t="str">
        <f t="shared" si="3"/>
        <v/>
      </c>
      <c r="DD38" s="625" t="str">
        <f t="shared" si="40"/>
        <v>0</v>
      </c>
      <c r="DE38" s="620">
        <f t="shared" si="41"/>
        <v>0</v>
      </c>
      <c r="DF38" s="1051" t="s">
        <v>58</v>
      </c>
      <c r="DG38" s="1080">
        <v>235035</v>
      </c>
      <c r="DH38" s="625">
        <f t="shared" si="42"/>
        <v>0</v>
      </c>
      <c r="DI38" s="625">
        <f t="shared" si="43"/>
        <v>0</v>
      </c>
      <c r="DJ38" s="626" t="str">
        <f t="shared" si="44"/>
        <v>00</v>
      </c>
    </row>
    <row r="39" spans="1:114" s="5" customFormat="1" ht="15" customHeight="1">
      <c r="A39" s="1237"/>
      <c r="B39" s="1237"/>
      <c r="C39" s="1237"/>
      <c r="D39" s="1237"/>
      <c r="E39" s="1237"/>
      <c r="F39" s="1237"/>
      <c r="G39" s="1237"/>
      <c r="H39" s="1237"/>
      <c r="I39" s="1237"/>
      <c r="J39" s="1237"/>
      <c r="K39" s="1237"/>
      <c r="L39" s="1237"/>
      <c r="M39" s="1237"/>
      <c r="N39" s="1237"/>
      <c r="O39" s="1237"/>
      <c r="P39" s="1235">
        <v>36</v>
      </c>
      <c r="Q39" s="1386"/>
      <c r="R39" s="1387"/>
      <c r="S39" s="1368"/>
      <c r="T39" s="1369"/>
      <c r="U39" s="1391"/>
      <c r="V39" s="1360"/>
      <c r="W39" s="1061"/>
      <c r="X39" s="1062"/>
      <c r="Y39" s="1063"/>
      <c r="Z39" s="1153"/>
      <c r="AA39" s="1153"/>
      <c r="AB39" s="1361"/>
      <c r="AC39" s="1352" t="str">
        <f t="shared" si="4"/>
        <v>00</v>
      </c>
      <c r="AD39" s="524" t="str">
        <f t="shared" si="45"/>
        <v/>
      </c>
      <c r="AE39" s="525" t="str">
        <f>IF(AD39="","",VLOOKUP(AD39,所属コード!$A$2:$E$189,2,FALSE))</f>
        <v/>
      </c>
      <c r="AF39" s="1164" t="str">
        <f>IF(AD39="","",VLOOKUP(AD39,所属コード!$A$2:$G$189,7,FALSE))</f>
        <v/>
      </c>
      <c r="AG39" s="1166"/>
      <c r="AH39" s="77"/>
      <c r="AI39" s="77"/>
      <c r="AJ39" s="77"/>
      <c r="AK39" s="15"/>
      <c r="AM39" s="621"/>
      <c r="AN39" s="1090" t="str">
        <f t="shared" si="5"/>
        <v/>
      </c>
      <c r="AO39" s="618" t="str">
        <f t="shared" si="6"/>
        <v/>
      </c>
      <c r="AP39" s="617"/>
      <c r="AQ39" s="617"/>
      <c r="AR39" s="617"/>
      <c r="AS39" s="617"/>
      <c r="AT39" s="617"/>
      <c r="AU39" s="617"/>
      <c r="AV39" s="620"/>
      <c r="AW39" s="727"/>
      <c r="AX39" s="728"/>
      <c r="AY39" s="728"/>
      <c r="AZ39" s="728"/>
      <c r="BA39" s="728"/>
      <c r="BB39" s="728"/>
      <c r="BC39" s="728"/>
      <c r="BD39" s="728"/>
      <c r="BE39" s="728"/>
      <c r="BF39" s="728"/>
      <c r="BG39" s="728"/>
      <c r="BH39" s="728"/>
      <c r="BI39" s="728"/>
      <c r="BJ39" s="728"/>
      <c r="BK39" s="728"/>
      <c r="BL39" s="742"/>
      <c r="BM39" s="747">
        <f t="shared" si="7"/>
        <v>0</v>
      </c>
      <c r="BN39" s="738">
        <f t="shared" si="0"/>
        <v>0</v>
      </c>
      <c r="BO39" s="729">
        <f t="shared" si="1"/>
        <v>0</v>
      </c>
      <c r="BP39" s="730">
        <f t="shared" si="46"/>
        <v>0</v>
      </c>
      <c r="BQ39" s="729">
        <f t="shared" si="46"/>
        <v>0</v>
      </c>
      <c r="BR39" s="729">
        <f t="shared" si="8"/>
        <v>0</v>
      </c>
      <c r="BS39" s="729">
        <f t="shared" si="9"/>
        <v>0</v>
      </c>
      <c r="BT39" s="729">
        <f t="shared" si="10"/>
        <v>0</v>
      </c>
      <c r="BU39" s="729">
        <f t="shared" si="11"/>
        <v>0</v>
      </c>
      <c r="BV39" s="729">
        <f t="shared" si="12"/>
        <v>0</v>
      </c>
      <c r="BW39" s="729">
        <f t="shared" si="13"/>
        <v>0</v>
      </c>
      <c r="BX39" s="729">
        <f t="shared" si="13"/>
        <v>0</v>
      </c>
      <c r="BY39" s="729">
        <f t="shared" si="14"/>
        <v>0</v>
      </c>
      <c r="BZ39" s="729">
        <f t="shared" si="14"/>
        <v>0</v>
      </c>
      <c r="CA39" s="729">
        <f t="shared" si="15"/>
        <v>0</v>
      </c>
      <c r="CB39" s="729">
        <f t="shared" si="16"/>
        <v>0</v>
      </c>
      <c r="CC39" s="729">
        <f t="shared" si="16"/>
        <v>0</v>
      </c>
      <c r="CD39" s="729">
        <f t="shared" si="16"/>
        <v>0</v>
      </c>
      <c r="CE39" s="729">
        <f t="shared" si="17"/>
        <v>0</v>
      </c>
      <c r="CF39" s="729">
        <f t="shared" si="18"/>
        <v>0</v>
      </c>
      <c r="CG39" s="729">
        <f t="shared" si="19"/>
        <v>0</v>
      </c>
      <c r="CH39" s="729">
        <f t="shared" si="20"/>
        <v>0</v>
      </c>
      <c r="CI39" s="729">
        <f t="shared" si="21"/>
        <v>0</v>
      </c>
      <c r="CJ39" s="729">
        <f t="shared" si="22"/>
        <v>0</v>
      </c>
      <c r="CK39" s="729">
        <f t="shared" si="23"/>
        <v>0</v>
      </c>
      <c r="CL39" s="729">
        <f t="shared" si="24"/>
        <v>0</v>
      </c>
      <c r="CM39" s="729">
        <f t="shared" si="25"/>
        <v>0</v>
      </c>
      <c r="CN39" s="729">
        <f t="shared" si="26"/>
        <v>0</v>
      </c>
      <c r="CO39" s="729">
        <f t="shared" si="27"/>
        <v>0</v>
      </c>
      <c r="CP39" s="729">
        <f t="shared" si="28"/>
        <v>0</v>
      </c>
      <c r="CQ39" s="729">
        <f t="shared" si="29"/>
        <v>0</v>
      </c>
      <c r="CR39" s="729">
        <f t="shared" si="30"/>
        <v>0</v>
      </c>
      <c r="CS39" s="729">
        <f t="shared" si="31"/>
        <v>0</v>
      </c>
      <c r="CT39" s="729">
        <f t="shared" si="31"/>
        <v>0</v>
      </c>
      <c r="CU39" s="731">
        <f t="shared" si="32"/>
        <v>0</v>
      </c>
      <c r="CV39" s="692" t="str">
        <f t="shared" si="33"/>
        <v/>
      </c>
      <c r="CW39" s="659" t="str">
        <f t="shared" si="34"/>
        <v/>
      </c>
      <c r="CX39" s="659" t="str">
        <f t="shared" si="35"/>
        <v/>
      </c>
      <c r="CY39" s="659" t="str">
        <f t="shared" si="36"/>
        <v/>
      </c>
      <c r="CZ39" s="659" t="str">
        <f t="shared" si="37"/>
        <v/>
      </c>
      <c r="DA39" s="659" t="str">
        <f t="shared" si="38"/>
        <v/>
      </c>
      <c r="DB39" s="82" t="str">
        <f t="shared" si="39"/>
        <v/>
      </c>
      <c r="DC39" s="625" t="str">
        <f t="shared" si="3"/>
        <v/>
      </c>
      <c r="DD39" s="625" t="str">
        <f t="shared" si="40"/>
        <v>0</v>
      </c>
      <c r="DE39" s="620">
        <f t="shared" si="41"/>
        <v>0</v>
      </c>
      <c r="DF39" s="1051" t="s">
        <v>59</v>
      </c>
      <c r="DG39" s="1080">
        <v>235036</v>
      </c>
      <c r="DH39" s="625">
        <f t="shared" si="42"/>
        <v>0</v>
      </c>
      <c r="DI39" s="625">
        <f t="shared" si="43"/>
        <v>0</v>
      </c>
      <c r="DJ39" s="626" t="str">
        <f t="shared" si="44"/>
        <v>00</v>
      </c>
    </row>
    <row r="40" spans="1:114" s="5" customFormat="1" ht="15" customHeight="1">
      <c r="A40" s="1237"/>
      <c r="B40" s="1237"/>
      <c r="C40" s="1237"/>
      <c r="D40" s="1237"/>
      <c r="E40" s="1237"/>
      <c r="F40" s="1237"/>
      <c r="G40" s="1237"/>
      <c r="H40" s="1237"/>
      <c r="I40" s="1237"/>
      <c r="J40" s="1237"/>
      <c r="K40" s="1237"/>
      <c r="L40" s="1237"/>
      <c r="M40" s="1237"/>
      <c r="N40" s="1237"/>
      <c r="O40" s="1237"/>
      <c r="P40" s="1235">
        <v>37</v>
      </c>
      <c r="Q40" s="1386"/>
      <c r="R40" s="1387"/>
      <c r="S40" s="1368"/>
      <c r="T40" s="1369"/>
      <c r="U40" s="1391"/>
      <c r="V40" s="1360"/>
      <c r="W40" s="1061"/>
      <c r="X40" s="1062"/>
      <c r="Y40" s="1063"/>
      <c r="Z40" s="1153"/>
      <c r="AA40" s="1153"/>
      <c r="AB40" s="1361"/>
      <c r="AC40" s="1352" t="str">
        <f t="shared" si="4"/>
        <v>00</v>
      </c>
      <c r="AD40" s="524" t="str">
        <f t="shared" si="45"/>
        <v/>
      </c>
      <c r="AE40" s="525" t="str">
        <f>IF(AD40="","",VLOOKUP(AD40,所属コード!$A$2:$E$189,2,FALSE))</f>
        <v/>
      </c>
      <c r="AF40" s="1164" t="str">
        <f>IF(AD40="","",VLOOKUP(AD40,所属コード!$A$2:$G$189,7,FALSE))</f>
        <v/>
      </c>
      <c r="AG40" s="1166"/>
      <c r="AH40" s="77"/>
      <c r="AI40" s="77"/>
      <c r="AJ40" s="77"/>
      <c r="AK40" s="15"/>
      <c r="AM40" s="621"/>
      <c r="AN40" s="1090" t="str">
        <f t="shared" si="5"/>
        <v/>
      </c>
      <c r="AO40" s="618" t="str">
        <f t="shared" si="6"/>
        <v/>
      </c>
      <c r="AP40" s="617"/>
      <c r="AQ40" s="617"/>
      <c r="AR40" s="617"/>
      <c r="AS40" s="617"/>
      <c r="AT40" s="617"/>
      <c r="AU40" s="617"/>
      <c r="AV40" s="620"/>
      <c r="AW40" s="727"/>
      <c r="AX40" s="728"/>
      <c r="AY40" s="728"/>
      <c r="AZ40" s="728"/>
      <c r="BA40" s="728"/>
      <c r="BB40" s="728"/>
      <c r="BC40" s="728"/>
      <c r="BD40" s="728"/>
      <c r="BE40" s="728"/>
      <c r="BF40" s="728"/>
      <c r="BG40" s="728"/>
      <c r="BH40" s="728"/>
      <c r="BI40" s="728"/>
      <c r="BJ40" s="728"/>
      <c r="BK40" s="728"/>
      <c r="BL40" s="742"/>
      <c r="BM40" s="747">
        <f t="shared" si="7"/>
        <v>0</v>
      </c>
      <c r="BN40" s="738">
        <f t="shared" si="0"/>
        <v>0</v>
      </c>
      <c r="BO40" s="729">
        <f t="shared" si="1"/>
        <v>0</v>
      </c>
      <c r="BP40" s="730">
        <f t="shared" si="46"/>
        <v>0</v>
      </c>
      <c r="BQ40" s="729">
        <f t="shared" si="46"/>
        <v>0</v>
      </c>
      <c r="BR40" s="729">
        <f t="shared" si="8"/>
        <v>0</v>
      </c>
      <c r="BS40" s="729">
        <f t="shared" si="9"/>
        <v>0</v>
      </c>
      <c r="BT40" s="729">
        <f t="shared" si="10"/>
        <v>0</v>
      </c>
      <c r="BU40" s="729">
        <f t="shared" si="11"/>
        <v>0</v>
      </c>
      <c r="BV40" s="729">
        <f t="shared" si="12"/>
        <v>0</v>
      </c>
      <c r="BW40" s="729">
        <f t="shared" si="13"/>
        <v>0</v>
      </c>
      <c r="BX40" s="729">
        <f t="shared" si="13"/>
        <v>0</v>
      </c>
      <c r="BY40" s="729">
        <f t="shared" si="14"/>
        <v>0</v>
      </c>
      <c r="BZ40" s="729">
        <f t="shared" si="14"/>
        <v>0</v>
      </c>
      <c r="CA40" s="729">
        <f t="shared" si="15"/>
        <v>0</v>
      </c>
      <c r="CB40" s="729">
        <f t="shared" si="16"/>
        <v>0</v>
      </c>
      <c r="CC40" s="729">
        <f t="shared" si="16"/>
        <v>0</v>
      </c>
      <c r="CD40" s="729">
        <f t="shared" si="16"/>
        <v>0</v>
      </c>
      <c r="CE40" s="729">
        <f t="shared" si="17"/>
        <v>0</v>
      </c>
      <c r="CF40" s="729">
        <f t="shared" si="18"/>
        <v>0</v>
      </c>
      <c r="CG40" s="729">
        <f t="shared" si="19"/>
        <v>0</v>
      </c>
      <c r="CH40" s="729">
        <f t="shared" si="20"/>
        <v>0</v>
      </c>
      <c r="CI40" s="729">
        <f t="shared" si="21"/>
        <v>0</v>
      </c>
      <c r="CJ40" s="729">
        <f t="shared" si="22"/>
        <v>0</v>
      </c>
      <c r="CK40" s="729">
        <f t="shared" si="23"/>
        <v>0</v>
      </c>
      <c r="CL40" s="729">
        <f t="shared" si="24"/>
        <v>0</v>
      </c>
      <c r="CM40" s="729">
        <f t="shared" si="25"/>
        <v>0</v>
      </c>
      <c r="CN40" s="729">
        <f t="shared" si="26"/>
        <v>0</v>
      </c>
      <c r="CO40" s="729">
        <f t="shared" si="27"/>
        <v>0</v>
      </c>
      <c r="CP40" s="729">
        <f t="shared" si="28"/>
        <v>0</v>
      </c>
      <c r="CQ40" s="729">
        <f t="shared" si="29"/>
        <v>0</v>
      </c>
      <c r="CR40" s="729">
        <f t="shared" si="30"/>
        <v>0</v>
      </c>
      <c r="CS40" s="729">
        <f t="shared" si="31"/>
        <v>0</v>
      </c>
      <c r="CT40" s="729">
        <f t="shared" si="31"/>
        <v>0</v>
      </c>
      <c r="CU40" s="731">
        <f t="shared" si="32"/>
        <v>0</v>
      </c>
      <c r="CV40" s="692" t="str">
        <f t="shared" si="33"/>
        <v/>
      </c>
      <c r="CW40" s="659" t="str">
        <f t="shared" si="34"/>
        <v/>
      </c>
      <c r="CX40" s="659" t="str">
        <f t="shared" si="35"/>
        <v/>
      </c>
      <c r="CY40" s="659" t="str">
        <f t="shared" si="36"/>
        <v/>
      </c>
      <c r="CZ40" s="659" t="str">
        <f t="shared" si="37"/>
        <v/>
      </c>
      <c r="DA40" s="659" t="str">
        <f t="shared" si="38"/>
        <v/>
      </c>
      <c r="DB40" s="82" t="str">
        <f t="shared" si="39"/>
        <v/>
      </c>
      <c r="DC40" s="625" t="str">
        <f t="shared" si="3"/>
        <v/>
      </c>
      <c r="DD40" s="625" t="str">
        <f t="shared" si="40"/>
        <v>0</v>
      </c>
      <c r="DE40" s="620">
        <f t="shared" si="41"/>
        <v>0</v>
      </c>
      <c r="DF40" s="1051" t="s">
        <v>60</v>
      </c>
      <c r="DG40" s="1080">
        <v>235037</v>
      </c>
      <c r="DH40" s="625">
        <f t="shared" si="42"/>
        <v>0</v>
      </c>
      <c r="DI40" s="625">
        <f t="shared" si="43"/>
        <v>0</v>
      </c>
      <c r="DJ40" s="626" t="str">
        <f t="shared" si="44"/>
        <v>00</v>
      </c>
    </row>
    <row r="41" spans="1:114" ht="15" customHeight="1">
      <c r="A41" s="1238"/>
      <c r="B41" s="1238"/>
      <c r="C41" s="1238"/>
      <c r="D41" s="1238"/>
      <c r="E41" s="1238"/>
      <c r="F41" s="1238"/>
      <c r="G41" s="1238"/>
      <c r="H41" s="1238"/>
      <c r="I41" s="1238"/>
      <c r="J41" s="1238"/>
      <c r="K41" s="1238"/>
      <c r="L41" s="1238"/>
      <c r="M41" s="1238"/>
      <c r="N41" s="1238"/>
      <c r="O41" s="1238"/>
      <c r="P41" s="1235">
        <v>38</v>
      </c>
      <c r="Q41" s="1386"/>
      <c r="R41" s="1387"/>
      <c r="S41" s="1368"/>
      <c r="T41" s="1369"/>
      <c r="U41" s="1391"/>
      <c r="V41" s="1360"/>
      <c r="W41" s="1061"/>
      <c r="X41" s="1062"/>
      <c r="Y41" s="1063"/>
      <c r="Z41" s="1153"/>
      <c r="AA41" s="1153"/>
      <c r="AB41" s="1361"/>
      <c r="AC41" s="1352" t="str">
        <f t="shared" si="4"/>
        <v>00</v>
      </c>
      <c r="AD41" s="524" t="str">
        <f t="shared" si="45"/>
        <v/>
      </c>
      <c r="AE41" s="525" t="str">
        <f>IF(AD41="","",VLOOKUP(AD41,所属コード!$A$2:$E$189,2,FALSE))</f>
        <v/>
      </c>
      <c r="AF41" s="1164" t="str">
        <f>IF(AD41="","",VLOOKUP(AD41,所属コード!$A$2:$G$189,7,FALSE))</f>
        <v/>
      </c>
      <c r="AG41" s="1166"/>
      <c r="AH41" s="77"/>
      <c r="AI41" s="77"/>
      <c r="AJ41" s="77"/>
      <c r="AK41" s="15"/>
      <c r="AM41" s="621"/>
      <c r="AN41" s="1090" t="str">
        <f t="shared" si="5"/>
        <v/>
      </c>
      <c r="AO41" s="618" t="str">
        <f t="shared" si="6"/>
        <v/>
      </c>
      <c r="AP41" s="617"/>
      <c r="AQ41" s="617"/>
      <c r="AR41" s="617"/>
      <c r="AS41" s="617"/>
      <c r="AT41" s="617"/>
      <c r="AU41" s="617"/>
      <c r="AV41" s="620"/>
      <c r="AW41" s="727"/>
      <c r="AX41" s="728"/>
      <c r="AY41" s="728"/>
      <c r="AZ41" s="728"/>
      <c r="BA41" s="728"/>
      <c r="BB41" s="728"/>
      <c r="BC41" s="728"/>
      <c r="BD41" s="728"/>
      <c r="BE41" s="728"/>
      <c r="BF41" s="728"/>
      <c r="BG41" s="728"/>
      <c r="BH41" s="728"/>
      <c r="BI41" s="728"/>
      <c r="BJ41" s="728"/>
      <c r="BK41" s="728"/>
      <c r="BL41" s="742"/>
      <c r="BM41" s="747">
        <f t="shared" si="7"/>
        <v>0</v>
      </c>
      <c r="BN41" s="738">
        <f t="shared" si="0"/>
        <v>0</v>
      </c>
      <c r="BO41" s="729">
        <f t="shared" si="1"/>
        <v>0</v>
      </c>
      <c r="BP41" s="730">
        <f t="shared" si="46"/>
        <v>0</v>
      </c>
      <c r="BQ41" s="729">
        <f t="shared" si="46"/>
        <v>0</v>
      </c>
      <c r="BR41" s="729">
        <f t="shared" si="8"/>
        <v>0</v>
      </c>
      <c r="BS41" s="729">
        <f t="shared" si="9"/>
        <v>0</v>
      </c>
      <c r="BT41" s="729">
        <f t="shared" si="10"/>
        <v>0</v>
      </c>
      <c r="BU41" s="729">
        <f t="shared" si="11"/>
        <v>0</v>
      </c>
      <c r="BV41" s="729">
        <f t="shared" si="12"/>
        <v>0</v>
      </c>
      <c r="BW41" s="729">
        <f t="shared" si="13"/>
        <v>0</v>
      </c>
      <c r="BX41" s="729">
        <f t="shared" si="13"/>
        <v>0</v>
      </c>
      <c r="BY41" s="729">
        <f t="shared" si="14"/>
        <v>0</v>
      </c>
      <c r="BZ41" s="729">
        <f t="shared" si="14"/>
        <v>0</v>
      </c>
      <c r="CA41" s="729">
        <f t="shared" si="15"/>
        <v>0</v>
      </c>
      <c r="CB41" s="729">
        <f t="shared" si="16"/>
        <v>0</v>
      </c>
      <c r="CC41" s="729">
        <f t="shared" si="16"/>
        <v>0</v>
      </c>
      <c r="CD41" s="729">
        <f t="shared" si="16"/>
        <v>0</v>
      </c>
      <c r="CE41" s="729">
        <f t="shared" si="17"/>
        <v>0</v>
      </c>
      <c r="CF41" s="729">
        <f t="shared" si="18"/>
        <v>0</v>
      </c>
      <c r="CG41" s="729">
        <f t="shared" si="19"/>
        <v>0</v>
      </c>
      <c r="CH41" s="729">
        <f t="shared" si="20"/>
        <v>0</v>
      </c>
      <c r="CI41" s="729">
        <f t="shared" si="21"/>
        <v>0</v>
      </c>
      <c r="CJ41" s="729">
        <f t="shared" si="22"/>
        <v>0</v>
      </c>
      <c r="CK41" s="729">
        <f t="shared" si="23"/>
        <v>0</v>
      </c>
      <c r="CL41" s="729">
        <f t="shared" si="24"/>
        <v>0</v>
      </c>
      <c r="CM41" s="729">
        <f t="shared" si="25"/>
        <v>0</v>
      </c>
      <c r="CN41" s="729">
        <f t="shared" si="26"/>
        <v>0</v>
      </c>
      <c r="CO41" s="729">
        <f t="shared" si="27"/>
        <v>0</v>
      </c>
      <c r="CP41" s="729">
        <f t="shared" si="28"/>
        <v>0</v>
      </c>
      <c r="CQ41" s="729">
        <f t="shared" si="29"/>
        <v>0</v>
      </c>
      <c r="CR41" s="729">
        <f t="shared" si="30"/>
        <v>0</v>
      </c>
      <c r="CS41" s="729">
        <f t="shared" si="31"/>
        <v>0</v>
      </c>
      <c r="CT41" s="729">
        <f t="shared" si="31"/>
        <v>0</v>
      </c>
      <c r="CU41" s="731">
        <f t="shared" si="32"/>
        <v>0</v>
      </c>
      <c r="CV41" s="692" t="str">
        <f t="shared" si="33"/>
        <v/>
      </c>
      <c r="CW41" s="659" t="str">
        <f t="shared" si="34"/>
        <v/>
      </c>
      <c r="CX41" s="659" t="str">
        <f t="shared" si="35"/>
        <v/>
      </c>
      <c r="CY41" s="659" t="str">
        <f t="shared" si="36"/>
        <v/>
      </c>
      <c r="CZ41" s="659" t="str">
        <f t="shared" si="37"/>
        <v/>
      </c>
      <c r="DA41" s="659" t="str">
        <f t="shared" si="38"/>
        <v/>
      </c>
      <c r="DB41" s="82" t="str">
        <f t="shared" si="39"/>
        <v/>
      </c>
      <c r="DC41" s="625" t="str">
        <f t="shared" si="3"/>
        <v/>
      </c>
      <c r="DD41" s="625" t="str">
        <f t="shared" si="40"/>
        <v>0</v>
      </c>
      <c r="DE41" s="620">
        <f t="shared" si="41"/>
        <v>0</v>
      </c>
      <c r="DF41" s="1051" t="s">
        <v>301</v>
      </c>
      <c r="DG41" s="1080">
        <v>235038</v>
      </c>
      <c r="DH41" s="625">
        <f t="shared" si="42"/>
        <v>0</v>
      </c>
      <c r="DI41" s="625">
        <f t="shared" si="43"/>
        <v>0</v>
      </c>
      <c r="DJ41" s="626" t="str">
        <f t="shared" si="44"/>
        <v>00</v>
      </c>
    </row>
    <row r="42" spans="1:114" ht="15" customHeight="1">
      <c r="A42" s="1238"/>
      <c r="B42" s="1238"/>
      <c r="C42" s="1238"/>
      <c r="D42" s="1238"/>
      <c r="E42" s="1238"/>
      <c r="F42" s="1238"/>
      <c r="G42" s="1238"/>
      <c r="H42" s="1238"/>
      <c r="I42" s="1238"/>
      <c r="J42" s="1238"/>
      <c r="K42" s="1238"/>
      <c r="L42" s="1238"/>
      <c r="M42" s="1238"/>
      <c r="N42" s="1238"/>
      <c r="O42" s="1238"/>
      <c r="P42" s="1235">
        <v>39</v>
      </c>
      <c r="Q42" s="1386"/>
      <c r="R42" s="1387"/>
      <c r="S42" s="1368"/>
      <c r="T42" s="1369"/>
      <c r="U42" s="1391"/>
      <c r="V42" s="1360"/>
      <c r="W42" s="1061"/>
      <c r="X42" s="1062"/>
      <c r="Y42" s="1063"/>
      <c r="Z42" s="1153"/>
      <c r="AA42" s="1153"/>
      <c r="AB42" s="1361"/>
      <c r="AC42" s="1352" t="str">
        <f t="shared" si="4"/>
        <v>00</v>
      </c>
      <c r="AD42" s="524" t="str">
        <f t="shared" si="45"/>
        <v/>
      </c>
      <c r="AE42" s="525" t="str">
        <f>IF(AD42="","",VLOOKUP(AD42,所属コード!$A$2:$E$189,2,FALSE))</f>
        <v/>
      </c>
      <c r="AF42" s="1164" t="str">
        <f>IF(AD42="","",VLOOKUP(AD42,所属コード!$A$2:$G$189,7,FALSE))</f>
        <v/>
      </c>
      <c r="AG42" s="1166"/>
      <c r="AH42" s="77"/>
      <c r="AI42" s="77"/>
      <c r="AJ42" s="77"/>
      <c r="AK42" s="15"/>
      <c r="AM42" s="621"/>
      <c r="AN42" s="1090" t="str">
        <f t="shared" si="5"/>
        <v/>
      </c>
      <c r="AO42" s="618" t="str">
        <f t="shared" si="6"/>
        <v/>
      </c>
      <c r="AP42" s="617"/>
      <c r="AQ42" s="617"/>
      <c r="AR42" s="617"/>
      <c r="AS42" s="617"/>
      <c r="AT42" s="617"/>
      <c r="AU42" s="617"/>
      <c r="AV42" s="620"/>
      <c r="AW42" s="727"/>
      <c r="AX42" s="728"/>
      <c r="AY42" s="728"/>
      <c r="AZ42" s="728"/>
      <c r="BA42" s="728"/>
      <c r="BB42" s="728"/>
      <c r="BC42" s="728"/>
      <c r="BD42" s="728"/>
      <c r="BE42" s="728"/>
      <c r="BF42" s="728"/>
      <c r="BG42" s="728"/>
      <c r="BH42" s="728"/>
      <c r="BI42" s="728"/>
      <c r="BJ42" s="728"/>
      <c r="BK42" s="728"/>
      <c r="BL42" s="742"/>
      <c r="BM42" s="747">
        <f t="shared" si="7"/>
        <v>0</v>
      </c>
      <c r="BN42" s="738">
        <f t="shared" si="0"/>
        <v>0</v>
      </c>
      <c r="BO42" s="729">
        <f t="shared" si="1"/>
        <v>0</v>
      </c>
      <c r="BP42" s="730">
        <f t="shared" si="46"/>
        <v>0</v>
      </c>
      <c r="BQ42" s="729">
        <f t="shared" si="46"/>
        <v>0</v>
      </c>
      <c r="BR42" s="729">
        <f t="shared" si="8"/>
        <v>0</v>
      </c>
      <c r="BS42" s="729">
        <f t="shared" si="9"/>
        <v>0</v>
      </c>
      <c r="BT42" s="729">
        <f t="shared" si="10"/>
        <v>0</v>
      </c>
      <c r="BU42" s="729">
        <f t="shared" si="11"/>
        <v>0</v>
      </c>
      <c r="BV42" s="729">
        <f t="shared" si="12"/>
        <v>0</v>
      </c>
      <c r="BW42" s="729">
        <f t="shared" si="13"/>
        <v>0</v>
      </c>
      <c r="BX42" s="729">
        <f t="shared" si="13"/>
        <v>0</v>
      </c>
      <c r="BY42" s="729">
        <f t="shared" si="14"/>
        <v>0</v>
      </c>
      <c r="BZ42" s="729">
        <f t="shared" si="14"/>
        <v>0</v>
      </c>
      <c r="CA42" s="729">
        <f t="shared" si="15"/>
        <v>0</v>
      </c>
      <c r="CB42" s="729">
        <f t="shared" si="16"/>
        <v>0</v>
      </c>
      <c r="CC42" s="729">
        <f t="shared" si="16"/>
        <v>0</v>
      </c>
      <c r="CD42" s="729">
        <f t="shared" si="16"/>
        <v>0</v>
      </c>
      <c r="CE42" s="729">
        <f t="shared" si="17"/>
        <v>0</v>
      </c>
      <c r="CF42" s="729">
        <f t="shared" si="18"/>
        <v>0</v>
      </c>
      <c r="CG42" s="729">
        <f t="shared" si="19"/>
        <v>0</v>
      </c>
      <c r="CH42" s="729">
        <f t="shared" si="20"/>
        <v>0</v>
      </c>
      <c r="CI42" s="729">
        <f t="shared" si="21"/>
        <v>0</v>
      </c>
      <c r="CJ42" s="729">
        <f t="shared" si="22"/>
        <v>0</v>
      </c>
      <c r="CK42" s="729">
        <f t="shared" si="23"/>
        <v>0</v>
      </c>
      <c r="CL42" s="729">
        <f t="shared" si="24"/>
        <v>0</v>
      </c>
      <c r="CM42" s="729">
        <f t="shared" si="25"/>
        <v>0</v>
      </c>
      <c r="CN42" s="729">
        <f t="shared" si="26"/>
        <v>0</v>
      </c>
      <c r="CO42" s="729">
        <f t="shared" si="27"/>
        <v>0</v>
      </c>
      <c r="CP42" s="729">
        <f t="shared" si="28"/>
        <v>0</v>
      </c>
      <c r="CQ42" s="729">
        <f t="shared" si="29"/>
        <v>0</v>
      </c>
      <c r="CR42" s="729">
        <f t="shared" si="30"/>
        <v>0</v>
      </c>
      <c r="CS42" s="729">
        <f t="shared" si="31"/>
        <v>0</v>
      </c>
      <c r="CT42" s="729">
        <f t="shared" si="31"/>
        <v>0</v>
      </c>
      <c r="CU42" s="731">
        <f t="shared" si="32"/>
        <v>0</v>
      </c>
      <c r="CV42" s="692" t="str">
        <f t="shared" si="33"/>
        <v/>
      </c>
      <c r="CW42" s="659" t="str">
        <f t="shared" si="34"/>
        <v/>
      </c>
      <c r="CX42" s="659" t="str">
        <f t="shared" si="35"/>
        <v/>
      </c>
      <c r="CY42" s="659" t="str">
        <f t="shared" si="36"/>
        <v/>
      </c>
      <c r="CZ42" s="659" t="str">
        <f t="shared" si="37"/>
        <v/>
      </c>
      <c r="DA42" s="659" t="str">
        <f t="shared" si="38"/>
        <v/>
      </c>
      <c r="DB42" s="82" t="str">
        <f t="shared" si="39"/>
        <v/>
      </c>
      <c r="DC42" s="625" t="str">
        <f t="shared" si="3"/>
        <v/>
      </c>
      <c r="DD42" s="625" t="str">
        <f t="shared" si="40"/>
        <v>0</v>
      </c>
      <c r="DE42" s="620">
        <f t="shared" si="41"/>
        <v>0</v>
      </c>
      <c r="DF42" s="1051" t="s">
        <v>167</v>
      </c>
      <c r="DG42" s="1080">
        <v>235039</v>
      </c>
      <c r="DH42" s="625">
        <f t="shared" si="42"/>
        <v>0</v>
      </c>
      <c r="DI42" s="625">
        <f t="shared" si="43"/>
        <v>0</v>
      </c>
      <c r="DJ42" s="626" t="str">
        <f t="shared" si="44"/>
        <v>00</v>
      </c>
    </row>
    <row r="43" spans="1:114" ht="15" customHeight="1">
      <c r="A43" s="1238"/>
      <c r="B43" s="1238"/>
      <c r="C43" s="1238"/>
      <c r="D43" s="1238"/>
      <c r="E43" s="1238"/>
      <c r="F43" s="1238"/>
      <c r="G43" s="1238"/>
      <c r="H43" s="1238"/>
      <c r="I43" s="1238"/>
      <c r="J43" s="1238"/>
      <c r="K43" s="1238"/>
      <c r="L43" s="1238"/>
      <c r="M43" s="1238"/>
      <c r="N43" s="1238"/>
      <c r="O43" s="1238"/>
      <c r="P43" s="1235">
        <v>40</v>
      </c>
      <c r="Q43" s="1386"/>
      <c r="R43" s="1387"/>
      <c r="S43" s="1368"/>
      <c r="T43" s="1369"/>
      <c r="U43" s="1391"/>
      <c r="V43" s="1360"/>
      <c r="W43" s="1061"/>
      <c r="X43" s="1062"/>
      <c r="Y43" s="1063"/>
      <c r="Z43" s="1153"/>
      <c r="AA43" s="1153"/>
      <c r="AB43" s="1361"/>
      <c r="AC43" s="1352" t="str">
        <f t="shared" si="4"/>
        <v>00</v>
      </c>
      <c r="AD43" s="524" t="str">
        <f t="shared" si="45"/>
        <v/>
      </c>
      <c r="AE43" s="525" t="str">
        <f>IF(AD43="","",VLOOKUP(AD43,所属コード!$A$2:$E$189,2,FALSE))</f>
        <v/>
      </c>
      <c r="AF43" s="1164" t="str">
        <f>IF(AD43="","",VLOOKUP(AD43,所属コード!$A$2:$G$189,7,FALSE))</f>
        <v/>
      </c>
      <c r="AG43" s="1166"/>
      <c r="AH43" s="77"/>
      <c r="AI43" s="77"/>
      <c r="AJ43" s="77"/>
      <c r="AK43" s="15"/>
      <c r="AM43" s="621"/>
      <c r="AN43" s="1090" t="str">
        <f t="shared" si="5"/>
        <v/>
      </c>
      <c r="AO43" s="618" t="str">
        <f t="shared" si="6"/>
        <v/>
      </c>
      <c r="AP43" s="617"/>
      <c r="AQ43" s="617"/>
      <c r="AR43" s="617"/>
      <c r="AS43" s="617"/>
      <c r="AT43" s="617"/>
      <c r="AU43" s="617"/>
      <c r="AV43" s="620"/>
      <c r="AW43" s="727"/>
      <c r="AX43" s="728"/>
      <c r="AY43" s="728"/>
      <c r="AZ43" s="728"/>
      <c r="BA43" s="728"/>
      <c r="BB43" s="728"/>
      <c r="BC43" s="728"/>
      <c r="BD43" s="728"/>
      <c r="BE43" s="728"/>
      <c r="BF43" s="728"/>
      <c r="BG43" s="728"/>
      <c r="BH43" s="728"/>
      <c r="BI43" s="728"/>
      <c r="BJ43" s="728"/>
      <c r="BK43" s="728"/>
      <c r="BL43" s="742"/>
      <c r="BM43" s="747">
        <f t="shared" si="7"/>
        <v>0</v>
      </c>
      <c r="BN43" s="738">
        <f t="shared" si="0"/>
        <v>0</v>
      </c>
      <c r="BO43" s="729">
        <f t="shared" si="1"/>
        <v>0</v>
      </c>
      <c r="BP43" s="730">
        <f t="shared" si="46"/>
        <v>0</v>
      </c>
      <c r="BQ43" s="729">
        <f t="shared" si="46"/>
        <v>0</v>
      </c>
      <c r="BR43" s="729">
        <f t="shared" si="8"/>
        <v>0</v>
      </c>
      <c r="BS43" s="729">
        <f t="shared" si="9"/>
        <v>0</v>
      </c>
      <c r="BT43" s="729">
        <f t="shared" si="10"/>
        <v>0</v>
      </c>
      <c r="BU43" s="729">
        <f t="shared" si="11"/>
        <v>0</v>
      </c>
      <c r="BV43" s="729">
        <f t="shared" si="12"/>
        <v>0</v>
      </c>
      <c r="BW43" s="729">
        <f t="shared" si="13"/>
        <v>0</v>
      </c>
      <c r="BX43" s="729">
        <f t="shared" si="13"/>
        <v>0</v>
      </c>
      <c r="BY43" s="729">
        <f t="shared" si="14"/>
        <v>0</v>
      </c>
      <c r="BZ43" s="729">
        <f t="shared" si="14"/>
        <v>0</v>
      </c>
      <c r="CA43" s="729">
        <f t="shared" si="15"/>
        <v>0</v>
      </c>
      <c r="CB43" s="729">
        <f t="shared" si="16"/>
        <v>0</v>
      </c>
      <c r="CC43" s="729">
        <f t="shared" si="16"/>
        <v>0</v>
      </c>
      <c r="CD43" s="729">
        <f t="shared" si="16"/>
        <v>0</v>
      </c>
      <c r="CE43" s="729">
        <f t="shared" si="17"/>
        <v>0</v>
      </c>
      <c r="CF43" s="729">
        <f t="shared" si="18"/>
        <v>0</v>
      </c>
      <c r="CG43" s="729">
        <f t="shared" si="19"/>
        <v>0</v>
      </c>
      <c r="CH43" s="729">
        <f t="shared" si="20"/>
        <v>0</v>
      </c>
      <c r="CI43" s="729">
        <f t="shared" si="21"/>
        <v>0</v>
      </c>
      <c r="CJ43" s="729">
        <f t="shared" si="22"/>
        <v>0</v>
      </c>
      <c r="CK43" s="729">
        <f t="shared" si="23"/>
        <v>0</v>
      </c>
      <c r="CL43" s="729">
        <f t="shared" si="24"/>
        <v>0</v>
      </c>
      <c r="CM43" s="729">
        <f t="shared" si="25"/>
        <v>0</v>
      </c>
      <c r="CN43" s="729">
        <f t="shared" si="26"/>
        <v>0</v>
      </c>
      <c r="CO43" s="729">
        <f t="shared" si="27"/>
        <v>0</v>
      </c>
      <c r="CP43" s="729">
        <f t="shared" si="28"/>
        <v>0</v>
      </c>
      <c r="CQ43" s="729">
        <f t="shared" si="29"/>
        <v>0</v>
      </c>
      <c r="CR43" s="729">
        <f t="shared" si="30"/>
        <v>0</v>
      </c>
      <c r="CS43" s="729">
        <f t="shared" si="31"/>
        <v>0</v>
      </c>
      <c r="CT43" s="729">
        <f t="shared" si="31"/>
        <v>0</v>
      </c>
      <c r="CU43" s="731">
        <f t="shared" si="32"/>
        <v>0</v>
      </c>
      <c r="CV43" s="692" t="str">
        <f t="shared" si="33"/>
        <v/>
      </c>
      <c r="CW43" s="659" t="str">
        <f t="shared" si="34"/>
        <v/>
      </c>
      <c r="CX43" s="659" t="str">
        <f t="shared" si="35"/>
        <v/>
      </c>
      <c r="CY43" s="659" t="str">
        <f t="shared" si="36"/>
        <v/>
      </c>
      <c r="CZ43" s="659" t="str">
        <f t="shared" si="37"/>
        <v/>
      </c>
      <c r="DA43" s="659" t="str">
        <f t="shared" si="38"/>
        <v/>
      </c>
      <c r="DB43" s="82" t="str">
        <f t="shared" si="39"/>
        <v/>
      </c>
      <c r="DC43" s="625" t="str">
        <f t="shared" si="3"/>
        <v/>
      </c>
      <c r="DD43" s="625" t="str">
        <f t="shared" si="40"/>
        <v>0</v>
      </c>
      <c r="DE43" s="620">
        <f t="shared" si="41"/>
        <v>0</v>
      </c>
      <c r="DF43" s="1051" t="s">
        <v>114</v>
      </c>
      <c r="DG43" s="1080">
        <v>235040</v>
      </c>
      <c r="DH43" s="625">
        <f t="shared" si="42"/>
        <v>0</v>
      </c>
      <c r="DI43" s="625">
        <f t="shared" si="43"/>
        <v>0</v>
      </c>
      <c r="DJ43" s="626" t="str">
        <f t="shared" si="44"/>
        <v>00</v>
      </c>
    </row>
    <row r="44" spans="1:114" ht="15" customHeight="1">
      <c r="A44" s="1238"/>
      <c r="B44" s="1238"/>
      <c r="C44" s="1238"/>
      <c r="D44" s="1238"/>
      <c r="E44" s="1238"/>
      <c r="F44" s="1238"/>
      <c r="G44" s="1238"/>
      <c r="H44" s="1238"/>
      <c r="I44" s="1238"/>
      <c r="J44" s="1238"/>
      <c r="K44" s="1238"/>
      <c r="L44" s="1238"/>
      <c r="M44" s="1238"/>
      <c r="N44" s="1238"/>
      <c r="O44" s="1238"/>
      <c r="P44" s="1235">
        <v>41</v>
      </c>
      <c r="Q44" s="1386"/>
      <c r="R44" s="1387"/>
      <c r="S44" s="1368"/>
      <c r="T44" s="1369"/>
      <c r="U44" s="1391"/>
      <c r="V44" s="1360"/>
      <c r="W44" s="1061"/>
      <c r="X44" s="1062"/>
      <c r="Y44" s="1063"/>
      <c r="Z44" s="1153"/>
      <c r="AA44" s="1153"/>
      <c r="AB44" s="1361"/>
      <c r="AC44" s="1352" t="str">
        <f t="shared" si="4"/>
        <v>00</v>
      </c>
      <c r="AD44" s="524" t="str">
        <f t="shared" si="45"/>
        <v/>
      </c>
      <c r="AE44" s="525" t="str">
        <f>IF(AD44="","",VLOOKUP(AD44,所属コード!$A$2:$E$189,2,FALSE))</f>
        <v/>
      </c>
      <c r="AF44" s="1164" t="str">
        <f>IF(AD44="","",VLOOKUP(AD44,所属コード!$A$2:$G$189,7,FALSE))</f>
        <v/>
      </c>
      <c r="AG44" s="1166"/>
      <c r="AH44" s="77"/>
      <c r="AI44" s="77"/>
      <c r="AJ44" s="77"/>
      <c r="AK44" s="15"/>
      <c r="AM44" s="621"/>
      <c r="AN44" s="1090" t="str">
        <f t="shared" si="5"/>
        <v/>
      </c>
      <c r="AO44" s="618" t="str">
        <f t="shared" si="6"/>
        <v/>
      </c>
      <c r="AP44" s="617"/>
      <c r="AQ44" s="617"/>
      <c r="AR44" s="617"/>
      <c r="AS44" s="617"/>
      <c r="AT44" s="617"/>
      <c r="AU44" s="617"/>
      <c r="AV44" s="620"/>
      <c r="AW44" s="727"/>
      <c r="AX44" s="728"/>
      <c r="AY44" s="728"/>
      <c r="AZ44" s="728"/>
      <c r="BA44" s="728"/>
      <c r="BB44" s="728"/>
      <c r="BC44" s="728"/>
      <c r="BD44" s="728"/>
      <c r="BE44" s="728"/>
      <c r="BF44" s="728"/>
      <c r="BG44" s="728"/>
      <c r="BH44" s="728"/>
      <c r="BI44" s="728"/>
      <c r="BJ44" s="728"/>
      <c r="BK44" s="728"/>
      <c r="BL44" s="742"/>
      <c r="BM44" s="747">
        <f t="shared" si="7"/>
        <v>0</v>
      </c>
      <c r="BN44" s="738">
        <f t="shared" si="0"/>
        <v>0</v>
      </c>
      <c r="BO44" s="729">
        <f t="shared" si="1"/>
        <v>0</v>
      </c>
      <c r="BP44" s="730">
        <f t="shared" si="46"/>
        <v>0</v>
      </c>
      <c r="BQ44" s="729">
        <f t="shared" si="46"/>
        <v>0</v>
      </c>
      <c r="BR44" s="729">
        <f t="shared" si="8"/>
        <v>0</v>
      </c>
      <c r="BS44" s="729">
        <f t="shared" si="9"/>
        <v>0</v>
      </c>
      <c r="BT44" s="729">
        <f t="shared" si="10"/>
        <v>0</v>
      </c>
      <c r="BU44" s="729">
        <f t="shared" si="11"/>
        <v>0</v>
      </c>
      <c r="BV44" s="729">
        <f t="shared" si="12"/>
        <v>0</v>
      </c>
      <c r="BW44" s="729">
        <f t="shared" si="13"/>
        <v>0</v>
      </c>
      <c r="BX44" s="729">
        <f t="shared" si="13"/>
        <v>0</v>
      </c>
      <c r="BY44" s="729">
        <f t="shared" si="14"/>
        <v>0</v>
      </c>
      <c r="BZ44" s="729">
        <f t="shared" si="14"/>
        <v>0</v>
      </c>
      <c r="CA44" s="729">
        <f t="shared" si="15"/>
        <v>0</v>
      </c>
      <c r="CB44" s="729">
        <f t="shared" si="16"/>
        <v>0</v>
      </c>
      <c r="CC44" s="729">
        <f t="shared" si="16"/>
        <v>0</v>
      </c>
      <c r="CD44" s="729">
        <f t="shared" si="16"/>
        <v>0</v>
      </c>
      <c r="CE44" s="729">
        <f t="shared" si="17"/>
        <v>0</v>
      </c>
      <c r="CF44" s="729">
        <f t="shared" si="18"/>
        <v>0</v>
      </c>
      <c r="CG44" s="729">
        <f t="shared" si="19"/>
        <v>0</v>
      </c>
      <c r="CH44" s="729">
        <f t="shared" si="20"/>
        <v>0</v>
      </c>
      <c r="CI44" s="729">
        <f t="shared" si="21"/>
        <v>0</v>
      </c>
      <c r="CJ44" s="729">
        <f t="shared" si="22"/>
        <v>0</v>
      </c>
      <c r="CK44" s="729">
        <f t="shared" si="23"/>
        <v>0</v>
      </c>
      <c r="CL44" s="729">
        <f t="shared" si="24"/>
        <v>0</v>
      </c>
      <c r="CM44" s="729">
        <f t="shared" si="25"/>
        <v>0</v>
      </c>
      <c r="CN44" s="729">
        <f t="shared" si="26"/>
        <v>0</v>
      </c>
      <c r="CO44" s="729">
        <f t="shared" si="27"/>
        <v>0</v>
      </c>
      <c r="CP44" s="729">
        <f t="shared" si="28"/>
        <v>0</v>
      </c>
      <c r="CQ44" s="729">
        <f t="shared" si="29"/>
        <v>0</v>
      </c>
      <c r="CR44" s="729">
        <f t="shared" si="30"/>
        <v>0</v>
      </c>
      <c r="CS44" s="729">
        <f t="shared" si="31"/>
        <v>0</v>
      </c>
      <c r="CT44" s="729">
        <f t="shared" si="31"/>
        <v>0</v>
      </c>
      <c r="CU44" s="731">
        <f t="shared" si="32"/>
        <v>0</v>
      </c>
      <c r="CV44" s="692" t="str">
        <f t="shared" si="33"/>
        <v/>
      </c>
      <c r="CW44" s="659" t="str">
        <f t="shared" si="34"/>
        <v/>
      </c>
      <c r="CX44" s="659" t="str">
        <f t="shared" si="35"/>
        <v/>
      </c>
      <c r="CY44" s="659" t="str">
        <f t="shared" si="36"/>
        <v/>
      </c>
      <c r="CZ44" s="659" t="str">
        <f t="shared" si="37"/>
        <v/>
      </c>
      <c r="DA44" s="659" t="str">
        <f t="shared" si="38"/>
        <v/>
      </c>
      <c r="DB44" s="82" t="str">
        <f t="shared" si="39"/>
        <v/>
      </c>
      <c r="DC44" s="625" t="str">
        <f t="shared" si="3"/>
        <v/>
      </c>
      <c r="DD44" s="625" t="str">
        <f t="shared" si="40"/>
        <v>0</v>
      </c>
      <c r="DE44" s="620">
        <f t="shared" si="41"/>
        <v>0</v>
      </c>
      <c r="DF44" s="1051" t="s">
        <v>280</v>
      </c>
      <c r="DG44" s="1080">
        <v>235041</v>
      </c>
      <c r="DH44" s="625">
        <f t="shared" si="42"/>
        <v>0</v>
      </c>
      <c r="DI44" s="625">
        <f t="shared" si="43"/>
        <v>0</v>
      </c>
      <c r="DJ44" s="626" t="str">
        <f t="shared" si="44"/>
        <v>00</v>
      </c>
    </row>
    <row r="45" spans="1:114" ht="15" customHeight="1">
      <c r="A45" s="1238"/>
      <c r="B45" s="1238"/>
      <c r="C45" s="1238"/>
      <c r="D45" s="1238"/>
      <c r="E45" s="1238"/>
      <c r="F45" s="1238"/>
      <c r="G45" s="1238"/>
      <c r="H45" s="1238"/>
      <c r="I45" s="1238"/>
      <c r="J45" s="1238"/>
      <c r="K45" s="1238"/>
      <c r="L45" s="1238"/>
      <c r="M45" s="1238"/>
      <c r="N45" s="1238"/>
      <c r="O45" s="1238"/>
      <c r="P45" s="1235">
        <v>42</v>
      </c>
      <c r="Q45" s="1386"/>
      <c r="R45" s="1387"/>
      <c r="S45" s="1368"/>
      <c r="T45" s="1369"/>
      <c r="U45" s="1391"/>
      <c r="V45" s="1360"/>
      <c r="W45" s="1061"/>
      <c r="X45" s="1062"/>
      <c r="Y45" s="1063"/>
      <c r="Z45" s="1153"/>
      <c r="AA45" s="1153"/>
      <c r="AB45" s="1361"/>
      <c r="AC45" s="1352" t="str">
        <f t="shared" si="4"/>
        <v>00</v>
      </c>
      <c r="AD45" s="524" t="str">
        <f t="shared" si="45"/>
        <v/>
      </c>
      <c r="AE45" s="525" t="str">
        <f>IF(AD45="","",VLOOKUP(AD45,所属コード!$A$2:$E$189,2,FALSE))</f>
        <v/>
      </c>
      <c r="AF45" s="1164" t="str">
        <f>IF(AD45="","",VLOOKUP(AD45,所属コード!$A$2:$G$189,7,FALSE))</f>
        <v/>
      </c>
      <c r="AG45" s="1166"/>
      <c r="AH45" s="77"/>
      <c r="AI45" s="77"/>
      <c r="AJ45" s="77"/>
      <c r="AK45" s="15"/>
      <c r="AM45" s="621"/>
      <c r="AN45" s="1090" t="str">
        <f t="shared" si="5"/>
        <v/>
      </c>
      <c r="AO45" s="618" t="str">
        <f t="shared" si="6"/>
        <v/>
      </c>
      <c r="AP45" s="617"/>
      <c r="AQ45" s="617"/>
      <c r="AR45" s="617"/>
      <c r="AS45" s="617"/>
      <c r="AT45" s="617"/>
      <c r="AU45" s="617"/>
      <c r="AV45" s="620"/>
      <c r="AW45" s="727"/>
      <c r="AX45" s="728"/>
      <c r="AY45" s="728"/>
      <c r="AZ45" s="728"/>
      <c r="BA45" s="728"/>
      <c r="BB45" s="728"/>
      <c r="BC45" s="728"/>
      <c r="BD45" s="728"/>
      <c r="BE45" s="728"/>
      <c r="BF45" s="728"/>
      <c r="BG45" s="728"/>
      <c r="BH45" s="728"/>
      <c r="BI45" s="728"/>
      <c r="BJ45" s="728"/>
      <c r="BK45" s="728"/>
      <c r="BL45" s="742"/>
      <c r="BM45" s="747">
        <f t="shared" si="7"/>
        <v>0</v>
      </c>
      <c r="BN45" s="738">
        <f t="shared" si="0"/>
        <v>0</v>
      </c>
      <c r="BO45" s="729">
        <f t="shared" si="1"/>
        <v>0</v>
      </c>
      <c r="BP45" s="730">
        <f t="shared" si="46"/>
        <v>0</v>
      </c>
      <c r="BQ45" s="729">
        <f t="shared" si="46"/>
        <v>0</v>
      </c>
      <c r="BR45" s="729">
        <f t="shared" si="8"/>
        <v>0</v>
      </c>
      <c r="BS45" s="729">
        <f t="shared" si="9"/>
        <v>0</v>
      </c>
      <c r="BT45" s="729">
        <f t="shared" si="10"/>
        <v>0</v>
      </c>
      <c r="BU45" s="729">
        <f t="shared" si="11"/>
        <v>0</v>
      </c>
      <c r="BV45" s="729">
        <f t="shared" si="12"/>
        <v>0</v>
      </c>
      <c r="BW45" s="729">
        <f t="shared" si="13"/>
        <v>0</v>
      </c>
      <c r="BX45" s="729">
        <f t="shared" si="13"/>
        <v>0</v>
      </c>
      <c r="BY45" s="729">
        <f t="shared" si="14"/>
        <v>0</v>
      </c>
      <c r="BZ45" s="729">
        <f t="shared" si="14"/>
        <v>0</v>
      </c>
      <c r="CA45" s="729">
        <f t="shared" si="15"/>
        <v>0</v>
      </c>
      <c r="CB45" s="729">
        <f t="shared" si="16"/>
        <v>0</v>
      </c>
      <c r="CC45" s="729">
        <f t="shared" si="16"/>
        <v>0</v>
      </c>
      <c r="CD45" s="729">
        <f t="shared" si="16"/>
        <v>0</v>
      </c>
      <c r="CE45" s="729">
        <f t="shared" si="17"/>
        <v>0</v>
      </c>
      <c r="CF45" s="729">
        <f t="shared" si="18"/>
        <v>0</v>
      </c>
      <c r="CG45" s="729">
        <f t="shared" si="19"/>
        <v>0</v>
      </c>
      <c r="CH45" s="729">
        <f t="shared" si="20"/>
        <v>0</v>
      </c>
      <c r="CI45" s="729">
        <f t="shared" si="21"/>
        <v>0</v>
      </c>
      <c r="CJ45" s="729">
        <f t="shared" si="22"/>
        <v>0</v>
      </c>
      <c r="CK45" s="729">
        <f t="shared" si="23"/>
        <v>0</v>
      </c>
      <c r="CL45" s="729">
        <f t="shared" si="24"/>
        <v>0</v>
      </c>
      <c r="CM45" s="729">
        <f t="shared" si="25"/>
        <v>0</v>
      </c>
      <c r="CN45" s="729">
        <f t="shared" si="26"/>
        <v>0</v>
      </c>
      <c r="CO45" s="729">
        <f t="shared" si="27"/>
        <v>0</v>
      </c>
      <c r="CP45" s="729">
        <f t="shared" si="28"/>
        <v>0</v>
      </c>
      <c r="CQ45" s="729">
        <f t="shared" si="29"/>
        <v>0</v>
      </c>
      <c r="CR45" s="729">
        <f t="shared" si="30"/>
        <v>0</v>
      </c>
      <c r="CS45" s="729">
        <f t="shared" si="31"/>
        <v>0</v>
      </c>
      <c r="CT45" s="729">
        <f t="shared" si="31"/>
        <v>0</v>
      </c>
      <c r="CU45" s="731">
        <f t="shared" si="32"/>
        <v>0</v>
      </c>
      <c r="CV45" s="692" t="str">
        <f t="shared" si="33"/>
        <v/>
      </c>
      <c r="CW45" s="659" t="str">
        <f t="shared" si="34"/>
        <v/>
      </c>
      <c r="CX45" s="659" t="str">
        <f t="shared" si="35"/>
        <v/>
      </c>
      <c r="CY45" s="659" t="str">
        <f t="shared" si="36"/>
        <v/>
      </c>
      <c r="CZ45" s="659" t="str">
        <f t="shared" si="37"/>
        <v/>
      </c>
      <c r="DA45" s="659" t="str">
        <f t="shared" si="38"/>
        <v/>
      </c>
      <c r="DB45" s="82" t="str">
        <f t="shared" si="39"/>
        <v/>
      </c>
      <c r="DC45" s="625" t="str">
        <f t="shared" si="3"/>
        <v/>
      </c>
      <c r="DD45" s="625" t="str">
        <f t="shared" si="40"/>
        <v>0</v>
      </c>
      <c r="DE45" s="620">
        <f t="shared" si="41"/>
        <v>0</v>
      </c>
      <c r="DF45" s="1051" t="s">
        <v>61</v>
      </c>
      <c r="DG45" s="1080">
        <v>235042</v>
      </c>
      <c r="DH45" s="625">
        <f t="shared" si="42"/>
        <v>0</v>
      </c>
      <c r="DI45" s="625">
        <f t="shared" si="43"/>
        <v>0</v>
      </c>
      <c r="DJ45" s="626" t="str">
        <f t="shared" si="44"/>
        <v>00</v>
      </c>
    </row>
    <row r="46" spans="1:114" ht="15" customHeight="1">
      <c r="A46" s="1238"/>
      <c r="B46" s="1238"/>
      <c r="C46" s="1238"/>
      <c r="D46" s="1238"/>
      <c r="E46" s="1238"/>
      <c r="F46" s="1238"/>
      <c r="G46" s="1238"/>
      <c r="H46" s="1238"/>
      <c r="I46" s="1238"/>
      <c r="J46" s="1238"/>
      <c r="K46" s="1238"/>
      <c r="L46" s="1238"/>
      <c r="M46" s="1238"/>
      <c r="N46" s="1238"/>
      <c r="O46" s="1238"/>
      <c r="P46" s="1235">
        <v>43</v>
      </c>
      <c r="Q46" s="1386"/>
      <c r="R46" s="1387"/>
      <c r="S46" s="1368"/>
      <c r="T46" s="1369"/>
      <c r="U46" s="1391"/>
      <c r="V46" s="1360"/>
      <c r="W46" s="1061"/>
      <c r="X46" s="1062"/>
      <c r="Y46" s="1063"/>
      <c r="Z46" s="1153"/>
      <c r="AA46" s="1153"/>
      <c r="AB46" s="1361"/>
      <c r="AC46" s="1352" t="str">
        <f t="shared" si="4"/>
        <v>00</v>
      </c>
      <c r="AD46" s="524" t="str">
        <f t="shared" si="45"/>
        <v/>
      </c>
      <c r="AE46" s="525" t="str">
        <f>IF(AD46="","",VLOOKUP(AD46,所属コード!$A$2:$E$189,2,FALSE))</f>
        <v/>
      </c>
      <c r="AF46" s="1164" t="str">
        <f>IF(AD46="","",VLOOKUP(AD46,所属コード!$A$2:$G$189,7,FALSE))</f>
        <v/>
      </c>
      <c r="AG46" s="1166"/>
      <c r="AH46" s="77"/>
      <c r="AI46" s="77"/>
      <c r="AJ46" s="77"/>
      <c r="AK46" s="15"/>
      <c r="AM46" s="621"/>
      <c r="AN46" s="1090" t="str">
        <f t="shared" si="5"/>
        <v/>
      </c>
      <c r="AO46" s="618" t="str">
        <f t="shared" si="6"/>
        <v/>
      </c>
      <c r="AP46" s="617"/>
      <c r="AQ46" s="617"/>
      <c r="AR46" s="617"/>
      <c r="AS46" s="617"/>
      <c r="AT46" s="617"/>
      <c r="AU46" s="617"/>
      <c r="AV46" s="620"/>
      <c r="AW46" s="727"/>
      <c r="AX46" s="728"/>
      <c r="AY46" s="728"/>
      <c r="AZ46" s="728"/>
      <c r="BA46" s="728"/>
      <c r="BB46" s="728"/>
      <c r="BC46" s="728"/>
      <c r="BD46" s="728"/>
      <c r="BE46" s="728"/>
      <c r="BF46" s="728"/>
      <c r="BG46" s="728"/>
      <c r="BH46" s="728"/>
      <c r="BI46" s="728"/>
      <c r="BJ46" s="728"/>
      <c r="BK46" s="728"/>
      <c r="BL46" s="742"/>
      <c r="BM46" s="747">
        <f t="shared" si="7"/>
        <v>0</v>
      </c>
      <c r="BN46" s="738">
        <f t="shared" si="0"/>
        <v>0</v>
      </c>
      <c r="BO46" s="729">
        <f t="shared" si="1"/>
        <v>0</v>
      </c>
      <c r="BP46" s="730">
        <f t="shared" si="46"/>
        <v>0</v>
      </c>
      <c r="BQ46" s="729">
        <f t="shared" si="46"/>
        <v>0</v>
      </c>
      <c r="BR46" s="729">
        <f t="shared" si="8"/>
        <v>0</v>
      </c>
      <c r="BS46" s="729">
        <f t="shared" si="9"/>
        <v>0</v>
      </c>
      <c r="BT46" s="729">
        <f t="shared" si="10"/>
        <v>0</v>
      </c>
      <c r="BU46" s="729">
        <f t="shared" si="11"/>
        <v>0</v>
      </c>
      <c r="BV46" s="729">
        <f t="shared" si="12"/>
        <v>0</v>
      </c>
      <c r="BW46" s="729">
        <f t="shared" si="13"/>
        <v>0</v>
      </c>
      <c r="BX46" s="729">
        <f t="shared" si="13"/>
        <v>0</v>
      </c>
      <c r="BY46" s="729">
        <f t="shared" si="14"/>
        <v>0</v>
      </c>
      <c r="BZ46" s="729">
        <f t="shared" si="14"/>
        <v>0</v>
      </c>
      <c r="CA46" s="729">
        <f t="shared" si="15"/>
        <v>0</v>
      </c>
      <c r="CB46" s="729">
        <f t="shared" si="16"/>
        <v>0</v>
      </c>
      <c r="CC46" s="729">
        <f t="shared" si="16"/>
        <v>0</v>
      </c>
      <c r="CD46" s="729">
        <f t="shared" si="16"/>
        <v>0</v>
      </c>
      <c r="CE46" s="729">
        <f t="shared" si="17"/>
        <v>0</v>
      </c>
      <c r="CF46" s="729">
        <f t="shared" si="18"/>
        <v>0</v>
      </c>
      <c r="CG46" s="729">
        <f t="shared" si="19"/>
        <v>0</v>
      </c>
      <c r="CH46" s="729">
        <f t="shared" si="20"/>
        <v>0</v>
      </c>
      <c r="CI46" s="729">
        <f t="shared" si="21"/>
        <v>0</v>
      </c>
      <c r="CJ46" s="729">
        <f t="shared" si="22"/>
        <v>0</v>
      </c>
      <c r="CK46" s="729">
        <f t="shared" si="23"/>
        <v>0</v>
      </c>
      <c r="CL46" s="729">
        <f t="shared" si="24"/>
        <v>0</v>
      </c>
      <c r="CM46" s="729">
        <f t="shared" si="25"/>
        <v>0</v>
      </c>
      <c r="CN46" s="729">
        <f t="shared" si="26"/>
        <v>0</v>
      </c>
      <c r="CO46" s="729">
        <f t="shared" si="27"/>
        <v>0</v>
      </c>
      <c r="CP46" s="729">
        <f t="shared" si="28"/>
        <v>0</v>
      </c>
      <c r="CQ46" s="729">
        <f t="shared" si="29"/>
        <v>0</v>
      </c>
      <c r="CR46" s="729">
        <f t="shared" si="30"/>
        <v>0</v>
      </c>
      <c r="CS46" s="729">
        <f t="shared" si="31"/>
        <v>0</v>
      </c>
      <c r="CT46" s="729">
        <f t="shared" si="31"/>
        <v>0</v>
      </c>
      <c r="CU46" s="731">
        <f t="shared" si="32"/>
        <v>0</v>
      </c>
      <c r="CV46" s="692" t="str">
        <f t="shared" si="33"/>
        <v/>
      </c>
      <c r="CW46" s="659" t="str">
        <f t="shared" si="34"/>
        <v/>
      </c>
      <c r="CX46" s="659" t="str">
        <f t="shared" si="35"/>
        <v/>
      </c>
      <c r="CY46" s="659" t="str">
        <f t="shared" si="36"/>
        <v/>
      </c>
      <c r="CZ46" s="659" t="str">
        <f t="shared" si="37"/>
        <v/>
      </c>
      <c r="DA46" s="659" t="str">
        <f t="shared" si="38"/>
        <v/>
      </c>
      <c r="DB46" s="82" t="str">
        <f t="shared" si="39"/>
        <v/>
      </c>
      <c r="DC46" s="625" t="str">
        <f t="shared" si="3"/>
        <v/>
      </c>
      <c r="DD46" s="625" t="str">
        <f t="shared" si="40"/>
        <v>0</v>
      </c>
      <c r="DE46" s="620">
        <f t="shared" si="41"/>
        <v>0</v>
      </c>
      <c r="DF46" s="1051" t="s">
        <v>62</v>
      </c>
      <c r="DG46" s="1080">
        <v>235043</v>
      </c>
      <c r="DH46" s="625">
        <f t="shared" si="42"/>
        <v>0</v>
      </c>
      <c r="DI46" s="625">
        <f t="shared" si="43"/>
        <v>0</v>
      </c>
      <c r="DJ46" s="626" t="str">
        <f t="shared" si="44"/>
        <v>00</v>
      </c>
    </row>
    <row r="47" spans="1:114" ht="15" customHeight="1">
      <c r="A47" s="1238"/>
      <c r="B47" s="1238"/>
      <c r="C47" s="1238"/>
      <c r="D47" s="1238"/>
      <c r="E47" s="1238"/>
      <c r="F47" s="1238"/>
      <c r="G47" s="1238"/>
      <c r="H47" s="1238"/>
      <c r="I47" s="1238"/>
      <c r="J47" s="1238"/>
      <c r="K47" s="1238"/>
      <c r="L47" s="1238"/>
      <c r="M47" s="1238"/>
      <c r="N47" s="1238"/>
      <c r="O47" s="1238"/>
      <c r="P47" s="1235">
        <v>44</v>
      </c>
      <c r="Q47" s="1386"/>
      <c r="R47" s="1387"/>
      <c r="S47" s="1368"/>
      <c r="T47" s="1369"/>
      <c r="U47" s="1391"/>
      <c r="V47" s="1360"/>
      <c r="W47" s="1061"/>
      <c r="X47" s="1062"/>
      <c r="Y47" s="1063"/>
      <c r="Z47" s="1153"/>
      <c r="AA47" s="1153"/>
      <c r="AB47" s="1361"/>
      <c r="AC47" s="1352" t="str">
        <f t="shared" si="4"/>
        <v>00</v>
      </c>
      <c r="AD47" s="524" t="str">
        <f t="shared" si="45"/>
        <v/>
      </c>
      <c r="AE47" s="525" t="str">
        <f>IF(AD47="","",VLOOKUP(AD47,所属コード!$A$2:$E$189,2,FALSE))</f>
        <v/>
      </c>
      <c r="AF47" s="1164" t="str">
        <f>IF(AD47="","",VLOOKUP(AD47,所属コード!$A$2:$G$189,7,FALSE))</f>
        <v/>
      </c>
      <c r="AG47" s="1166"/>
      <c r="AH47" s="77"/>
      <c r="AI47" s="77"/>
      <c r="AJ47" s="77"/>
      <c r="AK47" s="15"/>
      <c r="AM47" s="621"/>
      <c r="AN47" s="1090" t="str">
        <f t="shared" si="5"/>
        <v/>
      </c>
      <c r="AO47" s="618" t="str">
        <f t="shared" si="6"/>
        <v/>
      </c>
      <c r="AP47" s="617"/>
      <c r="AQ47" s="617"/>
      <c r="AR47" s="617"/>
      <c r="AS47" s="617"/>
      <c r="AT47" s="617"/>
      <c r="AU47" s="617"/>
      <c r="AV47" s="620"/>
      <c r="AW47" s="727"/>
      <c r="AX47" s="728"/>
      <c r="AY47" s="728"/>
      <c r="AZ47" s="728"/>
      <c r="BA47" s="728"/>
      <c r="BB47" s="728"/>
      <c r="BC47" s="728"/>
      <c r="BD47" s="728"/>
      <c r="BE47" s="728"/>
      <c r="BF47" s="728"/>
      <c r="BG47" s="728"/>
      <c r="BH47" s="728"/>
      <c r="BI47" s="728"/>
      <c r="BJ47" s="728"/>
      <c r="BK47" s="728"/>
      <c r="BL47" s="742"/>
      <c r="BM47" s="747">
        <f t="shared" si="7"/>
        <v>0</v>
      </c>
      <c r="BN47" s="738">
        <f t="shared" si="0"/>
        <v>0</v>
      </c>
      <c r="BO47" s="729">
        <f t="shared" si="1"/>
        <v>0</v>
      </c>
      <c r="BP47" s="730">
        <f t="shared" si="46"/>
        <v>0</v>
      </c>
      <c r="BQ47" s="729">
        <f t="shared" si="46"/>
        <v>0</v>
      </c>
      <c r="BR47" s="729">
        <f t="shared" si="8"/>
        <v>0</v>
      </c>
      <c r="BS47" s="729">
        <f t="shared" si="9"/>
        <v>0</v>
      </c>
      <c r="BT47" s="729">
        <f t="shared" si="10"/>
        <v>0</v>
      </c>
      <c r="BU47" s="729">
        <f t="shared" si="11"/>
        <v>0</v>
      </c>
      <c r="BV47" s="729">
        <f t="shared" si="12"/>
        <v>0</v>
      </c>
      <c r="BW47" s="729">
        <f t="shared" si="13"/>
        <v>0</v>
      </c>
      <c r="BX47" s="729">
        <f t="shared" si="13"/>
        <v>0</v>
      </c>
      <c r="BY47" s="729">
        <f t="shared" si="14"/>
        <v>0</v>
      </c>
      <c r="BZ47" s="729">
        <f t="shared" si="14"/>
        <v>0</v>
      </c>
      <c r="CA47" s="729">
        <f t="shared" si="15"/>
        <v>0</v>
      </c>
      <c r="CB47" s="729">
        <f t="shared" si="16"/>
        <v>0</v>
      </c>
      <c r="CC47" s="729">
        <f t="shared" si="16"/>
        <v>0</v>
      </c>
      <c r="CD47" s="729">
        <f t="shared" si="16"/>
        <v>0</v>
      </c>
      <c r="CE47" s="729">
        <f t="shared" si="17"/>
        <v>0</v>
      </c>
      <c r="CF47" s="729">
        <f t="shared" si="18"/>
        <v>0</v>
      </c>
      <c r="CG47" s="729">
        <f t="shared" si="19"/>
        <v>0</v>
      </c>
      <c r="CH47" s="729">
        <f t="shared" si="20"/>
        <v>0</v>
      </c>
      <c r="CI47" s="729">
        <f t="shared" si="21"/>
        <v>0</v>
      </c>
      <c r="CJ47" s="729">
        <f t="shared" si="22"/>
        <v>0</v>
      </c>
      <c r="CK47" s="729">
        <f t="shared" si="23"/>
        <v>0</v>
      </c>
      <c r="CL47" s="729">
        <f t="shared" si="24"/>
        <v>0</v>
      </c>
      <c r="CM47" s="729">
        <f t="shared" si="25"/>
        <v>0</v>
      </c>
      <c r="CN47" s="729">
        <f t="shared" si="26"/>
        <v>0</v>
      </c>
      <c r="CO47" s="729">
        <f t="shared" si="27"/>
        <v>0</v>
      </c>
      <c r="CP47" s="729">
        <f t="shared" si="28"/>
        <v>0</v>
      </c>
      <c r="CQ47" s="729">
        <f t="shared" si="29"/>
        <v>0</v>
      </c>
      <c r="CR47" s="729">
        <f t="shared" si="30"/>
        <v>0</v>
      </c>
      <c r="CS47" s="729">
        <f t="shared" si="31"/>
        <v>0</v>
      </c>
      <c r="CT47" s="729">
        <f t="shared" si="31"/>
        <v>0</v>
      </c>
      <c r="CU47" s="731">
        <f t="shared" si="32"/>
        <v>0</v>
      </c>
      <c r="CV47" s="692" t="str">
        <f t="shared" si="33"/>
        <v/>
      </c>
      <c r="CW47" s="659" t="str">
        <f t="shared" si="34"/>
        <v/>
      </c>
      <c r="CX47" s="659" t="str">
        <f t="shared" si="35"/>
        <v/>
      </c>
      <c r="CY47" s="659" t="str">
        <f t="shared" si="36"/>
        <v/>
      </c>
      <c r="CZ47" s="659" t="str">
        <f t="shared" si="37"/>
        <v/>
      </c>
      <c r="DA47" s="659" t="str">
        <f t="shared" si="38"/>
        <v/>
      </c>
      <c r="DB47" s="82" t="str">
        <f t="shared" si="39"/>
        <v/>
      </c>
      <c r="DC47" s="625" t="str">
        <f t="shared" si="3"/>
        <v/>
      </c>
      <c r="DD47" s="625" t="str">
        <f t="shared" si="40"/>
        <v>0</v>
      </c>
      <c r="DE47" s="620">
        <f t="shared" si="41"/>
        <v>0</v>
      </c>
      <c r="DF47" s="1051" t="s">
        <v>63</v>
      </c>
      <c r="DG47" s="1080">
        <v>235044</v>
      </c>
      <c r="DH47" s="625">
        <f t="shared" si="42"/>
        <v>0</v>
      </c>
      <c r="DI47" s="625">
        <f t="shared" si="43"/>
        <v>0</v>
      </c>
      <c r="DJ47" s="626" t="str">
        <f t="shared" si="44"/>
        <v>00</v>
      </c>
    </row>
    <row r="48" spans="1:114" ht="15" customHeight="1">
      <c r="A48" s="1238"/>
      <c r="B48" s="1238"/>
      <c r="C48" s="1238"/>
      <c r="D48" s="1238"/>
      <c r="E48" s="1238"/>
      <c r="F48" s="1238"/>
      <c r="G48" s="1238"/>
      <c r="H48" s="1238"/>
      <c r="I48" s="1238"/>
      <c r="J48" s="1238"/>
      <c r="K48" s="1238"/>
      <c r="L48" s="1238"/>
      <c r="M48" s="1238"/>
      <c r="N48" s="1238"/>
      <c r="O48" s="1238"/>
      <c r="P48" s="1235">
        <v>45</v>
      </c>
      <c r="Q48" s="1386"/>
      <c r="R48" s="1387"/>
      <c r="S48" s="1368"/>
      <c r="T48" s="1369"/>
      <c r="U48" s="1391"/>
      <c r="V48" s="1360"/>
      <c r="W48" s="1061"/>
      <c r="X48" s="1062"/>
      <c r="Y48" s="1063"/>
      <c r="Z48" s="1153"/>
      <c r="AA48" s="1153"/>
      <c r="AB48" s="1361"/>
      <c r="AC48" s="1352" t="str">
        <f t="shared" si="4"/>
        <v>00</v>
      </c>
      <c r="AD48" s="524" t="str">
        <f t="shared" si="45"/>
        <v/>
      </c>
      <c r="AE48" s="525" t="str">
        <f>IF(AD48="","",VLOOKUP(AD48,所属コード!$A$2:$E$189,2,FALSE))</f>
        <v/>
      </c>
      <c r="AF48" s="1164" t="str">
        <f>IF(AD48="","",VLOOKUP(AD48,所属コード!$A$2:$G$189,7,FALSE))</f>
        <v/>
      </c>
      <c r="AG48" s="1166"/>
      <c r="AH48" s="77"/>
      <c r="AI48" s="77"/>
      <c r="AJ48" s="77"/>
      <c r="AK48" s="15"/>
      <c r="AM48" s="621"/>
      <c r="AN48" s="1090" t="str">
        <f t="shared" si="5"/>
        <v/>
      </c>
      <c r="AO48" s="618" t="str">
        <f t="shared" si="6"/>
        <v/>
      </c>
      <c r="AP48" s="617"/>
      <c r="AQ48" s="617"/>
      <c r="AR48" s="617"/>
      <c r="AS48" s="617"/>
      <c r="AT48" s="617"/>
      <c r="AU48" s="617"/>
      <c r="AV48" s="620"/>
      <c r="AW48" s="727"/>
      <c r="AX48" s="728"/>
      <c r="AY48" s="728"/>
      <c r="AZ48" s="728"/>
      <c r="BA48" s="728"/>
      <c r="BB48" s="728"/>
      <c r="BC48" s="728"/>
      <c r="BD48" s="728"/>
      <c r="BE48" s="728"/>
      <c r="BF48" s="728"/>
      <c r="BG48" s="728"/>
      <c r="BH48" s="728"/>
      <c r="BI48" s="728"/>
      <c r="BJ48" s="728"/>
      <c r="BK48" s="728"/>
      <c r="BL48" s="742"/>
      <c r="BM48" s="747">
        <f t="shared" si="7"/>
        <v>0</v>
      </c>
      <c r="BN48" s="738">
        <f t="shared" si="0"/>
        <v>0</v>
      </c>
      <c r="BO48" s="729">
        <f t="shared" si="1"/>
        <v>0</v>
      </c>
      <c r="BP48" s="730">
        <f t="shared" si="46"/>
        <v>0</v>
      </c>
      <c r="BQ48" s="729">
        <f t="shared" si="46"/>
        <v>0</v>
      </c>
      <c r="BR48" s="729">
        <f t="shared" si="8"/>
        <v>0</v>
      </c>
      <c r="BS48" s="729">
        <f t="shared" si="9"/>
        <v>0</v>
      </c>
      <c r="BT48" s="729">
        <f t="shared" si="10"/>
        <v>0</v>
      </c>
      <c r="BU48" s="729">
        <f t="shared" si="11"/>
        <v>0</v>
      </c>
      <c r="BV48" s="729">
        <f t="shared" si="12"/>
        <v>0</v>
      </c>
      <c r="BW48" s="729">
        <f t="shared" si="13"/>
        <v>0</v>
      </c>
      <c r="BX48" s="729">
        <f t="shared" si="13"/>
        <v>0</v>
      </c>
      <c r="BY48" s="729">
        <f t="shared" si="14"/>
        <v>0</v>
      </c>
      <c r="BZ48" s="729">
        <f t="shared" si="14"/>
        <v>0</v>
      </c>
      <c r="CA48" s="729">
        <f t="shared" si="15"/>
        <v>0</v>
      </c>
      <c r="CB48" s="729">
        <f t="shared" si="16"/>
        <v>0</v>
      </c>
      <c r="CC48" s="729">
        <f t="shared" si="16"/>
        <v>0</v>
      </c>
      <c r="CD48" s="729">
        <f t="shared" si="16"/>
        <v>0</v>
      </c>
      <c r="CE48" s="729">
        <f t="shared" si="17"/>
        <v>0</v>
      </c>
      <c r="CF48" s="729">
        <f t="shared" si="18"/>
        <v>0</v>
      </c>
      <c r="CG48" s="729">
        <f t="shared" si="19"/>
        <v>0</v>
      </c>
      <c r="CH48" s="729">
        <f t="shared" si="20"/>
        <v>0</v>
      </c>
      <c r="CI48" s="729">
        <f t="shared" si="21"/>
        <v>0</v>
      </c>
      <c r="CJ48" s="729">
        <f t="shared" si="22"/>
        <v>0</v>
      </c>
      <c r="CK48" s="729">
        <f t="shared" si="23"/>
        <v>0</v>
      </c>
      <c r="CL48" s="729">
        <f t="shared" si="24"/>
        <v>0</v>
      </c>
      <c r="CM48" s="729">
        <f t="shared" si="25"/>
        <v>0</v>
      </c>
      <c r="CN48" s="729">
        <f t="shared" si="26"/>
        <v>0</v>
      </c>
      <c r="CO48" s="729">
        <f t="shared" si="27"/>
        <v>0</v>
      </c>
      <c r="CP48" s="729">
        <f t="shared" si="28"/>
        <v>0</v>
      </c>
      <c r="CQ48" s="729">
        <f t="shared" si="29"/>
        <v>0</v>
      </c>
      <c r="CR48" s="729">
        <f t="shared" si="30"/>
        <v>0</v>
      </c>
      <c r="CS48" s="729">
        <f t="shared" si="31"/>
        <v>0</v>
      </c>
      <c r="CT48" s="729">
        <f t="shared" si="31"/>
        <v>0</v>
      </c>
      <c r="CU48" s="731">
        <f t="shared" si="32"/>
        <v>0</v>
      </c>
      <c r="CV48" s="692" t="str">
        <f t="shared" si="33"/>
        <v/>
      </c>
      <c r="CW48" s="659" t="str">
        <f t="shared" si="34"/>
        <v/>
      </c>
      <c r="CX48" s="659" t="str">
        <f t="shared" si="35"/>
        <v/>
      </c>
      <c r="CY48" s="659" t="str">
        <f t="shared" si="36"/>
        <v/>
      </c>
      <c r="CZ48" s="659" t="str">
        <f t="shared" si="37"/>
        <v/>
      </c>
      <c r="DA48" s="659" t="str">
        <f t="shared" si="38"/>
        <v/>
      </c>
      <c r="DB48" s="82" t="str">
        <f t="shared" si="39"/>
        <v/>
      </c>
      <c r="DC48" s="625" t="str">
        <f t="shared" si="3"/>
        <v/>
      </c>
      <c r="DD48" s="625" t="str">
        <f t="shared" si="40"/>
        <v>0</v>
      </c>
      <c r="DE48" s="620">
        <f t="shared" si="41"/>
        <v>0</v>
      </c>
      <c r="DF48" s="1051" t="s">
        <v>281</v>
      </c>
      <c r="DG48" s="1080">
        <v>235045</v>
      </c>
      <c r="DH48" s="625">
        <f t="shared" si="42"/>
        <v>0</v>
      </c>
      <c r="DI48" s="625">
        <f t="shared" si="43"/>
        <v>0</v>
      </c>
      <c r="DJ48" s="626" t="str">
        <f t="shared" si="44"/>
        <v>00</v>
      </c>
    </row>
    <row r="49" spans="1:114" ht="15" customHeight="1">
      <c r="A49" s="1238"/>
      <c r="B49" s="1238"/>
      <c r="C49" s="1238"/>
      <c r="D49" s="1238"/>
      <c r="E49" s="1238"/>
      <c r="F49" s="1238"/>
      <c r="G49" s="1238"/>
      <c r="H49" s="1238"/>
      <c r="I49" s="1238"/>
      <c r="J49" s="1238"/>
      <c r="K49" s="1238"/>
      <c r="L49" s="1238"/>
      <c r="M49" s="1238"/>
      <c r="N49" s="1238"/>
      <c r="O49" s="1238"/>
      <c r="P49" s="1235">
        <v>46</v>
      </c>
      <c r="Q49" s="1386"/>
      <c r="R49" s="1387"/>
      <c r="S49" s="1368"/>
      <c r="T49" s="1369"/>
      <c r="U49" s="1391"/>
      <c r="V49" s="1360"/>
      <c r="W49" s="1061"/>
      <c r="X49" s="1062"/>
      <c r="Y49" s="1063"/>
      <c r="Z49" s="1153"/>
      <c r="AA49" s="1153"/>
      <c r="AB49" s="1361"/>
      <c r="AC49" s="1352" t="str">
        <f t="shared" si="4"/>
        <v>00</v>
      </c>
      <c r="AD49" s="524" t="str">
        <f t="shared" si="45"/>
        <v/>
      </c>
      <c r="AE49" s="525" t="str">
        <f>IF(AD49="","",VLOOKUP(AD49,所属コード!$A$2:$E$189,2,FALSE))</f>
        <v/>
      </c>
      <c r="AF49" s="1164" t="str">
        <f>IF(AD49="","",VLOOKUP(AD49,所属コード!$A$2:$G$189,7,FALSE))</f>
        <v/>
      </c>
      <c r="AG49" s="1166"/>
      <c r="AH49" s="77"/>
      <c r="AI49" s="77"/>
      <c r="AJ49" s="77"/>
      <c r="AK49" s="15"/>
      <c r="AM49" s="617"/>
      <c r="AN49" s="1090" t="str">
        <f t="shared" si="5"/>
        <v/>
      </c>
      <c r="AO49" s="618" t="str">
        <f t="shared" si="6"/>
        <v/>
      </c>
      <c r="AP49" s="617"/>
      <c r="AQ49" s="617"/>
      <c r="AR49" s="617"/>
      <c r="AS49" s="617"/>
      <c r="AT49" s="617"/>
      <c r="AU49" s="617"/>
      <c r="AV49" s="620"/>
      <c r="AW49" s="727"/>
      <c r="AX49" s="728"/>
      <c r="AY49" s="728"/>
      <c r="AZ49" s="728"/>
      <c r="BA49" s="728"/>
      <c r="BB49" s="728"/>
      <c r="BC49" s="728"/>
      <c r="BD49" s="728"/>
      <c r="BE49" s="728"/>
      <c r="BF49" s="728"/>
      <c r="BG49" s="728"/>
      <c r="BH49" s="728"/>
      <c r="BI49" s="728"/>
      <c r="BJ49" s="728"/>
      <c r="BK49" s="728"/>
      <c r="BL49" s="742"/>
      <c r="BM49" s="747">
        <f t="shared" si="7"/>
        <v>0</v>
      </c>
      <c r="BN49" s="738">
        <f t="shared" si="0"/>
        <v>0</v>
      </c>
      <c r="BO49" s="729">
        <f t="shared" si="1"/>
        <v>0</v>
      </c>
      <c r="BP49" s="730">
        <f t="shared" si="46"/>
        <v>0</v>
      </c>
      <c r="BQ49" s="729">
        <f t="shared" si="46"/>
        <v>0</v>
      </c>
      <c r="BR49" s="729">
        <f t="shared" si="8"/>
        <v>0</v>
      </c>
      <c r="BS49" s="729">
        <f t="shared" si="9"/>
        <v>0</v>
      </c>
      <c r="BT49" s="729">
        <f t="shared" si="10"/>
        <v>0</v>
      </c>
      <c r="BU49" s="729">
        <f t="shared" si="11"/>
        <v>0</v>
      </c>
      <c r="BV49" s="729">
        <f t="shared" si="12"/>
        <v>0</v>
      </c>
      <c r="BW49" s="729">
        <f t="shared" si="13"/>
        <v>0</v>
      </c>
      <c r="BX49" s="729">
        <f t="shared" si="13"/>
        <v>0</v>
      </c>
      <c r="BY49" s="729">
        <f t="shared" si="14"/>
        <v>0</v>
      </c>
      <c r="BZ49" s="729">
        <f t="shared" si="14"/>
        <v>0</v>
      </c>
      <c r="CA49" s="729">
        <f t="shared" si="15"/>
        <v>0</v>
      </c>
      <c r="CB49" s="729">
        <f t="shared" si="16"/>
        <v>0</v>
      </c>
      <c r="CC49" s="729">
        <f t="shared" si="16"/>
        <v>0</v>
      </c>
      <c r="CD49" s="729">
        <f t="shared" si="16"/>
        <v>0</v>
      </c>
      <c r="CE49" s="729">
        <f t="shared" si="17"/>
        <v>0</v>
      </c>
      <c r="CF49" s="729">
        <f t="shared" si="18"/>
        <v>0</v>
      </c>
      <c r="CG49" s="729">
        <f t="shared" si="19"/>
        <v>0</v>
      </c>
      <c r="CH49" s="729">
        <f t="shared" si="20"/>
        <v>0</v>
      </c>
      <c r="CI49" s="729">
        <f t="shared" si="21"/>
        <v>0</v>
      </c>
      <c r="CJ49" s="729">
        <f t="shared" si="22"/>
        <v>0</v>
      </c>
      <c r="CK49" s="729">
        <f t="shared" si="23"/>
        <v>0</v>
      </c>
      <c r="CL49" s="729">
        <f t="shared" si="24"/>
        <v>0</v>
      </c>
      <c r="CM49" s="729">
        <f t="shared" si="25"/>
        <v>0</v>
      </c>
      <c r="CN49" s="729">
        <f t="shared" si="26"/>
        <v>0</v>
      </c>
      <c r="CO49" s="729">
        <f t="shared" si="27"/>
        <v>0</v>
      </c>
      <c r="CP49" s="729">
        <f t="shared" si="28"/>
        <v>0</v>
      </c>
      <c r="CQ49" s="729">
        <f t="shared" si="29"/>
        <v>0</v>
      </c>
      <c r="CR49" s="729">
        <f t="shared" si="30"/>
        <v>0</v>
      </c>
      <c r="CS49" s="729">
        <f t="shared" si="31"/>
        <v>0</v>
      </c>
      <c r="CT49" s="729">
        <f t="shared" si="31"/>
        <v>0</v>
      </c>
      <c r="CU49" s="731">
        <f t="shared" si="32"/>
        <v>0</v>
      </c>
      <c r="CV49" s="692" t="str">
        <f t="shared" si="33"/>
        <v/>
      </c>
      <c r="CW49" s="659" t="str">
        <f t="shared" si="34"/>
        <v/>
      </c>
      <c r="CX49" s="659" t="str">
        <f t="shared" si="35"/>
        <v/>
      </c>
      <c r="CY49" s="659" t="str">
        <f t="shared" si="36"/>
        <v/>
      </c>
      <c r="CZ49" s="659" t="str">
        <f t="shared" si="37"/>
        <v/>
      </c>
      <c r="DA49" s="659" t="str">
        <f t="shared" si="38"/>
        <v/>
      </c>
      <c r="DB49" s="82" t="str">
        <f t="shared" si="39"/>
        <v/>
      </c>
      <c r="DC49" s="625" t="str">
        <f t="shared" si="3"/>
        <v/>
      </c>
      <c r="DD49" s="625" t="str">
        <f t="shared" si="40"/>
        <v>0</v>
      </c>
      <c r="DE49" s="620">
        <f t="shared" si="41"/>
        <v>0</v>
      </c>
      <c r="DF49" s="1051" t="s">
        <v>6</v>
      </c>
      <c r="DG49" s="1080">
        <v>235046</v>
      </c>
      <c r="DH49" s="625">
        <f t="shared" si="42"/>
        <v>0</v>
      </c>
      <c r="DI49" s="625">
        <f t="shared" si="43"/>
        <v>0</v>
      </c>
      <c r="DJ49" s="626" t="str">
        <f t="shared" si="44"/>
        <v>00</v>
      </c>
    </row>
    <row r="50" spans="1:114" ht="15" customHeight="1">
      <c r="A50" s="1238"/>
      <c r="B50" s="1238"/>
      <c r="C50" s="1238"/>
      <c r="D50" s="1238"/>
      <c r="E50" s="1238"/>
      <c r="F50" s="1238"/>
      <c r="G50" s="1238"/>
      <c r="H50" s="1238"/>
      <c r="I50" s="1238"/>
      <c r="J50" s="1238"/>
      <c r="K50" s="1238"/>
      <c r="L50" s="1238"/>
      <c r="M50" s="1238"/>
      <c r="N50" s="1238"/>
      <c r="O50" s="1238"/>
      <c r="P50" s="1235">
        <v>47</v>
      </c>
      <c r="Q50" s="1386"/>
      <c r="R50" s="1387"/>
      <c r="S50" s="1368"/>
      <c r="T50" s="1369"/>
      <c r="U50" s="1391"/>
      <c r="V50" s="1360"/>
      <c r="W50" s="1061"/>
      <c r="X50" s="1062"/>
      <c r="Y50" s="1063"/>
      <c r="Z50" s="1153"/>
      <c r="AA50" s="1153"/>
      <c r="AB50" s="1361"/>
      <c r="AC50" s="1352" t="str">
        <f t="shared" si="4"/>
        <v>00</v>
      </c>
      <c r="AD50" s="524" t="str">
        <f t="shared" si="45"/>
        <v/>
      </c>
      <c r="AE50" s="525" t="str">
        <f>IF(AD50="","",VLOOKUP(AD50,所属コード!$A$2:$E$189,2,FALSE))</f>
        <v/>
      </c>
      <c r="AF50" s="1164" t="str">
        <f>IF(AD50="","",VLOOKUP(AD50,所属コード!$A$2:$G$189,7,FALSE))</f>
        <v/>
      </c>
      <c r="AG50" s="1166"/>
      <c r="AH50" s="77"/>
      <c r="AI50" s="77"/>
      <c r="AJ50" s="77"/>
      <c r="AK50" s="15"/>
      <c r="AM50" s="617"/>
      <c r="AN50" s="1090" t="str">
        <f t="shared" si="5"/>
        <v/>
      </c>
      <c r="AO50" s="618" t="str">
        <f t="shared" si="6"/>
        <v/>
      </c>
      <c r="AP50" s="617"/>
      <c r="AQ50" s="617"/>
      <c r="AR50" s="617"/>
      <c r="AS50" s="617"/>
      <c r="AT50" s="617"/>
      <c r="AU50" s="617"/>
      <c r="AV50" s="620"/>
      <c r="AW50" s="727"/>
      <c r="AX50" s="728"/>
      <c r="AY50" s="728"/>
      <c r="AZ50" s="728"/>
      <c r="BA50" s="728"/>
      <c r="BB50" s="728"/>
      <c r="BC50" s="728"/>
      <c r="BD50" s="728"/>
      <c r="BE50" s="728"/>
      <c r="BF50" s="728"/>
      <c r="BG50" s="728"/>
      <c r="BH50" s="728"/>
      <c r="BI50" s="728"/>
      <c r="BJ50" s="728"/>
      <c r="BK50" s="728"/>
      <c r="BL50" s="742"/>
      <c r="BM50" s="747">
        <f t="shared" si="7"/>
        <v>0</v>
      </c>
      <c r="BN50" s="738">
        <f t="shared" si="0"/>
        <v>0</v>
      </c>
      <c r="BO50" s="729">
        <f t="shared" si="1"/>
        <v>0</v>
      </c>
      <c r="BP50" s="730">
        <f t="shared" si="46"/>
        <v>0</v>
      </c>
      <c r="BQ50" s="729">
        <f t="shared" si="46"/>
        <v>0</v>
      </c>
      <c r="BR50" s="729">
        <f t="shared" si="8"/>
        <v>0</v>
      </c>
      <c r="BS50" s="729">
        <f t="shared" si="9"/>
        <v>0</v>
      </c>
      <c r="BT50" s="729">
        <f t="shared" si="10"/>
        <v>0</v>
      </c>
      <c r="BU50" s="729">
        <f t="shared" si="11"/>
        <v>0</v>
      </c>
      <c r="BV50" s="729">
        <f t="shared" si="12"/>
        <v>0</v>
      </c>
      <c r="BW50" s="729">
        <f t="shared" si="13"/>
        <v>0</v>
      </c>
      <c r="BX50" s="729">
        <f t="shared" si="13"/>
        <v>0</v>
      </c>
      <c r="BY50" s="729">
        <f t="shared" si="14"/>
        <v>0</v>
      </c>
      <c r="BZ50" s="729">
        <f t="shared" si="14"/>
        <v>0</v>
      </c>
      <c r="CA50" s="729">
        <f t="shared" si="15"/>
        <v>0</v>
      </c>
      <c r="CB50" s="729">
        <f t="shared" si="16"/>
        <v>0</v>
      </c>
      <c r="CC50" s="729">
        <f t="shared" si="16"/>
        <v>0</v>
      </c>
      <c r="CD50" s="729">
        <f t="shared" si="16"/>
        <v>0</v>
      </c>
      <c r="CE50" s="729">
        <f t="shared" si="17"/>
        <v>0</v>
      </c>
      <c r="CF50" s="729">
        <f t="shared" si="18"/>
        <v>0</v>
      </c>
      <c r="CG50" s="729">
        <f t="shared" si="19"/>
        <v>0</v>
      </c>
      <c r="CH50" s="729">
        <f t="shared" si="20"/>
        <v>0</v>
      </c>
      <c r="CI50" s="729">
        <f t="shared" si="21"/>
        <v>0</v>
      </c>
      <c r="CJ50" s="729">
        <f t="shared" si="22"/>
        <v>0</v>
      </c>
      <c r="CK50" s="729">
        <f t="shared" si="23"/>
        <v>0</v>
      </c>
      <c r="CL50" s="729">
        <f t="shared" si="24"/>
        <v>0</v>
      </c>
      <c r="CM50" s="729">
        <f t="shared" si="25"/>
        <v>0</v>
      </c>
      <c r="CN50" s="729">
        <f t="shared" si="26"/>
        <v>0</v>
      </c>
      <c r="CO50" s="729">
        <f t="shared" si="27"/>
        <v>0</v>
      </c>
      <c r="CP50" s="729">
        <f t="shared" si="28"/>
        <v>0</v>
      </c>
      <c r="CQ50" s="729">
        <f t="shared" si="29"/>
        <v>0</v>
      </c>
      <c r="CR50" s="729">
        <f t="shared" si="30"/>
        <v>0</v>
      </c>
      <c r="CS50" s="729">
        <f t="shared" si="31"/>
        <v>0</v>
      </c>
      <c r="CT50" s="729">
        <f t="shared" si="31"/>
        <v>0</v>
      </c>
      <c r="CU50" s="731">
        <f t="shared" si="32"/>
        <v>0</v>
      </c>
      <c r="CV50" s="692" t="str">
        <f t="shared" si="33"/>
        <v/>
      </c>
      <c r="CW50" s="659" t="str">
        <f t="shared" si="34"/>
        <v/>
      </c>
      <c r="CX50" s="659" t="str">
        <f t="shared" si="35"/>
        <v/>
      </c>
      <c r="CY50" s="659" t="str">
        <f t="shared" si="36"/>
        <v/>
      </c>
      <c r="CZ50" s="659" t="str">
        <f t="shared" si="37"/>
        <v/>
      </c>
      <c r="DA50" s="659" t="str">
        <f t="shared" si="38"/>
        <v/>
      </c>
      <c r="DB50" s="82" t="str">
        <f t="shared" si="39"/>
        <v/>
      </c>
      <c r="DC50" s="625" t="str">
        <f t="shared" si="3"/>
        <v/>
      </c>
      <c r="DD50" s="625" t="str">
        <f t="shared" si="40"/>
        <v>0</v>
      </c>
      <c r="DE50" s="620">
        <f t="shared" si="41"/>
        <v>0</v>
      </c>
      <c r="DF50" s="1051" t="s">
        <v>145</v>
      </c>
      <c r="DG50" s="1080">
        <v>235047</v>
      </c>
      <c r="DH50" s="625">
        <f t="shared" si="42"/>
        <v>0</v>
      </c>
      <c r="DI50" s="625">
        <f t="shared" si="43"/>
        <v>0</v>
      </c>
      <c r="DJ50" s="626" t="str">
        <f t="shared" si="44"/>
        <v>00</v>
      </c>
    </row>
    <row r="51" spans="1:114" ht="15" customHeight="1">
      <c r="A51" s="1238"/>
      <c r="B51" s="1238"/>
      <c r="C51" s="1238"/>
      <c r="D51" s="1238"/>
      <c r="E51" s="1238"/>
      <c r="F51" s="1238"/>
      <c r="G51" s="1238"/>
      <c r="H51" s="1238"/>
      <c r="I51" s="1238"/>
      <c r="J51" s="1238"/>
      <c r="K51" s="1238"/>
      <c r="L51" s="1238"/>
      <c r="M51" s="1238"/>
      <c r="N51" s="1238"/>
      <c r="O51" s="1238"/>
      <c r="P51" s="1235">
        <v>48</v>
      </c>
      <c r="Q51" s="1386"/>
      <c r="R51" s="1387"/>
      <c r="S51" s="1368"/>
      <c r="T51" s="1369"/>
      <c r="U51" s="1391"/>
      <c r="V51" s="1360"/>
      <c r="W51" s="1061"/>
      <c r="X51" s="1062"/>
      <c r="Y51" s="1063"/>
      <c r="Z51" s="1153"/>
      <c r="AA51" s="1153"/>
      <c r="AB51" s="1361"/>
      <c r="AC51" s="1352" t="str">
        <f t="shared" si="4"/>
        <v>00</v>
      </c>
      <c r="AD51" s="524" t="str">
        <f t="shared" si="45"/>
        <v/>
      </c>
      <c r="AE51" s="525" t="str">
        <f>IF(AD51="","",VLOOKUP(AD51,所属コード!$A$2:$E$189,2,FALSE))</f>
        <v/>
      </c>
      <c r="AF51" s="1164" t="str">
        <f>IF(AD51="","",VLOOKUP(AD51,所属コード!$A$2:$G$189,7,FALSE))</f>
        <v/>
      </c>
      <c r="AG51" s="1166"/>
      <c r="AH51" s="77"/>
      <c r="AI51" s="77"/>
      <c r="AJ51" s="77"/>
      <c r="AK51" s="15"/>
      <c r="AM51" s="617"/>
      <c r="AN51" s="1090" t="str">
        <f t="shared" si="5"/>
        <v/>
      </c>
      <c r="AO51" s="618" t="str">
        <f t="shared" si="6"/>
        <v/>
      </c>
      <c r="AP51" s="617"/>
      <c r="AQ51" s="617"/>
      <c r="AR51" s="617"/>
      <c r="AS51" s="617"/>
      <c r="AT51" s="617"/>
      <c r="AU51" s="617"/>
      <c r="AV51" s="620"/>
      <c r="AW51" s="727"/>
      <c r="AX51" s="728"/>
      <c r="AY51" s="728"/>
      <c r="AZ51" s="728"/>
      <c r="BA51" s="728"/>
      <c r="BB51" s="728"/>
      <c r="BC51" s="728"/>
      <c r="BD51" s="728"/>
      <c r="BE51" s="728"/>
      <c r="BF51" s="728"/>
      <c r="BG51" s="728"/>
      <c r="BH51" s="728"/>
      <c r="BI51" s="728"/>
      <c r="BJ51" s="728"/>
      <c r="BK51" s="728"/>
      <c r="BL51" s="742"/>
      <c r="BM51" s="747">
        <f t="shared" si="7"/>
        <v>0</v>
      </c>
      <c r="BN51" s="738">
        <f t="shared" si="0"/>
        <v>0</v>
      </c>
      <c r="BO51" s="729">
        <f t="shared" si="1"/>
        <v>0</v>
      </c>
      <c r="BP51" s="730">
        <f t="shared" si="46"/>
        <v>0</v>
      </c>
      <c r="BQ51" s="729">
        <f t="shared" si="46"/>
        <v>0</v>
      </c>
      <c r="BR51" s="729">
        <f t="shared" si="8"/>
        <v>0</v>
      </c>
      <c r="BS51" s="729">
        <f t="shared" si="9"/>
        <v>0</v>
      </c>
      <c r="BT51" s="729">
        <f t="shared" si="10"/>
        <v>0</v>
      </c>
      <c r="BU51" s="729">
        <f t="shared" si="11"/>
        <v>0</v>
      </c>
      <c r="BV51" s="729">
        <f t="shared" si="12"/>
        <v>0</v>
      </c>
      <c r="BW51" s="729">
        <f t="shared" si="13"/>
        <v>0</v>
      </c>
      <c r="BX51" s="729">
        <f t="shared" si="13"/>
        <v>0</v>
      </c>
      <c r="BY51" s="729">
        <f t="shared" si="14"/>
        <v>0</v>
      </c>
      <c r="BZ51" s="729">
        <f t="shared" si="14"/>
        <v>0</v>
      </c>
      <c r="CA51" s="729">
        <f t="shared" si="15"/>
        <v>0</v>
      </c>
      <c r="CB51" s="729">
        <f t="shared" si="16"/>
        <v>0</v>
      </c>
      <c r="CC51" s="729">
        <f t="shared" si="16"/>
        <v>0</v>
      </c>
      <c r="CD51" s="729">
        <f t="shared" si="16"/>
        <v>0</v>
      </c>
      <c r="CE51" s="729">
        <f t="shared" si="17"/>
        <v>0</v>
      </c>
      <c r="CF51" s="729">
        <f t="shared" si="18"/>
        <v>0</v>
      </c>
      <c r="CG51" s="729">
        <f t="shared" si="19"/>
        <v>0</v>
      </c>
      <c r="CH51" s="729">
        <f t="shared" si="20"/>
        <v>0</v>
      </c>
      <c r="CI51" s="729">
        <f t="shared" si="21"/>
        <v>0</v>
      </c>
      <c r="CJ51" s="729">
        <f t="shared" si="22"/>
        <v>0</v>
      </c>
      <c r="CK51" s="729">
        <f t="shared" si="23"/>
        <v>0</v>
      </c>
      <c r="CL51" s="729">
        <f t="shared" si="24"/>
        <v>0</v>
      </c>
      <c r="CM51" s="729">
        <f t="shared" si="25"/>
        <v>0</v>
      </c>
      <c r="CN51" s="729">
        <f t="shared" si="26"/>
        <v>0</v>
      </c>
      <c r="CO51" s="729">
        <f t="shared" si="27"/>
        <v>0</v>
      </c>
      <c r="CP51" s="729">
        <f t="shared" si="28"/>
        <v>0</v>
      </c>
      <c r="CQ51" s="729">
        <f t="shared" si="29"/>
        <v>0</v>
      </c>
      <c r="CR51" s="729">
        <f t="shared" si="30"/>
        <v>0</v>
      </c>
      <c r="CS51" s="729">
        <f t="shared" si="31"/>
        <v>0</v>
      </c>
      <c r="CT51" s="729">
        <f t="shared" si="31"/>
        <v>0</v>
      </c>
      <c r="CU51" s="731">
        <f t="shared" si="32"/>
        <v>0</v>
      </c>
      <c r="CV51" s="692" t="str">
        <f t="shared" si="33"/>
        <v/>
      </c>
      <c r="CW51" s="659" t="str">
        <f t="shared" si="34"/>
        <v/>
      </c>
      <c r="CX51" s="659" t="str">
        <f t="shared" si="35"/>
        <v/>
      </c>
      <c r="CY51" s="659" t="str">
        <f t="shared" si="36"/>
        <v/>
      </c>
      <c r="CZ51" s="659" t="str">
        <f t="shared" si="37"/>
        <v/>
      </c>
      <c r="DA51" s="659" t="str">
        <f t="shared" si="38"/>
        <v/>
      </c>
      <c r="DB51" s="82" t="str">
        <f t="shared" si="39"/>
        <v/>
      </c>
      <c r="DC51" s="625" t="str">
        <f t="shared" si="3"/>
        <v/>
      </c>
      <c r="DD51" s="625" t="str">
        <f t="shared" si="40"/>
        <v>0</v>
      </c>
      <c r="DE51" s="620">
        <f t="shared" si="41"/>
        <v>0</v>
      </c>
      <c r="DF51" s="1051" t="s">
        <v>282</v>
      </c>
      <c r="DG51" s="1080">
        <v>235048</v>
      </c>
      <c r="DH51" s="625">
        <f t="shared" si="42"/>
        <v>0</v>
      </c>
      <c r="DI51" s="625">
        <f t="shared" si="43"/>
        <v>0</v>
      </c>
      <c r="DJ51" s="626" t="str">
        <f t="shared" si="44"/>
        <v>00</v>
      </c>
    </row>
    <row r="52" spans="1:114" ht="15" customHeight="1">
      <c r="A52" s="1238"/>
      <c r="B52" s="1238"/>
      <c r="C52" s="1238"/>
      <c r="D52" s="1238"/>
      <c r="E52" s="1238"/>
      <c r="F52" s="1238"/>
      <c r="G52" s="1238"/>
      <c r="H52" s="1238"/>
      <c r="I52" s="1238"/>
      <c r="J52" s="1238"/>
      <c r="K52" s="1238"/>
      <c r="L52" s="1238"/>
      <c r="M52" s="1238"/>
      <c r="N52" s="1238"/>
      <c r="O52" s="1238"/>
      <c r="P52" s="1235">
        <v>49</v>
      </c>
      <c r="Q52" s="1386"/>
      <c r="R52" s="1387"/>
      <c r="S52" s="1368"/>
      <c r="T52" s="1369"/>
      <c r="U52" s="1391"/>
      <c r="V52" s="1360"/>
      <c r="W52" s="1061"/>
      <c r="X52" s="1062"/>
      <c r="Y52" s="1063"/>
      <c r="Z52" s="1153"/>
      <c r="AA52" s="1153"/>
      <c r="AB52" s="1361"/>
      <c r="AC52" s="1352" t="str">
        <f t="shared" si="4"/>
        <v>00</v>
      </c>
      <c r="AD52" s="524" t="str">
        <f t="shared" si="45"/>
        <v/>
      </c>
      <c r="AE52" s="525" t="str">
        <f>IF(AD52="","",VLOOKUP(AD52,所属コード!$A$2:$E$189,2,FALSE))</f>
        <v/>
      </c>
      <c r="AF52" s="1164" t="str">
        <f>IF(AD52="","",VLOOKUP(AD52,所属コード!$A$2:$G$189,7,FALSE))</f>
        <v/>
      </c>
      <c r="AG52" s="1166"/>
      <c r="AH52" s="77"/>
      <c r="AI52" s="77"/>
      <c r="AJ52" s="77"/>
      <c r="AK52" s="15"/>
      <c r="AM52" s="617"/>
      <c r="AN52" s="1090" t="str">
        <f t="shared" si="5"/>
        <v/>
      </c>
      <c r="AO52" s="618" t="str">
        <f t="shared" si="6"/>
        <v/>
      </c>
      <c r="AP52" s="617"/>
      <c r="AQ52" s="617"/>
      <c r="AR52" s="617"/>
      <c r="AS52" s="617"/>
      <c r="AT52" s="617"/>
      <c r="AU52" s="617"/>
      <c r="AV52" s="620"/>
      <c r="AW52" s="727"/>
      <c r="AX52" s="728"/>
      <c r="AY52" s="728"/>
      <c r="AZ52" s="728"/>
      <c r="BA52" s="728"/>
      <c r="BB52" s="728"/>
      <c r="BC52" s="728"/>
      <c r="BD52" s="728"/>
      <c r="BE52" s="728"/>
      <c r="BF52" s="728"/>
      <c r="BG52" s="728"/>
      <c r="BH52" s="728"/>
      <c r="BI52" s="728"/>
      <c r="BJ52" s="728"/>
      <c r="BK52" s="728"/>
      <c r="BL52" s="742"/>
      <c r="BM52" s="747">
        <f t="shared" si="7"/>
        <v>0</v>
      </c>
      <c r="BN52" s="738">
        <f t="shared" si="0"/>
        <v>0</v>
      </c>
      <c r="BO52" s="729">
        <f t="shared" si="1"/>
        <v>0</v>
      </c>
      <c r="BP52" s="730">
        <f t="shared" si="46"/>
        <v>0</v>
      </c>
      <c r="BQ52" s="729">
        <f t="shared" si="46"/>
        <v>0</v>
      </c>
      <c r="BR52" s="729">
        <f t="shared" si="8"/>
        <v>0</v>
      </c>
      <c r="BS52" s="729">
        <f t="shared" si="9"/>
        <v>0</v>
      </c>
      <c r="BT52" s="729">
        <f t="shared" si="10"/>
        <v>0</v>
      </c>
      <c r="BU52" s="729">
        <f t="shared" si="11"/>
        <v>0</v>
      </c>
      <c r="BV52" s="729">
        <f t="shared" si="12"/>
        <v>0</v>
      </c>
      <c r="BW52" s="729">
        <f t="shared" si="13"/>
        <v>0</v>
      </c>
      <c r="BX52" s="729">
        <f t="shared" si="13"/>
        <v>0</v>
      </c>
      <c r="BY52" s="729">
        <f t="shared" si="14"/>
        <v>0</v>
      </c>
      <c r="BZ52" s="729">
        <f t="shared" si="14"/>
        <v>0</v>
      </c>
      <c r="CA52" s="729">
        <f t="shared" si="15"/>
        <v>0</v>
      </c>
      <c r="CB52" s="729">
        <f t="shared" si="16"/>
        <v>0</v>
      </c>
      <c r="CC52" s="729">
        <f t="shared" si="16"/>
        <v>0</v>
      </c>
      <c r="CD52" s="729">
        <f t="shared" si="16"/>
        <v>0</v>
      </c>
      <c r="CE52" s="729">
        <f t="shared" si="17"/>
        <v>0</v>
      </c>
      <c r="CF52" s="729">
        <f t="shared" si="18"/>
        <v>0</v>
      </c>
      <c r="CG52" s="729">
        <f t="shared" si="19"/>
        <v>0</v>
      </c>
      <c r="CH52" s="729">
        <f t="shared" si="20"/>
        <v>0</v>
      </c>
      <c r="CI52" s="729">
        <f t="shared" si="21"/>
        <v>0</v>
      </c>
      <c r="CJ52" s="729">
        <f t="shared" si="22"/>
        <v>0</v>
      </c>
      <c r="CK52" s="729">
        <f t="shared" si="23"/>
        <v>0</v>
      </c>
      <c r="CL52" s="729">
        <f t="shared" si="24"/>
        <v>0</v>
      </c>
      <c r="CM52" s="729">
        <f t="shared" si="25"/>
        <v>0</v>
      </c>
      <c r="CN52" s="729">
        <f t="shared" si="26"/>
        <v>0</v>
      </c>
      <c r="CO52" s="729">
        <f t="shared" si="27"/>
        <v>0</v>
      </c>
      <c r="CP52" s="729">
        <f t="shared" si="28"/>
        <v>0</v>
      </c>
      <c r="CQ52" s="729">
        <f t="shared" si="29"/>
        <v>0</v>
      </c>
      <c r="CR52" s="729">
        <f t="shared" si="30"/>
        <v>0</v>
      </c>
      <c r="CS52" s="729">
        <f t="shared" si="31"/>
        <v>0</v>
      </c>
      <c r="CT52" s="729">
        <f t="shared" si="31"/>
        <v>0</v>
      </c>
      <c r="CU52" s="731">
        <f t="shared" si="32"/>
        <v>0</v>
      </c>
      <c r="CV52" s="692" t="str">
        <f t="shared" si="33"/>
        <v/>
      </c>
      <c r="CW52" s="659" t="str">
        <f t="shared" si="34"/>
        <v/>
      </c>
      <c r="CX52" s="659" t="str">
        <f t="shared" si="35"/>
        <v/>
      </c>
      <c r="CY52" s="659" t="str">
        <f t="shared" si="36"/>
        <v/>
      </c>
      <c r="CZ52" s="659" t="str">
        <f t="shared" si="37"/>
        <v/>
      </c>
      <c r="DA52" s="659" t="str">
        <f t="shared" si="38"/>
        <v/>
      </c>
      <c r="DB52" s="82" t="str">
        <f t="shared" si="39"/>
        <v/>
      </c>
      <c r="DC52" s="625" t="str">
        <f t="shared" si="3"/>
        <v/>
      </c>
      <c r="DD52" s="625" t="str">
        <f t="shared" si="40"/>
        <v>0</v>
      </c>
      <c r="DE52" s="620">
        <f t="shared" si="41"/>
        <v>0</v>
      </c>
      <c r="DF52" s="1051" t="s">
        <v>4</v>
      </c>
      <c r="DG52" s="1080">
        <v>235049</v>
      </c>
      <c r="DH52" s="625">
        <f t="shared" si="42"/>
        <v>0</v>
      </c>
      <c r="DI52" s="625">
        <f t="shared" si="43"/>
        <v>0</v>
      </c>
      <c r="DJ52" s="626" t="str">
        <f t="shared" si="44"/>
        <v>00</v>
      </c>
    </row>
    <row r="53" spans="1:114" ht="15" customHeight="1">
      <c r="A53" s="1238"/>
      <c r="B53" s="1238"/>
      <c r="C53" s="1238"/>
      <c r="D53" s="1238"/>
      <c r="E53" s="1238"/>
      <c r="F53" s="1238"/>
      <c r="G53" s="1238"/>
      <c r="H53" s="1238"/>
      <c r="I53" s="1238"/>
      <c r="J53" s="1238"/>
      <c r="K53" s="1238"/>
      <c r="L53" s="1238"/>
      <c r="M53" s="1238"/>
      <c r="N53" s="1238"/>
      <c r="O53" s="1238"/>
      <c r="P53" s="1235">
        <v>50</v>
      </c>
      <c r="Q53" s="1386"/>
      <c r="R53" s="1387"/>
      <c r="S53" s="1368"/>
      <c r="T53" s="1369"/>
      <c r="U53" s="1391"/>
      <c r="V53" s="1360"/>
      <c r="W53" s="1067"/>
      <c r="X53" s="1062"/>
      <c r="Y53" s="1063"/>
      <c r="Z53" s="1153"/>
      <c r="AA53" s="1153"/>
      <c r="AB53" s="1361"/>
      <c r="AC53" s="1352" t="str">
        <f t="shared" si="4"/>
        <v>00</v>
      </c>
      <c r="AD53" s="524" t="str">
        <f t="shared" si="45"/>
        <v/>
      </c>
      <c r="AE53" s="525" t="str">
        <f>IF(AD53="","",VLOOKUP(AD53,所属コード!$A$2:$E$189,2,FALSE))</f>
        <v/>
      </c>
      <c r="AF53" s="1164" t="str">
        <f>IF(AD53="","",VLOOKUP(AD53,所属コード!$A$2:$G$189,7,FALSE))</f>
        <v/>
      </c>
      <c r="AG53" s="1166"/>
      <c r="AH53" s="77"/>
      <c r="AI53" s="77"/>
      <c r="AJ53" s="77"/>
      <c r="AK53" s="15"/>
      <c r="AM53" s="617"/>
      <c r="AN53" s="1090" t="str">
        <f t="shared" si="5"/>
        <v/>
      </c>
      <c r="AO53" s="618" t="str">
        <f t="shared" si="6"/>
        <v/>
      </c>
      <c r="AP53" s="617"/>
      <c r="AQ53" s="617"/>
      <c r="AR53" s="617"/>
      <c r="AS53" s="617"/>
      <c r="AT53" s="617"/>
      <c r="AU53" s="617"/>
      <c r="AV53" s="620"/>
      <c r="AW53" s="727"/>
      <c r="AX53" s="728"/>
      <c r="AY53" s="728"/>
      <c r="AZ53" s="728"/>
      <c r="BA53" s="728"/>
      <c r="BB53" s="728"/>
      <c r="BC53" s="728"/>
      <c r="BD53" s="728"/>
      <c r="BE53" s="728"/>
      <c r="BF53" s="728"/>
      <c r="BG53" s="728"/>
      <c r="BH53" s="728"/>
      <c r="BI53" s="728"/>
      <c r="BJ53" s="728"/>
      <c r="BK53" s="728"/>
      <c r="BL53" s="742"/>
      <c r="BM53" s="747">
        <f t="shared" si="7"/>
        <v>0</v>
      </c>
      <c r="BN53" s="738">
        <f t="shared" si="0"/>
        <v>0</v>
      </c>
      <c r="BO53" s="729">
        <f t="shared" si="1"/>
        <v>0</v>
      </c>
      <c r="BP53" s="730">
        <f t="shared" si="46"/>
        <v>0</v>
      </c>
      <c r="BQ53" s="729">
        <f t="shared" si="46"/>
        <v>0</v>
      </c>
      <c r="BR53" s="729">
        <f t="shared" si="8"/>
        <v>0</v>
      </c>
      <c r="BS53" s="729">
        <f t="shared" si="9"/>
        <v>0</v>
      </c>
      <c r="BT53" s="729">
        <f t="shared" si="10"/>
        <v>0</v>
      </c>
      <c r="BU53" s="729">
        <f t="shared" si="11"/>
        <v>0</v>
      </c>
      <c r="BV53" s="729">
        <f t="shared" si="12"/>
        <v>0</v>
      </c>
      <c r="BW53" s="729">
        <f t="shared" si="13"/>
        <v>0</v>
      </c>
      <c r="BX53" s="729">
        <f t="shared" si="13"/>
        <v>0</v>
      </c>
      <c r="BY53" s="729">
        <f t="shared" si="14"/>
        <v>0</v>
      </c>
      <c r="BZ53" s="729">
        <f t="shared" si="14"/>
        <v>0</v>
      </c>
      <c r="CA53" s="729">
        <f t="shared" si="15"/>
        <v>0</v>
      </c>
      <c r="CB53" s="729">
        <f t="shared" si="16"/>
        <v>0</v>
      </c>
      <c r="CC53" s="729">
        <f t="shared" si="16"/>
        <v>0</v>
      </c>
      <c r="CD53" s="729">
        <f t="shared" si="16"/>
        <v>0</v>
      </c>
      <c r="CE53" s="729">
        <f t="shared" si="17"/>
        <v>0</v>
      </c>
      <c r="CF53" s="729">
        <f t="shared" si="18"/>
        <v>0</v>
      </c>
      <c r="CG53" s="729">
        <f t="shared" si="19"/>
        <v>0</v>
      </c>
      <c r="CH53" s="729">
        <f t="shared" si="20"/>
        <v>0</v>
      </c>
      <c r="CI53" s="729">
        <f t="shared" si="21"/>
        <v>0</v>
      </c>
      <c r="CJ53" s="729">
        <f t="shared" si="22"/>
        <v>0</v>
      </c>
      <c r="CK53" s="729">
        <f t="shared" si="23"/>
        <v>0</v>
      </c>
      <c r="CL53" s="729">
        <f t="shared" si="24"/>
        <v>0</v>
      </c>
      <c r="CM53" s="729">
        <f t="shared" si="25"/>
        <v>0</v>
      </c>
      <c r="CN53" s="729">
        <f t="shared" si="26"/>
        <v>0</v>
      </c>
      <c r="CO53" s="729">
        <f t="shared" si="27"/>
        <v>0</v>
      </c>
      <c r="CP53" s="729">
        <f t="shared" si="28"/>
        <v>0</v>
      </c>
      <c r="CQ53" s="729">
        <f t="shared" si="29"/>
        <v>0</v>
      </c>
      <c r="CR53" s="729">
        <f t="shared" si="30"/>
        <v>0</v>
      </c>
      <c r="CS53" s="729">
        <f t="shared" si="31"/>
        <v>0</v>
      </c>
      <c r="CT53" s="729">
        <f t="shared" si="31"/>
        <v>0</v>
      </c>
      <c r="CU53" s="731">
        <f t="shared" si="32"/>
        <v>0</v>
      </c>
      <c r="CV53" s="692" t="str">
        <f t="shared" si="33"/>
        <v/>
      </c>
      <c r="CW53" s="659" t="str">
        <f t="shared" si="34"/>
        <v/>
      </c>
      <c r="CX53" s="659" t="str">
        <f t="shared" si="35"/>
        <v/>
      </c>
      <c r="CY53" s="659" t="str">
        <f t="shared" si="36"/>
        <v/>
      </c>
      <c r="CZ53" s="659" t="str">
        <f t="shared" si="37"/>
        <v/>
      </c>
      <c r="DA53" s="659" t="str">
        <f t="shared" si="38"/>
        <v/>
      </c>
      <c r="DB53" s="82" t="str">
        <f t="shared" si="39"/>
        <v/>
      </c>
      <c r="DC53" s="625" t="str">
        <f t="shared" si="3"/>
        <v/>
      </c>
      <c r="DD53" s="625" t="str">
        <f t="shared" si="40"/>
        <v>0</v>
      </c>
      <c r="DE53" s="620">
        <f t="shared" si="41"/>
        <v>0</v>
      </c>
      <c r="DF53" s="1051" t="s">
        <v>38</v>
      </c>
      <c r="DG53" s="1080">
        <v>235050</v>
      </c>
      <c r="DH53" s="625">
        <f t="shared" si="42"/>
        <v>0</v>
      </c>
      <c r="DI53" s="625">
        <f t="shared" si="43"/>
        <v>0</v>
      </c>
      <c r="DJ53" s="626" t="str">
        <f t="shared" si="44"/>
        <v>00</v>
      </c>
    </row>
    <row r="54" spans="1:114" ht="15" customHeight="1">
      <c r="A54" s="1238"/>
      <c r="B54" s="1238"/>
      <c r="C54" s="1238"/>
      <c r="D54" s="1238"/>
      <c r="E54" s="1238"/>
      <c r="F54" s="1238"/>
      <c r="G54" s="1238"/>
      <c r="H54" s="1238"/>
      <c r="I54" s="1238"/>
      <c r="J54" s="1238"/>
      <c r="K54" s="1238"/>
      <c r="L54" s="1238"/>
      <c r="M54" s="1238"/>
      <c r="N54" s="1238"/>
      <c r="O54" s="1238"/>
      <c r="P54" s="1235">
        <v>51</v>
      </c>
      <c r="Q54" s="1386"/>
      <c r="R54" s="1387"/>
      <c r="S54" s="1368"/>
      <c r="T54" s="1369"/>
      <c r="U54" s="1391"/>
      <c r="V54" s="1360"/>
      <c r="W54" s="1067"/>
      <c r="X54" s="1062"/>
      <c r="Y54" s="1063"/>
      <c r="Z54" s="1153"/>
      <c r="AA54" s="1153"/>
      <c r="AB54" s="1361"/>
      <c r="AC54" s="1352" t="str">
        <f t="shared" si="4"/>
        <v>00</v>
      </c>
      <c r="AD54" s="524" t="str">
        <f t="shared" si="45"/>
        <v/>
      </c>
      <c r="AE54" s="525" t="str">
        <f>IF(AD54="","",VLOOKUP(AD54,所属コード!$A$2:$E$189,2,FALSE))</f>
        <v/>
      </c>
      <c r="AF54" s="1164" t="str">
        <f>IF(AD54="","",VLOOKUP(AD54,所属コード!$A$2:$G$189,7,FALSE))</f>
        <v/>
      </c>
      <c r="AG54" s="1166"/>
      <c r="AH54" s="77"/>
      <c r="AI54" s="77"/>
      <c r="AJ54" s="77"/>
      <c r="AK54" s="15"/>
      <c r="AM54" s="617"/>
      <c r="AN54" s="1090" t="str">
        <f t="shared" si="5"/>
        <v/>
      </c>
      <c r="AO54" s="618" t="str">
        <f t="shared" si="6"/>
        <v/>
      </c>
      <c r="AP54" s="617"/>
      <c r="AQ54" s="617"/>
      <c r="AR54" s="617"/>
      <c r="AS54" s="617"/>
      <c r="AT54" s="617"/>
      <c r="AU54" s="617"/>
      <c r="AV54" s="620"/>
      <c r="AW54" s="727"/>
      <c r="AX54" s="728"/>
      <c r="AY54" s="728"/>
      <c r="AZ54" s="728"/>
      <c r="BA54" s="728"/>
      <c r="BB54" s="728"/>
      <c r="BC54" s="728"/>
      <c r="BD54" s="728"/>
      <c r="BE54" s="728"/>
      <c r="BF54" s="728"/>
      <c r="BG54" s="728"/>
      <c r="BH54" s="728"/>
      <c r="BI54" s="728"/>
      <c r="BJ54" s="728"/>
      <c r="BK54" s="728"/>
      <c r="BL54" s="742"/>
      <c r="BM54" s="747">
        <f t="shared" si="7"/>
        <v>0</v>
      </c>
      <c r="BN54" s="738">
        <f t="shared" si="0"/>
        <v>0</v>
      </c>
      <c r="BO54" s="729">
        <f t="shared" si="1"/>
        <v>0</v>
      </c>
      <c r="BP54" s="730">
        <f t="shared" si="46"/>
        <v>0</v>
      </c>
      <c r="BQ54" s="729">
        <f t="shared" si="46"/>
        <v>0</v>
      </c>
      <c r="BR54" s="729">
        <f t="shared" si="8"/>
        <v>0</v>
      </c>
      <c r="BS54" s="729">
        <f t="shared" si="9"/>
        <v>0</v>
      </c>
      <c r="BT54" s="729">
        <f t="shared" si="10"/>
        <v>0</v>
      </c>
      <c r="BU54" s="729">
        <f t="shared" si="11"/>
        <v>0</v>
      </c>
      <c r="BV54" s="729">
        <f t="shared" si="12"/>
        <v>0</v>
      </c>
      <c r="BW54" s="729">
        <f t="shared" si="13"/>
        <v>0</v>
      </c>
      <c r="BX54" s="729">
        <f t="shared" si="13"/>
        <v>0</v>
      </c>
      <c r="BY54" s="729">
        <f t="shared" si="14"/>
        <v>0</v>
      </c>
      <c r="BZ54" s="729">
        <f t="shared" si="14"/>
        <v>0</v>
      </c>
      <c r="CA54" s="729">
        <f t="shared" si="15"/>
        <v>0</v>
      </c>
      <c r="CB54" s="729">
        <f t="shared" si="16"/>
        <v>0</v>
      </c>
      <c r="CC54" s="729">
        <f t="shared" si="16"/>
        <v>0</v>
      </c>
      <c r="CD54" s="729">
        <f t="shared" si="16"/>
        <v>0</v>
      </c>
      <c r="CE54" s="729">
        <f t="shared" si="17"/>
        <v>0</v>
      </c>
      <c r="CF54" s="729">
        <f t="shared" si="18"/>
        <v>0</v>
      </c>
      <c r="CG54" s="729">
        <f t="shared" si="19"/>
        <v>0</v>
      </c>
      <c r="CH54" s="729">
        <f t="shared" si="20"/>
        <v>0</v>
      </c>
      <c r="CI54" s="729">
        <f t="shared" si="21"/>
        <v>0</v>
      </c>
      <c r="CJ54" s="729">
        <f t="shared" si="22"/>
        <v>0</v>
      </c>
      <c r="CK54" s="729">
        <f t="shared" si="23"/>
        <v>0</v>
      </c>
      <c r="CL54" s="729">
        <f t="shared" si="24"/>
        <v>0</v>
      </c>
      <c r="CM54" s="729">
        <f t="shared" si="25"/>
        <v>0</v>
      </c>
      <c r="CN54" s="729">
        <f t="shared" si="26"/>
        <v>0</v>
      </c>
      <c r="CO54" s="729">
        <f t="shared" si="27"/>
        <v>0</v>
      </c>
      <c r="CP54" s="729">
        <f t="shared" si="28"/>
        <v>0</v>
      </c>
      <c r="CQ54" s="729">
        <f t="shared" si="29"/>
        <v>0</v>
      </c>
      <c r="CR54" s="729">
        <f t="shared" si="30"/>
        <v>0</v>
      </c>
      <c r="CS54" s="729">
        <f t="shared" si="31"/>
        <v>0</v>
      </c>
      <c r="CT54" s="729">
        <f t="shared" si="31"/>
        <v>0</v>
      </c>
      <c r="CU54" s="731">
        <f t="shared" si="32"/>
        <v>0</v>
      </c>
      <c r="CV54" s="692" t="str">
        <f t="shared" si="33"/>
        <v/>
      </c>
      <c r="CW54" s="659" t="str">
        <f t="shared" si="34"/>
        <v/>
      </c>
      <c r="CX54" s="659" t="str">
        <f t="shared" si="35"/>
        <v/>
      </c>
      <c r="CY54" s="659" t="str">
        <f t="shared" si="36"/>
        <v/>
      </c>
      <c r="CZ54" s="659" t="str">
        <f t="shared" si="37"/>
        <v/>
      </c>
      <c r="DA54" s="659" t="str">
        <f t="shared" si="38"/>
        <v/>
      </c>
      <c r="DB54" s="82" t="str">
        <f t="shared" si="39"/>
        <v/>
      </c>
      <c r="DC54" s="625" t="str">
        <f t="shared" si="3"/>
        <v/>
      </c>
      <c r="DD54" s="625" t="str">
        <f t="shared" si="40"/>
        <v>0</v>
      </c>
      <c r="DE54" s="620">
        <f t="shared" si="41"/>
        <v>0</v>
      </c>
      <c r="DF54" s="1051" t="s">
        <v>283</v>
      </c>
      <c r="DG54" s="1080">
        <v>235051</v>
      </c>
      <c r="DH54" s="625">
        <f t="shared" si="42"/>
        <v>0</v>
      </c>
      <c r="DI54" s="625">
        <f t="shared" si="43"/>
        <v>0</v>
      </c>
      <c r="DJ54" s="626" t="str">
        <f t="shared" si="44"/>
        <v>00</v>
      </c>
    </row>
    <row r="55" spans="1:114" ht="15" customHeight="1">
      <c r="A55" s="1238"/>
      <c r="B55" s="1238"/>
      <c r="C55" s="1238"/>
      <c r="D55" s="1238"/>
      <c r="E55" s="1238"/>
      <c r="F55" s="1238"/>
      <c r="G55" s="1238"/>
      <c r="H55" s="1238"/>
      <c r="I55" s="1238"/>
      <c r="J55" s="1238"/>
      <c r="K55" s="1238"/>
      <c r="L55" s="1238"/>
      <c r="M55" s="1238"/>
      <c r="N55" s="1238"/>
      <c r="O55" s="1238"/>
      <c r="P55" s="1235">
        <v>52</v>
      </c>
      <c r="Q55" s="1386"/>
      <c r="R55" s="1387"/>
      <c r="S55" s="1368"/>
      <c r="T55" s="1369"/>
      <c r="U55" s="1391"/>
      <c r="V55" s="1360"/>
      <c r="W55" s="1067"/>
      <c r="X55" s="1063"/>
      <c r="Y55" s="1062"/>
      <c r="Z55" s="1153"/>
      <c r="AA55" s="1153"/>
      <c r="AB55" s="1361"/>
      <c r="AC55" s="1352" t="str">
        <f t="shared" si="4"/>
        <v>00</v>
      </c>
      <c r="AD55" s="524" t="str">
        <f t="shared" si="45"/>
        <v/>
      </c>
      <c r="AE55" s="525" t="str">
        <f>IF(AD55="","",VLOOKUP(AD55,所属コード!$A$2:$E$189,2,FALSE))</f>
        <v/>
      </c>
      <c r="AF55" s="1164" t="str">
        <f>IF(AD55="","",VLOOKUP(AD55,所属コード!$A$2:$G$189,7,FALSE))</f>
        <v/>
      </c>
      <c r="AG55" s="1166"/>
      <c r="AH55" s="77"/>
      <c r="AI55" s="77"/>
      <c r="AJ55" s="77"/>
      <c r="AK55" s="15"/>
      <c r="AM55" s="617"/>
      <c r="AN55" s="1090" t="str">
        <f t="shared" si="5"/>
        <v/>
      </c>
      <c r="AO55" s="618" t="str">
        <f t="shared" si="6"/>
        <v/>
      </c>
      <c r="AP55" s="617"/>
      <c r="AQ55" s="617"/>
      <c r="AR55" s="617"/>
      <c r="AS55" s="617"/>
      <c r="AT55" s="617"/>
      <c r="AU55" s="617"/>
      <c r="AV55" s="620"/>
      <c r="AW55" s="727"/>
      <c r="AX55" s="728"/>
      <c r="AY55" s="728"/>
      <c r="AZ55" s="728"/>
      <c r="BA55" s="728"/>
      <c r="BB55" s="728"/>
      <c r="BC55" s="728"/>
      <c r="BD55" s="728"/>
      <c r="BE55" s="728"/>
      <c r="BF55" s="728"/>
      <c r="BG55" s="728"/>
      <c r="BH55" s="728"/>
      <c r="BI55" s="728"/>
      <c r="BJ55" s="728"/>
      <c r="BK55" s="728"/>
      <c r="BL55" s="742"/>
      <c r="BM55" s="747">
        <f t="shared" si="7"/>
        <v>0</v>
      </c>
      <c r="BN55" s="738">
        <f t="shared" si="0"/>
        <v>0</v>
      </c>
      <c r="BO55" s="729">
        <f t="shared" si="1"/>
        <v>0</v>
      </c>
      <c r="BP55" s="730">
        <f t="shared" si="46"/>
        <v>0</v>
      </c>
      <c r="BQ55" s="729">
        <f t="shared" si="46"/>
        <v>0</v>
      </c>
      <c r="BR55" s="729">
        <f t="shared" si="8"/>
        <v>0</v>
      </c>
      <c r="BS55" s="729">
        <f t="shared" si="9"/>
        <v>0</v>
      </c>
      <c r="BT55" s="729">
        <f t="shared" si="10"/>
        <v>0</v>
      </c>
      <c r="BU55" s="729">
        <f t="shared" si="11"/>
        <v>0</v>
      </c>
      <c r="BV55" s="729">
        <f t="shared" si="12"/>
        <v>0</v>
      </c>
      <c r="BW55" s="729">
        <f t="shared" si="13"/>
        <v>0</v>
      </c>
      <c r="BX55" s="729">
        <f t="shared" si="13"/>
        <v>0</v>
      </c>
      <c r="BY55" s="729">
        <f t="shared" si="14"/>
        <v>0</v>
      </c>
      <c r="BZ55" s="729">
        <f t="shared" si="14"/>
        <v>0</v>
      </c>
      <c r="CA55" s="729">
        <f t="shared" si="15"/>
        <v>0</v>
      </c>
      <c r="CB55" s="729">
        <f t="shared" si="16"/>
        <v>0</v>
      </c>
      <c r="CC55" s="729">
        <f t="shared" si="16"/>
        <v>0</v>
      </c>
      <c r="CD55" s="729">
        <f t="shared" si="16"/>
        <v>0</v>
      </c>
      <c r="CE55" s="729">
        <f t="shared" si="17"/>
        <v>0</v>
      </c>
      <c r="CF55" s="729">
        <f t="shared" si="18"/>
        <v>0</v>
      </c>
      <c r="CG55" s="729">
        <f t="shared" si="19"/>
        <v>0</v>
      </c>
      <c r="CH55" s="729">
        <f t="shared" si="20"/>
        <v>0</v>
      </c>
      <c r="CI55" s="729">
        <f t="shared" si="21"/>
        <v>0</v>
      </c>
      <c r="CJ55" s="729">
        <f t="shared" si="22"/>
        <v>0</v>
      </c>
      <c r="CK55" s="729">
        <f t="shared" si="23"/>
        <v>0</v>
      </c>
      <c r="CL55" s="729">
        <f t="shared" si="24"/>
        <v>0</v>
      </c>
      <c r="CM55" s="729">
        <f t="shared" si="25"/>
        <v>0</v>
      </c>
      <c r="CN55" s="729">
        <f t="shared" si="26"/>
        <v>0</v>
      </c>
      <c r="CO55" s="729">
        <f t="shared" si="27"/>
        <v>0</v>
      </c>
      <c r="CP55" s="729">
        <f t="shared" si="28"/>
        <v>0</v>
      </c>
      <c r="CQ55" s="729">
        <f t="shared" si="29"/>
        <v>0</v>
      </c>
      <c r="CR55" s="729">
        <f t="shared" si="30"/>
        <v>0</v>
      </c>
      <c r="CS55" s="729">
        <f t="shared" si="31"/>
        <v>0</v>
      </c>
      <c r="CT55" s="729">
        <f t="shared" si="31"/>
        <v>0</v>
      </c>
      <c r="CU55" s="731">
        <f t="shared" si="32"/>
        <v>0</v>
      </c>
      <c r="CV55" s="692" t="str">
        <f t="shared" si="33"/>
        <v/>
      </c>
      <c r="CW55" s="659" t="str">
        <f t="shared" si="34"/>
        <v/>
      </c>
      <c r="CX55" s="659" t="str">
        <f t="shared" si="35"/>
        <v/>
      </c>
      <c r="CY55" s="659" t="str">
        <f t="shared" si="36"/>
        <v/>
      </c>
      <c r="CZ55" s="659" t="str">
        <f t="shared" si="37"/>
        <v/>
      </c>
      <c r="DA55" s="659" t="str">
        <f t="shared" si="38"/>
        <v/>
      </c>
      <c r="DB55" s="82" t="str">
        <f t="shared" si="39"/>
        <v/>
      </c>
      <c r="DC55" s="625" t="str">
        <f t="shared" si="3"/>
        <v/>
      </c>
      <c r="DD55" s="625" t="str">
        <f t="shared" si="40"/>
        <v>0</v>
      </c>
      <c r="DE55" s="620">
        <f t="shared" si="41"/>
        <v>0</v>
      </c>
      <c r="DF55" s="1051" t="s">
        <v>64</v>
      </c>
      <c r="DG55" s="1080">
        <v>235052</v>
      </c>
      <c r="DH55" s="625">
        <f t="shared" si="42"/>
        <v>0</v>
      </c>
      <c r="DI55" s="625">
        <f t="shared" si="43"/>
        <v>0</v>
      </c>
      <c r="DJ55" s="626" t="str">
        <f t="shared" si="44"/>
        <v>00</v>
      </c>
    </row>
    <row r="56" spans="1:114" ht="15" customHeight="1">
      <c r="A56" s="1238"/>
      <c r="B56" s="1238"/>
      <c r="C56" s="1238"/>
      <c r="D56" s="1238"/>
      <c r="E56" s="1238"/>
      <c r="F56" s="1238"/>
      <c r="G56" s="1238"/>
      <c r="H56" s="1238"/>
      <c r="I56" s="1238"/>
      <c r="J56" s="1238"/>
      <c r="K56" s="1238"/>
      <c r="L56" s="1238"/>
      <c r="M56" s="1238"/>
      <c r="N56" s="1238"/>
      <c r="O56" s="1238"/>
      <c r="P56" s="1235">
        <v>53</v>
      </c>
      <c r="Q56" s="1386"/>
      <c r="R56" s="1387"/>
      <c r="S56" s="1368"/>
      <c r="T56" s="1369"/>
      <c r="U56" s="1391"/>
      <c r="V56" s="1360"/>
      <c r="W56" s="1067"/>
      <c r="X56" s="1063"/>
      <c r="Y56" s="1062"/>
      <c r="Z56" s="1153"/>
      <c r="AA56" s="1153"/>
      <c r="AB56" s="1361"/>
      <c r="AC56" s="1352" t="str">
        <f t="shared" si="4"/>
        <v>00</v>
      </c>
      <c r="AD56" s="524" t="str">
        <f t="shared" si="45"/>
        <v/>
      </c>
      <c r="AE56" s="525" t="str">
        <f>IF(AD56="","",VLOOKUP(AD56,所属コード!$A$2:$E$189,2,FALSE))</f>
        <v/>
      </c>
      <c r="AF56" s="1164" t="str">
        <f>IF(AD56="","",VLOOKUP(AD56,所属コード!$A$2:$G$189,7,FALSE))</f>
        <v/>
      </c>
      <c r="AG56" s="1166"/>
      <c r="AH56" s="77"/>
      <c r="AI56" s="77"/>
      <c r="AJ56" s="77"/>
      <c r="AK56" s="15"/>
      <c r="AM56" s="617"/>
      <c r="AN56" s="1090" t="str">
        <f t="shared" si="5"/>
        <v/>
      </c>
      <c r="AO56" s="618" t="str">
        <f t="shared" si="6"/>
        <v/>
      </c>
      <c r="AP56" s="617"/>
      <c r="AQ56" s="617"/>
      <c r="AR56" s="617"/>
      <c r="AS56" s="617"/>
      <c r="AT56" s="617"/>
      <c r="AU56" s="617"/>
      <c r="AV56" s="620"/>
      <c r="AW56" s="727"/>
      <c r="AX56" s="728"/>
      <c r="AY56" s="728"/>
      <c r="AZ56" s="728"/>
      <c r="BA56" s="728"/>
      <c r="BB56" s="728"/>
      <c r="BC56" s="728"/>
      <c r="BD56" s="728"/>
      <c r="BE56" s="728"/>
      <c r="BF56" s="728"/>
      <c r="BG56" s="728"/>
      <c r="BH56" s="728"/>
      <c r="BI56" s="728"/>
      <c r="BJ56" s="728"/>
      <c r="BK56" s="728"/>
      <c r="BL56" s="742"/>
      <c r="BM56" s="747">
        <f t="shared" si="7"/>
        <v>0</v>
      </c>
      <c r="BN56" s="738">
        <f t="shared" si="0"/>
        <v>0</v>
      </c>
      <c r="BO56" s="729">
        <f t="shared" si="1"/>
        <v>0</v>
      </c>
      <c r="BP56" s="730">
        <f t="shared" si="46"/>
        <v>0</v>
      </c>
      <c r="BQ56" s="729">
        <f t="shared" si="46"/>
        <v>0</v>
      </c>
      <c r="BR56" s="729">
        <f t="shared" si="8"/>
        <v>0</v>
      </c>
      <c r="BS56" s="729">
        <f t="shared" si="9"/>
        <v>0</v>
      </c>
      <c r="BT56" s="729">
        <f t="shared" si="10"/>
        <v>0</v>
      </c>
      <c r="BU56" s="729">
        <f t="shared" si="11"/>
        <v>0</v>
      </c>
      <c r="BV56" s="729">
        <f t="shared" si="12"/>
        <v>0</v>
      </c>
      <c r="BW56" s="729">
        <f t="shared" si="13"/>
        <v>0</v>
      </c>
      <c r="BX56" s="729">
        <f t="shared" si="13"/>
        <v>0</v>
      </c>
      <c r="BY56" s="729">
        <f t="shared" si="14"/>
        <v>0</v>
      </c>
      <c r="BZ56" s="729">
        <f t="shared" si="14"/>
        <v>0</v>
      </c>
      <c r="CA56" s="729">
        <f t="shared" si="15"/>
        <v>0</v>
      </c>
      <c r="CB56" s="729">
        <f t="shared" si="16"/>
        <v>0</v>
      </c>
      <c r="CC56" s="729">
        <f t="shared" si="16"/>
        <v>0</v>
      </c>
      <c r="CD56" s="729">
        <f t="shared" si="16"/>
        <v>0</v>
      </c>
      <c r="CE56" s="729">
        <f t="shared" si="17"/>
        <v>0</v>
      </c>
      <c r="CF56" s="729">
        <f t="shared" si="18"/>
        <v>0</v>
      </c>
      <c r="CG56" s="729">
        <f t="shared" si="19"/>
        <v>0</v>
      </c>
      <c r="CH56" s="729">
        <f t="shared" si="20"/>
        <v>0</v>
      </c>
      <c r="CI56" s="729">
        <f t="shared" si="21"/>
        <v>0</v>
      </c>
      <c r="CJ56" s="729">
        <f t="shared" si="22"/>
        <v>0</v>
      </c>
      <c r="CK56" s="729">
        <f t="shared" si="23"/>
        <v>0</v>
      </c>
      <c r="CL56" s="729">
        <f t="shared" si="24"/>
        <v>0</v>
      </c>
      <c r="CM56" s="729">
        <f t="shared" si="25"/>
        <v>0</v>
      </c>
      <c r="CN56" s="729">
        <f t="shared" si="26"/>
        <v>0</v>
      </c>
      <c r="CO56" s="729">
        <f t="shared" si="27"/>
        <v>0</v>
      </c>
      <c r="CP56" s="729">
        <f t="shared" si="28"/>
        <v>0</v>
      </c>
      <c r="CQ56" s="729">
        <f t="shared" si="29"/>
        <v>0</v>
      </c>
      <c r="CR56" s="729">
        <f t="shared" si="30"/>
        <v>0</v>
      </c>
      <c r="CS56" s="729">
        <f t="shared" si="31"/>
        <v>0</v>
      </c>
      <c r="CT56" s="729">
        <f t="shared" si="31"/>
        <v>0</v>
      </c>
      <c r="CU56" s="731">
        <f t="shared" si="32"/>
        <v>0</v>
      </c>
      <c r="CV56" s="692" t="str">
        <f t="shared" si="33"/>
        <v/>
      </c>
      <c r="CW56" s="659" t="str">
        <f t="shared" si="34"/>
        <v/>
      </c>
      <c r="CX56" s="659" t="str">
        <f t="shared" si="35"/>
        <v/>
      </c>
      <c r="CY56" s="659" t="str">
        <f t="shared" si="36"/>
        <v/>
      </c>
      <c r="CZ56" s="659" t="str">
        <f t="shared" si="37"/>
        <v/>
      </c>
      <c r="DA56" s="659" t="str">
        <f t="shared" si="38"/>
        <v/>
      </c>
      <c r="DB56" s="82" t="str">
        <f t="shared" si="39"/>
        <v/>
      </c>
      <c r="DC56" s="625" t="str">
        <f t="shared" si="3"/>
        <v/>
      </c>
      <c r="DD56" s="625" t="str">
        <f t="shared" si="40"/>
        <v>0</v>
      </c>
      <c r="DE56" s="620">
        <f t="shared" si="41"/>
        <v>0</v>
      </c>
      <c r="DF56" s="1051" t="s">
        <v>65</v>
      </c>
      <c r="DG56" s="1080">
        <v>235053</v>
      </c>
      <c r="DH56" s="625">
        <f t="shared" si="42"/>
        <v>0</v>
      </c>
      <c r="DI56" s="625">
        <f t="shared" si="43"/>
        <v>0</v>
      </c>
      <c r="DJ56" s="626" t="str">
        <f t="shared" si="44"/>
        <v>00</v>
      </c>
    </row>
    <row r="57" spans="1:114" ht="15" customHeight="1">
      <c r="A57" s="1238"/>
      <c r="B57" s="1238"/>
      <c r="C57" s="1238"/>
      <c r="D57" s="1238"/>
      <c r="E57" s="1238"/>
      <c r="F57" s="1238"/>
      <c r="G57" s="1238"/>
      <c r="H57" s="1238"/>
      <c r="I57" s="1238"/>
      <c r="J57" s="1238"/>
      <c r="K57" s="1238"/>
      <c r="L57" s="1238"/>
      <c r="M57" s="1238"/>
      <c r="N57" s="1238"/>
      <c r="O57" s="1238"/>
      <c r="P57" s="1235">
        <v>54</v>
      </c>
      <c r="Q57" s="1386"/>
      <c r="R57" s="1387"/>
      <c r="S57" s="1368"/>
      <c r="T57" s="1369"/>
      <c r="U57" s="1391"/>
      <c r="V57" s="1360"/>
      <c r="W57" s="1067"/>
      <c r="X57" s="1063"/>
      <c r="Y57" s="1062"/>
      <c r="Z57" s="1153"/>
      <c r="AA57" s="1153"/>
      <c r="AB57" s="1361"/>
      <c r="AC57" s="1352" t="str">
        <f t="shared" si="4"/>
        <v>00</v>
      </c>
      <c r="AD57" s="524" t="str">
        <f t="shared" si="45"/>
        <v/>
      </c>
      <c r="AE57" s="525" t="str">
        <f>IF(AD57="","",VLOOKUP(AD57,所属コード!$A$2:$E$189,2,FALSE))</f>
        <v/>
      </c>
      <c r="AF57" s="1164" t="str">
        <f>IF(AD57="","",VLOOKUP(AD57,所属コード!$A$2:$G$189,7,FALSE))</f>
        <v/>
      </c>
      <c r="AG57" s="1166"/>
      <c r="AH57" s="77"/>
      <c r="AI57" s="77"/>
      <c r="AJ57" s="77"/>
      <c r="AK57" s="15"/>
      <c r="AM57" s="617"/>
      <c r="AN57" s="1090" t="str">
        <f t="shared" si="5"/>
        <v/>
      </c>
      <c r="AO57" s="618" t="str">
        <f t="shared" si="6"/>
        <v/>
      </c>
      <c r="AP57" s="617"/>
      <c r="AQ57" s="617"/>
      <c r="AR57" s="617"/>
      <c r="AS57" s="617"/>
      <c r="AT57" s="617"/>
      <c r="AU57" s="617"/>
      <c r="AV57" s="620"/>
      <c r="AW57" s="727"/>
      <c r="AX57" s="728"/>
      <c r="AY57" s="728"/>
      <c r="AZ57" s="728"/>
      <c r="BA57" s="728"/>
      <c r="BB57" s="728"/>
      <c r="BC57" s="728"/>
      <c r="BD57" s="728"/>
      <c r="BE57" s="728"/>
      <c r="BF57" s="728"/>
      <c r="BG57" s="728"/>
      <c r="BH57" s="728"/>
      <c r="BI57" s="728"/>
      <c r="BJ57" s="728"/>
      <c r="BK57" s="728"/>
      <c r="BL57" s="742"/>
      <c r="BM57" s="747">
        <f t="shared" si="7"/>
        <v>0</v>
      </c>
      <c r="BN57" s="738">
        <f t="shared" si="0"/>
        <v>0</v>
      </c>
      <c r="BO57" s="729">
        <f t="shared" si="1"/>
        <v>0</v>
      </c>
      <c r="BP57" s="730">
        <f t="shared" si="46"/>
        <v>0</v>
      </c>
      <c r="BQ57" s="729">
        <f t="shared" si="46"/>
        <v>0</v>
      </c>
      <c r="BR57" s="729">
        <f t="shared" si="8"/>
        <v>0</v>
      </c>
      <c r="BS57" s="729">
        <f t="shared" si="9"/>
        <v>0</v>
      </c>
      <c r="BT57" s="729">
        <f t="shared" si="10"/>
        <v>0</v>
      </c>
      <c r="BU57" s="729">
        <f t="shared" si="11"/>
        <v>0</v>
      </c>
      <c r="BV57" s="729">
        <f t="shared" si="12"/>
        <v>0</v>
      </c>
      <c r="BW57" s="729">
        <f t="shared" si="13"/>
        <v>0</v>
      </c>
      <c r="BX57" s="729">
        <f t="shared" si="13"/>
        <v>0</v>
      </c>
      <c r="BY57" s="729">
        <f t="shared" si="14"/>
        <v>0</v>
      </c>
      <c r="BZ57" s="729">
        <f t="shared" si="14"/>
        <v>0</v>
      </c>
      <c r="CA57" s="729">
        <f t="shared" si="15"/>
        <v>0</v>
      </c>
      <c r="CB57" s="729">
        <f t="shared" si="16"/>
        <v>0</v>
      </c>
      <c r="CC57" s="729">
        <f t="shared" si="16"/>
        <v>0</v>
      </c>
      <c r="CD57" s="729">
        <f t="shared" si="16"/>
        <v>0</v>
      </c>
      <c r="CE57" s="729">
        <f t="shared" si="17"/>
        <v>0</v>
      </c>
      <c r="CF57" s="729">
        <f t="shared" si="18"/>
        <v>0</v>
      </c>
      <c r="CG57" s="729">
        <f t="shared" si="19"/>
        <v>0</v>
      </c>
      <c r="CH57" s="729">
        <f t="shared" si="20"/>
        <v>0</v>
      </c>
      <c r="CI57" s="729">
        <f t="shared" si="21"/>
        <v>0</v>
      </c>
      <c r="CJ57" s="729">
        <f t="shared" si="22"/>
        <v>0</v>
      </c>
      <c r="CK57" s="729">
        <f t="shared" si="23"/>
        <v>0</v>
      </c>
      <c r="CL57" s="729">
        <f t="shared" si="24"/>
        <v>0</v>
      </c>
      <c r="CM57" s="729">
        <f t="shared" si="25"/>
        <v>0</v>
      </c>
      <c r="CN57" s="729">
        <f t="shared" si="26"/>
        <v>0</v>
      </c>
      <c r="CO57" s="729">
        <f t="shared" si="27"/>
        <v>0</v>
      </c>
      <c r="CP57" s="729">
        <f t="shared" si="28"/>
        <v>0</v>
      </c>
      <c r="CQ57" s="729">
        <f t="shared" si="29"/>
        <v>0</v>
      </c>
      <c r="CR57" s="729">
        <f t="shared" si="30"/>
        <v>0</v>
      </c>
      <c r="CS57" s="729">
        <f t="shared" si="31"/>
        <v>0</v>
      </c>
      <c r="CT57" s="729">
        <f t="shared" si="31"/>
        <v>0</v>
      </c>
      <c r="CU57" s="731">
        <f t="shared" si="32"/>
        <v>0</v>
      </c>
      <c r="CV57" s="692" t="str">
        <f t="shared" si="33"/>
        <v/>
      </c>
      <c r="CW57" s="659" t="str">
        <f t="shared" si="34"/>
        <v/>
      </c>
      <c r="CX57" s="659" t="str">
        <f t="shared" si="35"/>
        <v/>
      </c>
      <c r="CY57" s="659" t="str">
        <f t="shared" si="36"/>
        <v/>
      </c>
      <c r="CZ57" s="659" t="str">
        <f t="shared" si="37"/>
        <v/>
      </c>
      <c r="DA57" s="659" t="str">
        <f t="shared" si="38"/>
        <v/>
      </c>
      <c r="DB57" s="82" t="str">
        <f t="shared" si="39"/>
        <v/>
      </c>
      <c r="DC57" s="625" t="str">
        <f t="shared" si="3"/>
        <v/>
      </c>
      <c r="DD57" s="625" t="str">
        <f t="shared" si="40"/>
        <v>0</v>
      </c>
      <c r="DE57" s="620">
        <f t="shared" si="41"/>
        <v>0</v>
      </c>
      <c r="DF57" s="1051" t="s">
        <v>146</v>
      </c>
      <c r="DG57" s="1080">
        <v>235054</v>
      </c>
      <c r="DH57" s="625">
        <f t="shared" si="42"/>
        <v>0</v>
      </c>
      <c r="DI57" s="625">
        <f t="shared" si="43"/>
        <v>0</v>
      </c>
      <c r="DJ57" s="626" t="str">
        <f t="shared" si="44"/>
        <v>00</v>
      </c>
    </row>
    <row r="58" spans="1:114" ht="15" customHeight="1">
      <c r="A58" s="1238"/>
      <c r="B58" s="1238"/>
      <c r="C58" s="1238"/>
      <c r="D58" s="1238"/>
      <c r="E58" s="1238"/>
      <c r="F58" s="1238"/>
      <c r="G58" s="1238"/>
      <c r="H58" s="1238"/>
      <c r="I58" s="1238"/>
      <c r="J58" s="1238"/>
      <c r="K58" s="1238"/>
      <c r="L58" s="1238"/>
      <c r="M58" s="1238"/>
      <c r="N58" s="1238"/>
      <c r="O58" s="1238"/>
      <c r="P58" s="1235">
        <v>55</v>
      </c>
      <c r="Q58" s="1386"/>
      <c r="R58" s="1387"/>
      <c r="S58" s="1368"/>
      <c r="T58" s="1369"/>
      <c r="U58" s="1391"/>
      <c r="V58" s="1360"/>
      <c r="W58" s="1067"/>
      <c r="X58" s="1063"/>
      <c r="Y58" s="1062"/>
      <c r="Z58" s="1153"/>
      <c r="AA58" s="1153"/>
      <c r="AB58" s="1361"/>
      <c r="AC58" s="1352" t="str">
        <f t="shared" si="4"/>
        <v>00</v>
      </c>
      <c r="AD58" s="524" t="str">
        <f t="shared" si="45"/>
        <v/>
      </c>
      <c r="AE58" s="525" t="str">
        <f>IF(AD58="","",VLOOKUP(AD58,所属コード!$A$2:$E$189,2,FALSE))</f>
        <v/>
      </c>
      <c r="AF58" s="1164" t="str">
        <f>IF(AD58="","",VLOOKUP(AD58,所属コード!$A$2:$G$189,7,FALSE))</f>
        <v/>
      </c>
      <c r="AG58" s="1166"/>
      <c r="AH58" s="77"/>
      <c r="AI58" s="77"/>
      <c r="AJ58" s="77"/>
      <c r="AK58" s="15"/>
      <c r="AM58" s="617"/>
      <c r="AN58" s="1090" t="str">
        <f t="shared" si="5"/>
        <v/>
      </c>
      <c r="AO58" s="618" t="str">
        <f t="shared" si="6"/>
        <v/>
      </c>
      <c r="AP58" s="617"/>
      <c r="AQ58" s="617"/>
      <c r="AR58" s="617"/>
      <c r="AS58" s="617"/>
      <c r="AT58" s="617"/>
      <c r="AU58" s="617"/>
      <c r="AV58" s="620"/>
      <c r="AW58" s="727"/>
      <c r="AX58" s="728"/>
      <c r="AY58" s="728"/>
      <c r="AZ58" s="728"/>
      <c r="BA58" s="728"/>
      <c r="BB58" s="728"/>
      <c r="BC58" s="728"/>
      <c r="BD58" s="728"/>
      <c r="BE58" s="728"/>
      <c r="BF58" s="728"/>
      <c r="BG58" s="728"/>
      <c r="BH58" s="728"/>
      <c r="BI58" s="728"/>
      <c r="BJ58" s="728"/>
      <c r="BK58" s="728"/>
      <c r="BL58" s="742"/>
      <c r="BM58" s="747">
        <f t="shared" si="7"/>
        <v>0</v>
      </c>
      <c r="BN58" s="738">
        <f t="shared" si="0"/>
        <v>0</v>
      </c>
      <c r="BO58" s="729">
        <f t="shared" si="1"/>
        <v>0</v>
      </c>
      <c r="BP58" s="730">
        <f t="shared" si="46"/>
        <v>0</v>
      </c>
      <c r="BQ58" s="729">
        <f t="shared" si="46"/>
        <v>0</v>
      </c>
      <c r="BR58" s="729">
        <f t="shared" si="8"/>
        <v>0</v>
      </c>
      <c r="BS58" s="729">
        <f t="shared" si="9"/>
        <v>0</v>
      </c>
      <c r="BT58" s="729">
        <f t="shared" si="10"/>
        <v>0</v>
      </c>
      <c r="BU58" s="729">
        <f t="shared" si="11"/>
        <v>0</v>
      </c>
      <c r="BV58" s="729">
        <f t="shared" si="12"/>
        <v>0</v>
      </c>
      <c r="BW58" s="729">
        <f t="shared" si="13"/>
        <v>0</v>
      </c>
      <c r="BX58" s="729">
        <f t="shared" si="13"/>
        <v>0</v>
      </c>
      <c r="BY58" s="729">
        <f t="shared" si="14"/>
        <v>0</v>
      </c>
      <c r="BZ58" s="729">
        <f t="shared" si="14"/>
        <v>0</v>
      </c>
      <c r="CA58" s="729">
        <f t="shared" si="15"/>
        <v>0</v>
      </c>
      <c r="CB58" s="729">
        <f t="shared" si="16"/>
        <v>0</v>
      </c>
      <c r="CC58" s="729">
        <f t="shared" si="16"/>
        <v>0</v>
      </c>
      <c r="CD58" s="729">
        <f t="shared" si="16"/>
        <v>0</v>
      </c>
      <c r="CE58" s="729">
        <f t="shared" si="17"/>
        <v>0</v>
      </c>
      <c r="CF58" s="729">
        <f t="shared" si="18"/>
        <v>0</v>
      </c>
      <c r="CG58" s="729">
        <f t="shared" si="19"/>
        <v>0</v>
      </c>
      <c r="CH58" s="729">
        <f t="shared" si="20"/>
        <v>0</v>
      </c>
      <c r="CI58" s="729">
        <f t="shared" si="21"/>
        <v>0</v>
      </c>
      <c r="CJ58" s="729">
        <f t="shared" si="22"/>
        <v>0</v>
      </c>
      <c r="CK58" s="729">
        <f t="shared" si="23"/>
        <v>0</v>
      </c>
      <c r="CL58" s="729">
        <f t="shared" si="24"/>
        <v>0</v>
      </c>
      <c r="CM58" s="729">
        <f t="shared" si="25"/>
        <v>0</v>
      </c>
      <c r="CN58" s="729">
        <f t="shared" si="26"/>
        <v>0</v>
      </c>
      <c r="CO58" s="729">
        <f t="shared" si="27"/>
        <v>0</v>
      </c>
      <c r="CP58" s="729">
        <f t="shared" si="28"/>
        <v>0</v>
      </c>
      <c r="CQ58" s="729">
        <f t="shared" si="29"/>
        <v>0</v>
      </c>
      <c r="CR58" s="729">
        <f t="shared" si="30"/>
        <v>0</v>
      </c>
      <c r="CS58" s="729">
        <f t="shared" si="31"/>
        <v>0</v>
      </c>
      <c r="CT58" s="729">
        <f t="shared" si="31"/>
        <v>0</v>
      </c>
      <c r="CU58" s="731">
        <f t="shared" si="32"/>
        <v>0</v>
      </c>
      <c r="CV58" s="692" t="str">
        <f t="shared" si="33"/>
        <v/>
      </c>
      <c r="CW58" s="659" t="str">
        <f t="shared" si="34"/>
        <v/>
      </c>
      <c r="CX58" s="659" t="str">
        <f t="shared" si="35"/>
        <v/>
      </c>
      <c r="CY58" s="659" t="str">
        <f t="shared" si="36"/>
        <v/>
      </c>
      <c r="CZ58" s="659" t="str">
        <f t="shared" si="37"/>
        <v/>
      </c>
      <c r="DA58" s="659" t="str">
        <f t="shared" si="38"/>
        <v/>
      </c>
      <c r="DB58" s="82" t="str">
        <f t="shared" si="39"/>
        <v/>
      </c>
      <c r="DC58" s="625" t="str">
        <f t="shared" si="3"/>
        <v/>
      </c>
      <c r="DD58" s="625" t="str">
        <f t="shared" si="40"/>
        <v>0</v>
      </c>
      <c r="DE58" s="620">
        <f t="shared" si="41"/>
        <v>0</v>
      </c>
      <c r="DF58" s="1051" t="s">
        <v>66</v>
      </c>
      <c r="DG58" s="1080">
        <v>235055</v>
      </c>
      <c r="DH58" s="625">
        <f t="shared" si="42"/>
        <v>0</v>
      </c>
      <c r="DI58" s="625">
        <f t="shared" si="43"/>
        <v>0</v>
      </c>
      <c r="DJ58" s="626" t="str">
        <f t="shared" si="44"/>
        <v>00</v>
      </c>
    </row>
    <row r="59" spans="1:114" ht="15" customHeight="1">
      <c r="A59" s="1238"/>
      <c r="B59" s="1238"/>
      <c r="C59" s="1238"/>
      <c r="D59" s="1238"/>
      <c r="E59" s="1238"/>
      <c r="F59" s="1238"/>
      <c r="G59" s="1238"/>
      <c r="H59" s="1238"/>
      <c r="I59" s="1238"/>
      <c r="J59" s="1238"/>
      <c r="K59" s="1238"/>
      <c r="L59" s="1238"/>
      <c r="M59" s="1238"/>
      <c r="N59" s="1238"/>
      <c r="O59" s="1238"/>
      <c r="P59" s="1235">
        <v>56</v>
      </c>
      <c r="Q59" s="1386"/>
      <c r="R59" s="1387"/>
      <c r="S59" s="1368"/>
      <c r="T59" s="1369"/>
      <c r="U59" s="1391"/>
      <c r="V59" s="1360"/>
      <c r="W59" s="1067"/>
      <c r="X59" s="1063"/>
      <c r="Y59" s="1062"/>
      <c r="Z59" s="1153"/>
      <c r="AA59" s="1153"/>
      <c r="AB59" s="1361"/>
      <c r="AC59" s="1352" t="str">
        <f t="shared" si="4"/>
        <v>00</v>
      </c>
      <c r="AD59" s="524" t="str">
        <f t="shared" si="45"/>
        <v/>
      </c>
      <c r="AE59" s="525" t="str">
        <f>IF(AD59="","",VLOOKUP(AD59,所属コード!$A$2:$E$189,2,FALSE))</f>
        <v/>
      </c>
      <c r="AF59" s="1164" t="str">
        <f>IF(AD59="","",VLOOKUP(AD59,所属コード!$A$2:$G$189,7,FALSE))</f>
        <v/>
      </c>
      <c r="AG59" s="1166"/>
      <c r="AH59" s="77"/>
      <c r="AI59" s="77"/>
      <c r="AJ59" s="77"/>
      <c r="AK59" s="15"/>
      <c r="AM59" s="617"/>
      <c r="AN59" s="1090" t="str">
        <f t="shared" si="5"/>
        <v/>
      </c>
      <c r="AO59" s="618" t="str">
        <f t="shared" si="6"/>
        <v/>
      </c>
      <c r="AP59" s="617"/>
      <c r="AQ59" s="617"/>
      <c r="AR59" s="617"/>
      <c r="AS59" s="617"/>
      <c r="AT59" s="617"/>
      <c r="AU59" s="617"/>
      <c r="AV59" s="620"/>
      <c r="AW59" s="727"/>
      <c r="AX59" s="728"/>
      <c r="AY59" s="728"/>
      <c r="AZ59" s="728"/>
      <c r="BA59" s="728"/>
      <c r="BB59" s="728"/>
      <c r="BC59" s="728"/>
      <c r="BD59" s="728"/>
      <c r="BE59" s="728"/>
      <c r="BF59" s="728"/>
      <c r="BG59" s="728"/>
      <c r="BH59" s="728"/>
      <c r="BI59" s="728"/>
      <c r="BJ59" s="728"/>
      <c r="BK59" s="728"/>
      <c r="BL59" s="742"/>
      <c r="BM59" s="747">
        <f t="shared" si="7"/>
        <v>0</v>
      </c>
      <c r="BN59" s="738">
        <f t="shared" si="0"/>
        <v>0</v>
      </c>
      <c r="BO59" s="729">
        <f t="shared" si="1"/>
        <v>0</v>
      </c>
      <c r="BP59" s="730">
        <f t="shared" si="46"/>
        <v>0</v>
      </c>
      <c r="BQ59" s="729">
        <f t="shared" si="46"/>
        <v>0</v>
      </c>
      <c r="BR59" s="729">
        <f t="shared" si="8"/>
        <v>0</v>
      </c>
      <c r="BS59" s="729">
        <f t="shared" si="9"/>
        <v>0</v>
      </c>
      <c r="BT59" s="729">
        <f t="shared" si="10"/>
        <v>0</v>
      </c>
      <c r="BU59" s="729">
        <f t="shared" si="11"/>
        <v>0</v>
      </c>
      <c r="BV59" s="729">
        <f t="shared" si="12"/>
        <v>0</v>
      </c>
      <c r="BW59" s="729">
        <f t="shared" si="13"/>
        <v>0</v>
      </c>
      <c r="BX59" s="729">
        <f t="shared" si="13"/>
        <v>0</v>
      </c>
      <c r="BY59" s="729">
        <f t="shared" si="14"/>
        <v>0</v>
      </c>
      <c r="BZ59" s="729">
        <f t="shared" si="14"/>
        <v>0</v>
      </c>
      <c r="CA59" s="729">
        <f t="shared" si="15"/>
        <v>0</v>
      </c>
      <c r="CB59" s="729">
        <f t="shared" si="16"/>
        <v>0</v>
      </c>
      <c r="CC59" s="729">
        <f t="shared" si="16"/>
        <v>0</v>
      </c>
      <c r="CD59" s="729">
        <f t="shared" si="16"/>
        <v>0</v>
      </c>
      <c r="CE59" s="729">
        <f t="shared" si="17"/>
        <v>0</v>
      </c>
      <c r="CF59" s="729">
        <f t="shared" si="18"/>
        <v>0</v>
      </c>
      <c r="CG59" s="729">
        <f t="shared" si="19"/>
        <v>0</v>
      </c>
      <c r="CH59" s="729">
        <f t="shared" si="20"/>
        <v>0</v>
      </c>
      <c r="CI59" s="729">
        <f t="shared" si="21"/>
        <v>0</v>
      </c>
      <c r="CJ59" s="729">
        <f t="shared" si="22"/>
        <v>0</v>
      </c>
      <c r="CK59" s="729">
        <f t="shared" si="23"/>
        <v>0</v>
      </c>
      <c r="CL59" s="729">
        <f t="shared" si="24"/>
        <v>0</v>
      </c>
      <c r="CM59" s="729">
        <f t="shared" si="25"/>
        <v>0</v>
      </c>
      <c r="CN59" s="729">
        <f t="shared" si="26"/>
        <v>0</v>
      </c>
      <c r="CO59" s="729">
        <f t="shared" si="27"/>
        <v>0</v>
      </c>
      <c r="CP59" s="729">
        <f t="shared" si="28"/>
        <v>0</v>
      </c>
      <c r="CQ59" s="729">
        <f t="shared" si="29"/>
        <v>0</v>
      </c>
      <c r="CR59" s="729">
        <f t="shared" si="30"/>
        <v>0</v>
      </c>
      <c r="CS59" s="729">
        <f t="shared" si="31"/>
        <v>0</v>
      </c>
      <c r="CT59" s="729">
        <f t="shared" si="31"/>
        <v>0</v>
      </c>
      <c r="CU59" s="731">
        <f t="shared" si="32"/>
        <v>0</v>
      </c>
      <c r="CV59" s="692" t="str">
        <f t="shared" si="33"/>
        <v/>
      </c>
      <c r="CW59" s="659" t="str">
        <f t="shared" si="34"/>
        <v/>
      </c>
      <c r="CX59" s="659" t="str">
        <f t="shared" si="35"/>
        <v/>
      </c>
      <c r="CY59" s="659" t="str">
        <f t="shared" si="36"/>
        <v/>
      </c>
      <c r="CZ59" s="659" t="str">
        <f t="shared" si="37"/>
        <v/>
      </c>
      <c r="DA59" s="659" t="str">
        <f t="shared" si="38"/>
        <v/>
      </c>
      <c r="DB59" s="82" t="str">
        <f t="shared" si="39"/>
        <v/>
      </c>
      <c r="DC59" s="625" t="str">
        <f t="shared" si="3"/>
        <v/>
      </c>
      <c r="DD59" s="625" t="str">
        <f t="shared" si="40"/>
        <v>0</v>
      </c>
      <c r="DE59" s="620">
        <f t="shared" si="41"/>
        <v>0</v>
      </c>
      <c r="DF59" s="1051" t="s">
        <v>170</v>
      </c>
      <c r="DG59" s="1080">
        <v>235056</v>
      </c>
      <c r="DH59" s="625">
        <f t="shared" si="42"/>
        <v>0</v>
      </c>
      <c r="DI59" s="625">
        <f t="shared" si="43"/>
        <v>0</v>
      </c>
      <c r="DJ59" s="626" t="str">
        <f t="shared" si="44"/>
        <v>00</v>
      </c>
    </row>
    <row r="60" spans="1:114" ht="15" customHeight="1">
      <c r="A60" s="1238"/>
      <c r="B60" s="1238"/>
      <c r="C60" s="1238"/>
      <c r="D60" s="1238"/>
      <c r="E60" s="1238"/>
      <c r="F60" s="1238"/>
      <c r="G60" s="1238"/>
      <c r="H60" s="1238"/>
      <c r="I60" s="1238"/>
      <c r="J60" s="1238"/>
      <c r="K60" s="1238"/>
      <c r="L60" s="1238"/>
      <c r="M60" s="1238"/>
      <c r="N60" s="1238"/>
      <c r="O60" s="1238"/>
      <c r="P60" s="1235">
        <v>57</v>
      </c>
      <c r="Q60" s="1386"/>
      <c r="R60" s="1387"/>
      <c r="S60" s="1368"/>
      <c r="T60" s="1369"/>
      <c r="U60" s="1391"/>
      <c r="V60" s="1360"/>
      <c r="W60" s="1067"/>
      <c r="X60" s="1063"/>
      <c r="Y60" s="1062"/>
      <c r="Z60" s="1153"/>
      <c r="AA60" s="1153"/>
      <c r="AB60" s="1361"/>
      <c r="AC60" s="1352" t="str">
        <f t="shared" si="4"/>
        <v>00</v>
      </c>
      <c r="AD60" s="524" t="str">
        <f t="shared" si="45"/>
        <v/>
      </c>
      <c r="AE60" s="525" t="str">
        <f>IF(AD60="","",VLOOKUP(AD60,所属コード!$A$2:$E$189,2,FALSE))</f>
        <v/>
      </c>
      <c r="AF60" s="1164" t="str">
        <f>IF(AD60="","",VLOOKUP(AD60,所属コード!$A$2:$G$189,7,FALSE))</f>
        <v/>
      </c>
      <c r="AG60" s="1166"/>
      <c r="AH60" s="77"/>
      <c r="AI60" s="77"/>
      <c r="AJ60" s="77"/>
      <c r="AK60" s="15"/>
      <c r="AM60" s="617"/>
      <c r="AN60" s="1090" t="str">
        <f t="shared" si="5"/>
        <v/>
      </c>
      <c r="AO60" s="618" t="str">
        <f t="shared" si="6"/>
        <v/>
      </c>
      <c r="AP60" s="617"/>
      <c r="AQ60" s="617"/>
      <c r="AR60" s="617"/>
      <c r="AS60" s="617"/>
      <c r="AT60" s="617"/>
      <c r="AU60" s="617"/>
      <c r="AV60" s="620"/>
      <c r="AW60" s="727"/>
      <c r="AX60" s="728"/>
      <c r="AY60" s="728"/>
      <c r="AZ60" s="728"/>
      <c r="BA60" s="728"/>
      <c r="BB60" s="728"/>
      <c r="BC60" s="728"/>
      <c r="BD60" s="728"/>
      <c r="BE60" s="728"/>
      <c r="BF60" s="728"/>
      <c r="BG60" s="728"/>
      <c r="BH60" s="728"/>
      <c r="BI60" s="728"/>
      <c r="BJ60" s="728"/>
      <c r="BK60" s="728"/>
      <c r="BL60" s="742"/>
      <c r="BM60" s="747">
        <f t="shared" si="7"/>
        <v>0</v>
      </c>
      <c r="BN60" s="738">
        <f t="shared" si="0"/>
        <v>0</v>
      </c>
      <c r="BO60" s="729">
        <f t="shared" si="1"/>
        <v>0</v>
      </c>
      <c r="BP60" s="730">
        <f t="shared" si="46"/>
        <v>0</v>
      </c>
      <c r="BQ60" s="729">
        <f t="shared" si="46"/>
        <v>0</v>
      </c>
      <c r="BR60" s="729">
        <f t="shared" si="8"/>
        <v>0</v>
      </c>
      <c r="BS60" s="729">
        <f t="shared" si="9"/>
        <v>0</v>
      </c>
      <c r="BT60" s="729">
        <f t="shared" si="10"/>
        <v>0</v>
      </c>
      <c r="BU60" s="729">
        <f t="shared" si="11"/>
        <v>0</v>
      </c>
      <c r="BV60" s="729">
        <f t="shared" si="12"/>
        <v>0</v>
      </c>
      <c r="BW60" s="729">
        <f t="shared" si="13"/>
        <v>0</v>
      </c>
      <c r="BX60" s="729">
        <f t="shared" si="13"/>
        <v>0</v>
      </c>
      <c r="BY60" s="729">
        <f t="shared" si="14"/>
        <v>0</v>
      </c>
      <c r="BZ60" s="729">
        <f t="shared" si="14"/>
        <v>0</v>
      </c>
      <c r="CA60" s="729">
        <f t="shared" si="15"/>
        <v>0</v>
      </c>
      <c r="CB60" s="729">
        <f t="shared" si="16"/>
        <v>0</v>
      </c>
      <c r="CC60" s="729">
        <f t="shared" si="16"/>
        <v>0</v>
      </c>
      <c r="CD60" s="729">
        <f t="shared" si="16"/>
        <v>0</v>
      </c>
      <c r="CE60" s="729">
        <f t="shared" si="17"/>
        <v>0</v>
      </c>
      <c r="CF60" s="729">
        <f t="shared" si="18"/>
        <v>0</v>
      </c>
      <c r="CG60" s="729">
        <f t="shared" si="19"/>
        <v>0</v>
      </c>
      <c r="CH60" s="729">
        <f t="shared" si="20"/>
        <v>0</v>
      </c>
      <c r="CI60" s="729">
        <f t="shared" si="21"/>
        <v>0</v>
      </c>
      <c r="CJ60" s="729">
        <f t="shared" si="22"/>
        <v>0</v>
      </c>
      <c r="CK60" s="729">
        <f t="shared" si="23"/>
        <v>0</v>
      </c>
      <c r="CL60" s="729">
        <f t="shared" si="24"/>
        <v>0</v>
      </c>
      <c r="CM60" s="729">
        <f t="shared" si="25"/>
        <v>0</v>
      </c>
      <c r="CN60" s="729">
        <f t="shared" si="26"/>
        <v>0</v>
      </c>
      <c r="CO60" s="729">
        <f t="shared" si="27"/>
        <v>0</v>
      </c>
      <c r="CP60" s="729">
        <f t="shared" si="28"/>
        <v>0</v>
      </c>
      <c r="CQ60" s="729">
        <f t="shared" si="29"/>
        <v>0</v>
      </c>
      <c r="CR60" s="729">
        <f t="shared" si="30"/>
        <v>0</v>
      </c>
      <c r="CS60" s="729">
        <f t="shared" si="31"/>
        <v>0</v>
      </c>
      <c r="CT60" s="729">
        <f t="shared" si="31"/>
        <v>0</v>
      </c>
      <c r="CU60" s="731">
        <f t="shared" si="32"/>
        <v>0</v>
      </c>
      <c r="CV60" s="692" t="str">
        <f t="shared" si="33"/>
        <v/>
      </c>
      <c r="CW60" s="659" t="str">
        <f t="shared" si="34"/>
        <v/>
      </c>
      <c r="CX60" s="659" t="str">
        <f t="shared" si="35"/>
        <v/>
      </c>
      <c r="CY60" s="659" t="str">
        <f t="shared" si="36"/>
        <v/>
      </c>
      <c r="CZ60" s="659" t="str">
        <f t="shared" si="37"/>
        <v/>
      </c>
      <c r="DA60" s="659" t="str">
        <f t="shared" si="38"/>
        <v/>
      </c>
      <c r="DB60" s="82" t="str">
        <f t="shared" si="39"/>
        <v/>
      </c>
      <c r="DC60" s="625" t="str">
        <f t="shared" si="3"/>
        <v/>
      </c>
      <c r="DD60" s="625" t="str">
        <f t="shared" si="40"/>
        <v>0</v>
      </c>
      <c r="DE60" s="620">
        <f t="shared" si="41"/>
        <v>0</v>
      </c>
      <c r="DF60" s="1051" t="s">
        <v>284</v>
      </c>
      <c r="DG60" s="1080">
        <v>235057</v>
      </c>
      <c r="DH60" s="625">
        <f t="shared" si="42"/>
        <v>0</v>
      </c>
      <c r="DI60" s="625">
        <f t="shared" si="43"/>
        <v>0</v>
      </c>
      <c r="DJ60" s="626" t="str">
        <f t="shared" si="44"/>
        <v>00</v>
      </c>
    </row>
    <row r="61" spans="1:114" ht="15" customHeight="1">
      <c r="A61" s="1238"/>
      <c r="B61" s="1238"/>
      <c r="C61" s="1238"/>
      <c r="D61" s="1238"/>
      <c r="E61" s="1238"/>
      <c r="F61" s="1238"/>
      <c r="G61" s="1238"/>
      <c r="H61" s="1238"/>
      <c r="I61" s="1238"/>
      <c r="J61" s="1238"/>
      <c r="K61" s="1238"/>
      <c r="L61" s="1238"/>
      <c r="M61" s="1238"/>
      <c r="N61" s="1238"/>
      <c r="O61" s="1238"/>
      <c r="P61" s="1235">
        <v>58</v>
      </c>
      <c r="Q61" s="1386"/>
      <c r="R61" s="1387"/>
      <c r="S61" s="1368"/>
      <c r="T61" s="1369"/>
      <c r="U61" s="1391"/>
      <c r="V61" s="1360"/>
      <c r="W61" s="1067"/>
      <c r="X61" s="1063"/>
      <c r="Y61" s="1062"/>
      <c r="Z61" s="1153"/>
      <c r="AA61" s="1153"/>
      <c r="AB61" s="1361"/>
      <c r="AC61" s="1352" t="str">
        <f t="shared" si="4"/>
        <v>00</v>
      </c>
      <c r="AD61" s="524" t="str">
        <f t="shared" si="45"/>
        <v/>
      </c>
      <c r="AE61" s="525" t="str">
        <f>IF(AD61="","",VLOOKUP(AD61,所属コード!$A$2:$E$189,2,FALSE))</f>
        <v/>
      </c>
      <c r="AF61" s="1164" t="str">
        <f>IF(AD61="","",VLOOKUP(AD61,所属コード!$A$2:$G$189,7,FALSE))</f>
        <v/>
      </c>
      <c r="AG61" s="1166"/>
      <c r="AH61" s="77"/>
      <c r="AI61" s="77"/>
      <c r="AJ61" s="77"/>
      <c r="AK61" s="15"/>
      <c r="AM61" s="617"/>
      <c r="AN61" s="1090" t="str">
        <f t="shared" si="5"/>
        <v/>
      </c>
      <c r="AO61" s="618" t="str">
        <f t="shared" si="6"/>
        <v/>
      </c>
      <c r="AP61" s="617"/>
      <c r="AQ61" s="617"/>
      <c r="AR61" s="617"/>
      <c r="AS61" s="617"/>
      <c r="AT61" s="617"/>
      <c r="AU61" s="617"/>
      <c r="AV61" s="620"/>
      <c r="AW61" s="727"/>
      <c r="AX61" s="728"/>
      <c r="AY61" s="728"/>
      <c r="AZ61" s="728"/>
      <c r="BA61" s="728"/>
      <c r="BB61" s="728"/>
      <c r="BC61" s="728"/>
      <c r="BD61" s="728"/>
      <c r="BE61" s="728"/>
      <c r="BF61" s="728"/>
      <c r="BG61" s="728"/>
      <c r="BH61" s="728"/>
      <c r="BI61" s="728"/>
      <c r="BJ61" s="728"/>
      <c r="BK61" s="728"/>
      <c r="BL61" s="742"/>
      <c r="BM61" s="747">
        <f t="shared" si="7"/>
        <v>0</v>
      </c>
      <c r="BN61" s="738">
        <f t="shared" si="0"/>
        <v>0</v>
      </c>
      <c r="BO61" s="729">
        <f t="shared" si="1"/>
        <v>0</v>
      </c>
      <c r="BP61" s="730">
        <f t="shared" si="46"/>
        <v>0</v>
      </c>
      <c r="BQ61" s="729">
        <f t="shared" si="46"/>
        <v>0</v>
      </c>
      <c r="BR61" s="729">
        <f t="shared" si="8"/>
        <v>0</v>
      </c>
      <c r="BS61" s="729">
        <f t="shared" si="9"/>
        <v>0</v>
      </c>
      <c r="BT61" s="729">
        <f t="shared" si="10"/>
        <v>0</v>
      </c>
      <c r="BU61" s="729">
        <f t="shared" si="11"/>
        <v>0</v>
      </c>
      <c r="BV61" s="729">
        <f t="shared" si="12"/>
        <v>0</v>
      </c>
      <c r="BW61" s="729">
        <f t="shared" si="13"/>
        <v>0</v>
      </c>
      <c r="BX61" s="729">
        <f t="shared" si="13"/>
        <v>0</v>
      </c>
      <c r="BY61" s="729">
        <f t="shared" si="14"/>
        <v>0</v>
      </c>
      <c r="BZ61" s="729">
        <f t="shared" si="14"/>
        <v>0</v>
      </c>
      <c r="CA61" s="729">
        <f t="shared" si="15"/>
        <v>0</v>
      </c>
      <c r="CB61" s="729">
        <f t="shared" si="16"/>
        <v>0</v>
      </c>
      <c r="CC61" s="729">
        <f t="shared" si="16"/>
        <v>0</v>
      </c>
      <c r="CD61" s="729">
        <f t="shared" si="16"/>
        <v>0</v>
      </c>
      <c r="CE61" s="729">
        <f t="shared" si="17"/>
        <v>0</v>
      </c>
      <c r="CF61" s="729">
        <f t="shared" si="18"/>
        <v>0</v>
      </c>
      <c r="CG61" s="729">
        <f t="shared" si="19"/>
        <v>0</v>
      </c>
      <c r="CH61" s="729">
        <f t="shared" si="20"/>
        <v>0</v>
      </c>
      <c r="CI61" s="729">
        <f t="shared" si="21"/>
        <v>0</v>
      </c>
      <c r="CJ61" s="729">
        <f t="shared" si="22"/>
        <v>0</v>
      </c>
      <c r="CK61" s="729">
        <f t="shared" si="23"/>
        <v>0</v>
      </c>
      <c r="CL61" s="729">
        <f t="shared" si="24"/>
        <v>0</v>
      </c>
      <c r="CM61" s="729">
        <f t="shared" si="25"/>
        <v>0</v>
      </c>
      <c r="CN61" s="729">
        <f t="shared" si="26"/>
        <v>0</v>
      </c>
      <c r="CO61" s="729">
        <f t="shared" si="27"/>
        <v>0</v>
      </c>
      <c r="CP61" s="729">
        <f t="shared" si="28"/>
        <v>0</v>
      </c>
      <c r="CQ61" s="729">
        <f t="shared" si="29"/>
        <v>0</v>
      </c>
      <c r="CR61" s="729">
        <f t="shared" si="30"/>
        <v>0</v>
      </c>
      <c r="CS61" s="729">
        <f t="shared" si="31"/>
        <v>0</v>
      </c>
      <c r="CT61" s="729">
        <f t="shared" si="31"/>
        <v>0</v>
      </c>
      <c r="CU61" s="731">
        <f t="shared" si="32"/>
        <v>0</v>
      </c>
      <c r="CV61" s="692" t="str">
        <f t="shared" si="33"/>
        <v/>
      </c>
      <c r="CW61" s="659" t="str">
        <f t="shared" si="34"/>
        <v/>
      </c>
      <c r="CX61" s="659" t="str">
        <f t="shared" si="35"/>
        <v/>
      </c>
      <c r="CY61" s="659" t="str">
        <f t="shared" si="36"/>
        <v/>
      </c>
      <c r="CZ61" s="659" t="str">
        <f t="shared" si="37"/>
        <v/>
      </c>
      <c r="DA61" s="659" t="str">
        <f t="shared" si="38"/>
        <v/>
      </c>
      <c r="DB61" s="82" t="str">
        <f t="shared" si="39"/>
        <v/>
      </c>
      <c r="DC61" s="625" t="str">
        <f t="shared" si="3"/>
        <v/>
      </c>
      <c r="DD61" s="625" t="str">
        <f t="shared" si="40"/>
        <v>0</v>
      </c>
      <c r="DE61" s="620">
        <f t="shared" si="41"/>
        <v>0</v>
      </c>
      <c r="DF61" s="1051" t="s">
        <v>285</v>
      </c>
      <c r="DG61" s="1080">
        <v>235058</v>
      </c>
      <c r="DH61" s="625">
        <f t="shared" si="42"/>
        <v>0</v>
      </c>
      <c r="DI61" s="625">
        <f t="shared" si="43"/>
        <v>0</v>
      </c>
      <c r="DJ61" s="626" t="str">
        <f t="shared" si="44"/>
        <v>00</v>
      </c>
    </row>
    <row r="62" spans="1:114" ht="15" customHeight="1">
      <c r="A62" s="1238"/>
      <c r="B62" s="1238"/>
      <c r="C62" s="1238"/>
      <c r="D62" s="1238"/>
      <c r="E62" s="1238"/>
      <c r="F62" s="1238"/>
      <c r="G62" s="1238"/>
      <c r="H62" s="1238"/>
      <c r="I62" s="1238"/>
      <c r="J62" s="1238"/>
      <c r="K62" s="1238"/>
      <c r="L62" s="1238"/>
      <c r="M62" s="1238"/>
      <c r="N62" s="1238"/>
      <c r="O62" s="1238"/>
      <c r="P62" s="1235">
        <v>59</v>
      </c>
      <c r="Q62" s="1386"/>
      <c r="R62" s="1387"/>
      <c r="S62" s="1368"/>
      <c r="T62" s="1369"/>
      <c r="U62" s="1391"/>
      <c r="V62" s="1360"/>
      <c r="W62" s="1067"/>
      <c r="X62" s="1063"/>
      <c r="Y62" s="1062"/>
      <c r="Z62" s="1153"/>
      <c r="AA62" s="1153"/>
      <c r="AB62" s="1361"/>
      <c r="AC62" s="1352" t="str">
        <f t="shared" si="4"/>
        <v>00</v>
      </c>
      <c r="AD62" s="524" t="str">
        <f t="shared" si="45"/>
        <v/>
      </c>
      <c r="AE62" s="525" t="str">
        <f>IF(AD62="","",VLOOKUP(AD62,所属コード!$A$2:$E$189,2,FALSE))</f>
        <v/>
      </c>
      <c r="AF62" s="1164" t="str">
        <f>IF(AD62="","",VLOOKUP(AD62,所属コード!$A$2:$G$189,7,FALSE))</f>
        <v/>
      </c>
      <c r="AG62" s="1166"/>
      <c r="AH62" s="77"/>
      <c r="AI62" s="77"/>
      <c r="AJ62" s="77"/>
      <c r="AK62" s="15"/>
      <c r="AM62" s="617"/>
      <c r="AN62" s="1090" t="str">
        <f t="shared" si="5"/>
        <v/>
      </c>
      <c r="AO62" s="618" t="str">
        <f t="shared" si="6"/>
        <v/>
      </c>
      <c r="AP62" s="617"/>
      <c r="AQ62" s="617"/>
      <c r="AR62" s="617"/>
      <c r="AS62" s="617"/>
      <c r="AT62" s="617"/>
      <c r="AU62" s="617"/>
      <c r="AV62" s="620"/>
      <c r="AW62" s="727"/>
      <c r="AX62" s="728"/>
      <c r="AY62" s="728"/>
      <c r="AZ62" s="728"/>
      <c r="BA62" s="728"/>
      <c r="BB62" s="728"/>
      <c r="BC62" s="728"/>
      <c r="BD62" s="728"/>
      <c r="BE62" s="728"/>
      <c r="BF62" s="728"/>
      <c r="BG62" s="728"/>
      <c r="BH62" s="728"/>
      <c r="BI62" s="728"/>
      <c r="BJ62" s="728"/>
      <c r="BK62" s="728"/>
      <c r="BL62" s="742"/>
      <c r="BM62" s="747">
        <f t="shared" si="7"/>
        <v>0</v>
      </c>
      <c r="BN62" s="738">
        <f t="shared" si="0"/>
        <v>0</v>
      </c>
      <c r="BO62" s="729">
        <f t="shared" si="1"/>
        <v>0</v>
      </c>
      <c r="BP62" s="730">
        <f t="shared" si="46"/>
        <v>0</v>
      </c>
      <c r="BQ62" s="729">
        <f t="shared" si="46"/>
        <v>0</v>
      </c>
      <c r="BR62" s="729">
        <f t="shared" si="8"/>
        <v>0</v>
      </c>
      <c r="BS62" s="729">
        <f t="shared" si="9"/>
        <v>0</v>
      </c>
      <c r="BT62" s="729">
        <f t="shared" si="10"/>
        <v>0</v>
      </c>
      <c r="BU62" s="729">
        <f t="shared" si="11"/>
        <v>0</v>
      </c>
      <c r="BV62" s="729">
        <f t="shared" si="12"/>
        <v>0</v>
      </c>
      <c r="BW62" s="729">
        <f t="shared" si="13"/>
        <v>0</v>
      </c>
      <c r="BX62" s="729">
        <f t="shared" si="13"/>
        <v>0</v>
      </c>
      <c r="BY62" s="729">
        <f t="shared" si="14"/>
        <v>0</v>
      </c>
      <c r="BZ62" s="729">
        <f t="shared" si="14"/>
        <v>0</v>
      </c>
      <c r="CA62" s="729">
        <f t="shared" si="15"/>
        <v>0</v>
      </c>
      <c r="CB62" s="729">
        <f t="shared" si="16"/>
        <v>0</v>
      </c>
      <c r="CC62" s="729">
        <f t="shared" si="16"/>
        <v>0</v>
      </c>
      <c r="CD62" s="729">
        <f t="shared" si="16"/>
        <v>0</v>
      </c>
      <c r="CE62" s="729">
        <f t="shared" si="17"/>
        <v>0</v>
      </c>
      <c r="CF62" s="729">
        <f t="shared" si="18"/>
        <v>0</v>
      </c>
      <c r="CG62" s="729">
        <f t="shared" si="19"/>
        <v>0</v>
      </c>
      <c r="CH62" s="729">
        <f t="shared" si="20"/>
        <v>0</v>
      </c>
      <c r="CI62" s="729">
        <f t="shared" si="21"/>
        <v>0</v>
      </c>
      <c r="CJ62" s="729">
        <f t="shared" si="22"/>
        <v>0</v>
      </c>
      <c r="CK62" s="729">
        <f t="shared" si="23"/>
        <v>0</v>
      </c>
      <c r="CL62" s="729">
        <f t="shared" si="24"/>
        <v>0</v>
      </c>
      <c r="CM62" s="729">
        <f t="shared" si="25"/>
        <v>0</v>
      </c>
      <c r="CN62" s="729">
        <f t="shared" si="26"/>
        <v>0</v>
      </c>
      <c r="CO62" s="729">
        <f t="shared" si="27"/>
        <v>0</v>
      </c>
      <c r="CP62" s="729">
        <f t="shared" si="28"/>
        <v>0</v>
      </c>
      <c r="CQ62" s="729">
        <f t="shared" si="29"/>
        <v>0</v>
      </c>
      <c r="CR62" s="729">
        <f t="shared" si="30"/>
        <v>0</v>
      </c>
      <c r="CS62" s="729">
        <f t="shared" si="31"/>
        <v>0</v>
      </c>
      <c r="CT62" s="729">
        <f t="shared" si="31"/>
        <v>0</v>
      </c>
      <c r="CU62" s="731">
        <f t="shared" si="32"/>
        <v>0</v>
      </c>
      <c r="CV62" s="692" t="str">
        <f t="shared" si="33"/>
        <v/>
      </c>
      <c r="CW62" s="659" t="str">
        <f t="shared" si="34"/>
        <v/>
      </c>
      <c r="CX62" s="659" t="str">
        <f t="shared" si="35"/>
        <v/>
      </c>
      <c r="CY62" s="659" t="str">
        <f t="shared" si="36"/>
        <v/>
      </c>
      <c r="CZ62" s="659" t="str">
        <f t="shared" si="37"/>
        <v/>
      </c>
      <c r="DA62" s="659" t="str">
        <f t="shared" si="38"/>
        <v/>
      </c>
      <c r="DB62" s="82" t="str">
        <f t="shared" si="39"/>
        <v/>
      </c>
      <c r="DC62" s="625" t="str">
        <f t="shared" si="3"/>
        <v/>
      </c>
      <c r="DD62" s="625" t="str">
        <f t="shared" si="40"/>
        <v>0</v>
      </c>
      <c r="DE62" s="620">
        <f t="shared" si="41"/>
        <v>0</v>
      </c>
      <c r="DF62" s="1051" t="s">
        <v>67</v>
      </c>
      <c r="DG62" s="1080">
        <v>235059</v>
      </c>
      <c r="DH62" s="625">
        <f t="shared" si="42"/>
        <v>0</v>
      </c>
      <c r="DI62" s="625">
        <f t="shared" si="43"/>
        <v>0</v>
      </c>
      <c r="DJ62" s="626" t="str">
        <f t="shared" si="44"/>
        <v>00</v>
      </c>
    </row>
    <row r="63" spans="1:114" ht="15" customHeight="1">
      <c r="A63" s="1238"/>
      <c r="B63" s="1238"/>
      <c r="C63" s="1238"/>
      <c r="D63" s="1238"/>
      <c r="E63" s="1238"/>
      <c r="F63" s="1238"/>
      <c r="G63" s="1238"/>
      <c r="H63" s="1238"/>
      <c r="I63" s="1238"/>
      <c r="J63" s="1238"/>
      <c r="K63" s="1238"/>
      <c r="L63" s="1238"/>
      <c r="M63" s="1238"/>
      <c r="N63" s="1238"/>
      <c r="O63" s="1238"/>
      <c r="P63" s="1235">
        <v>60</v>
      </c>
      <c r="Q63" s="1386"/>
      <c r="R63" s="1387"/>
      <c r="S63" s="1368"/>
      <c r="T63" s="1369"/>
      <c r="U63" s="1391"/>
      <c r="V63" s="1360"/>
      <c r="W63" s="1061"/>
      <c r="X63" s="1062"/>
      <c r="Y63" s="1063"/>
      <c r="Z63" s="1153"/>
      <c r="AA63" s="1153"/>
      <c r="AB63" s="1361"/>
      <c r="AC63" s="1352" t="str">
        <f t="shared" si="4"/>
        <v>00</v>
      </c>
      <c r="AD63" s="524" t="str">
        <f t="shared" si="45"/>
        <v/>
      </c>
      <c r="AE63" s="525" t="str">
        <f>IF(AD63="","",VLOOKUP(AD63,所属コード!$A$2:$E$189,2,FALSE))</f>
        <v/>
      </c>
      <c r="AF63" s="1164" t="str">
        <f>IF(AD63="","",VLOOKUP(AD63,所属コード!$A$2:$G$189,7,FALSE))</f>
        <v/>
      </c>
      <c r="AG63" s="1166"/>
      <c r="AH63" s="77"/>
      <c r="AI63" s="77"/>
      <c r="AJ63" s="77"/>
      <c r="AK63" s="15"/>
      <c r="AM63" s="617"/>
      <c r="AN63" s="1090" t="str">
        <f t="shared" si="5"/>
        <v/>
      </c>
      <c r="AO63" s="618" t="str">
        <f t="shared" si="6"/>
        <v/>
      </c>
      <c r="AP63" s="617"/>
      <c r="AQ63" s="617"/>
      <c r="AR63" s="617"/>
      <c r="AS63" s="617"/>
      <c r="AT63" s="617"/>
      <c r="AU63" s="617"/>
      <c r="AV63" s="620"/>
      <c r="AW63" s="727"/>
      <c r="AX63" s="728"/>
      <c r="AY63" s="728"/>
      <c r="AZ63" s="728"/>
      <c r="BA63" s="728"/>
      <c r="BB63" s="728"/>
      <c r="BC63" s="728"/>
      <c r="BD63" s="728"/>
      <c r="BE63" s="728"/>
      <c r="BF63" s="728"/>
      <c r="BG63" s="728"/>
      <c r="BH63" s="728"/>
      <c r="BI63" s="728"/>
      <c r="BJ63" s="728"/>
      <c r="BK63" s="728"/>
      <c r="BL63" s="742"/>
      <c r="BM63" s="747">
        <f t="shared" si="7"/>
        <v>0</v>
      </c>
      <c r="BN63" s="738">
        <f t="shared" si="0"/>
        <v>0</v>
      </c>
      <c r="BO63" s="729">
        <f t="shared" si="1"/>
        <v>0</v>
      </c>
      <c r="BP63" s="730">
        <f t="shared" si="46"/>
        <v>0</v>
      </c>
      <c r="BQ63" s="729">
        <f t="shared" si="46"/>
        <v>0</v>
      </c>
      <c r="BR63" s="729">
        <f t="shared" si="8"/>
        <v>0</v>
      </c>
      <c r="BS63" s="729">
        <f t="shared" si="9"/>
        <v>0</v>
      </c>
      <c r="BT63" s="729">
        <f t="shared" si="10"/>
        <v>0</v>
      </c>
      <c r="BU63" s="729">
        <f t="shared" si="11"/>
        <v>0</v>
      </c>
      <c r="BV63" s="729">
        <f t="shared" si="12"/>
        <v>0</v>
      </c>
      <c r="BW63" s="729">
        <f t="shared" si="13"/>
        <v>0</v>
      </c>
      <c r="BX63" s="729">
        <f t="shared" si="13"/>
        <v>0</v>
      </c>
      <c r="BY63" s="729">
        <f t="shared" si="14"/>
        <v>0</v>
      </c>
      <c r="BZ63" s="729">
        <f t="shared" si="14"/>
        <v>0</v>
      </c>
      <c r="CA63" s="729">
        <f t="shared" si="15"/>
        <v>0</v>
      </c>
      <c r="CB63" s="729">
        <f t="shared" si="16"/>
        <v>0</v>
      </c>
      <c r="CC63" s="729">
        <f t="shared" si="16"/>
        <v>0</v>
      </c>
      <c r="CD63" s="729">
        <f t="shared" si="16"/>
        <v>0</v>
      </c>
      <c r="CE63" s="729">
        <f t="shared" si="17"/>
        <v>0</v>
      </c>
      <c r="CF63" s="729">
        <f t="shared" si="18"/>
        <v>0</v>
      </c>
      <c r="CG63" s="729">
        <f t="shared" si="19"/>
        <v>0</v>
      </c>
      <c r="CH63" s="729">
        <f t="shared" si="20"/>
        <v>0</v>
      </c>
      <c r="CI63" s="729">
        <f t="shared" si="21"/>
        <v>0</v>
      </c>
      <c r="CJ63" s="729">
        <f t="shared" si="22"/>
        <v>0</v>
      </c>
      <c r="CK63" s="729">
        <f t="shared" si="23"/>
        <v>0</v>
      </c>
      <c r="CL63" s="729">
        <f t="shared" si="24"/>
        <v>0</v>
      </c>
      <c r="CM63" s="729">
        <f t="shared" si="25"/>
        <v>0</v>
      </c>
      <c r="CN63" s="729">
        <f t="shared" si="26"/>
        <v>0</v>
      </c>
      <c r="CO63" s="729">
        <f t="shared" si="27"/>
        <v>0</v>
      </c>
      <c r="CP63" s="729">
        <f t="shared" si="28"/>
        <v>0</v>
      </c>
      <c r="CQ63" s="729">
        <f t="shared" si="29"/>
        <v>0</v>
      </c>
      <c r="CR63" s="729">
        <f t="shared" si="30"/>
        <v>0</v>
      </c>
      <c r="CS63" s="729">
        <f t="shared" si="31"/>
        <v>0</v>
      </c>
      <c r="CT63" s="729">
        <f t="shared" si="31"/>
        <v>0</v>
      </c>
      <c r="CU63" s="731">
        <f t="shared" si="32"/>
        <v>0</v>
      </c>
      <c r="CV63" s="692" t="str">
        <f t="shared" si="33"/>
        <v/>
      </c>
      <c r="CW63" s="659" t="str">
        <f t="shared" si="34"/>
        <v/>
      </c>
      <c r="CX63" s="659" t="str">
        <f t="shared" si="35"/>
        <v/>
      </c>
      <c r="CY63" s="659" t="str">
        <f t="shared" si="36"/>
        <v/>
      </c>
      <c r="CZ63" s="659" t="str">
        <f t="shared" si="37"/>
        <v/>
      </c>
      <c r="DA63" s="659" t="str">
        <f t="shared" si="38"/>
        <v/>
      </c>
      <c r="DB63" s="82" t="str">
        <f t="shared" si="39"/>
        <v/>
      </c>
      <c r="DC63" s="625" t="str">
        <f t="shared" si="3"/>
        <v/>
      </c>
      <c r="DD63" s="625" t="str">
        <f t="shared" si="40"/>
        <v>0</v>
      </c>
      <c r="DE63" s="620">
        <f t="shared" si="41"/>
        <v>0</v>
      </c>
      <c r="DF63" s="1051" t="s">
        <v>134</v>
      </c>
      <c r="DG63" s="1080">
        <v>235060</v>
      </c>
      <c r="DH63" s="625">
        <f t="shared" si="42"/>
        <v>0</v>
      </c>
      <c r="DI63" s="625">
        <f t="shared" si="43"/>
        <v>0</v>
      </c>
      <c r="DJ63" s="626" t="str">
        <f t="shared" si="44"/>
        <v>00</v>
      </c>
    </row>
    <row r="64" spans="1:114" ht="15" customHeight="1">
      <c r="A64" s="1238"/>
      <c r="B64" s="1238"/>
      <c r="C64" s="1238"/>
      <c r="D64" s="1238"/>
      <c r="E64" s="1238"/>
      <c r="F64" s="1238"/>
      <c r="G64" s="1238"/>
      <c r="H64" s="1238"/>
      <c r="I64" s="1238"/>
      <c r="J64" s="1238"/>
      <c r="K64" s="1238"/>
      <c r="L64" s="1238"/>
      <c r="M64" s="1238"/>
      <c r="N64" s="1238"/>
      <c r="O64" s="1238"/>
      <c r="P64" s="1235">
        <v>61</v>
      </c>
      <c r="Q64" s="1386"/>
      <c r="R64" s="1387"/>
      <c r="S64" s="1368"/>
      <c r="T64" s="1369"/>
      <c r="U64" s="1391"/>
      <c r="V64" s="1360"/>
      <c r="W64" s="1061"/>
      <c r="X64" s="1062"/>
      <c r="Y64" s="1063"/>
      <c r="Z64" s="1153"/>
      <c r="AA64" s="1153"/>
      <c r="AB64" s="1361"/>
      <c r="AC64" s="1352" t="str">
        <f t="shared" si="4"/>
        <v>00</v>
      </c>
      <c r="AD64" s="524" t="str">
        <f t="shared" si="45"/>
        <v/>
      </c>
      <c r="AE64" s="525" t="str">
        <f>IF(AD64="","",VLOOKUP(AD64,所属コード!$A$2:$E$189,2,FALSE))</f>
        <v/>
      </c>
      <c r="AF64" s="1164" t="str">
        <f>IF(AD64="","",VLOOKUP(AD64,所属コード!$A$2:$G$189,7,FALSE))</f>
        <v/>
      </c>
      <c r="AG64" s="1166"/>
      <c r="AH64" s="77"/>
      <c r="AI64" s="77"/>
      <c r="AJ64" s="77"/>
      <c r="AM64" s="617"/>
      <c r="AN64" s="1090" t="str">
        <f t="shared" si="5"/>
        <v/>
      </c>
      <c r="AO64" s="618" t="str">
        <f t="shared" si="6"/>
        <v/>
      </c>
      <c r="AP64" s="617"/>
      <c r="AQ64" s="617"/>
      <c r="AR64" s="617"/>
      <c r="AS64" s="617"/>
      <c r="AT64" s="617"/>
      <c r="AU64" s="617"/>
      <c r="AV64" s="620"/>
      <c r="AW64" s="727"/>
      <c r="AX64" s="728"/>
      <c r="AY64" s="728"/>
      <c r="AZ64" s="728"/>
      <c r="BA64" s="728"/>
      <c r="BB64" s="728"/>
      <c r="BC64" s="728"/>
      <c r="BD64" s="728"/>
      <c r="BE64" s="728"/>
      <c r="BF64" s="728"/>
      <c r="BG64" s="728"/>
      <c r="BH64" s="728"/>
      <c r="BI64" s="728"/>
      <c r="BJ64" s="728"/>
      <c r="BK64" s="728"/>
      <c r="BL64" s="742"/>
      <c r="BM64" s="747">
        <f t="shared" si="7"/>
        <v>0</v>
      </c>
      <c r="BN64" s="738">
        <f t="shared" si="0"/>
        <v>0</v>
      </c>
      <c r="BO64" s="729">
        <f t="shared" si="1"/>
        <v>0</v>
      </c>
      <c r="BP64" s="730">
        <f t="shared" si="46"/>
        <v>0</v>
      </c>
      <c r="BQ64" s="729">
        <f t="shared" si="46"/>
        <v>0</v>
      </c>
      <c r="BR64" s="729">
        <f t="shared" si="8"/>
        <v>0</v>
      </c>
      <c r="BS64" s="729">
        <f t="shared" si="9"/>
        <v>0</v>
      </c>
      <c r="BT64" s="729">
        <f t="shared" si="10"/>
        <v>0</v>
      </c>
      <c r="BU64" s="729">
        <f t="shared" si="11"/>
        <v>0</v>
      </c>
      <c r="BV64" s="729">
        <f t="shared" si="12"/>
        <v>0</v>
      </c>
      <c r="BW64" s="729">
        <f t="shared" si="13"/>
        <v>0</v>
      </c>
      <c r="BX64" s="729">
        <f t="shared" si="13"/>
        <v>0</v>
      </c>
      <c r="BY64" s="729">
        <f t="shared" si="14"/>
        <v>0</v>
      </c>
      <c r="BZ64" s="729">
        <f t="shared" si="14"/>
        <v>0</v>
      </c>
      <c r="CA64" s="729">
        <f t="shared" si="15"/>
        <v>0</v>
      </c>
      <c r="CB64" s="729">
        <f t="shared" si="16"/>
        <v>0</v>
      </c>
      <c r="CC64" s="729">
        <f t="shared" si="16"/>
        <v>0</v>
      </c>
      <c r="CD64" s="729">
        <f t="shared" si="16"/>
        <v>0</v>
      </c>
      <c r="CE64" s="729">
        <f t="shared" si="17"/>
        <v>0</v>
      </c>
      <c r="CF64" s="729">
        <f t="shared" si="18"/>
        <v>0</v>
      </c>
      <c r="CG64" s="729">
        <f t="shared" si="19"/>
        <v>0</v>
      </c>
      <c r="CH64" s="729">
        <f t="shared" si="20"/>
        <v>0</v>
      </c>
      <c r="CI64" s="729">
        <f t="shared" si="21"/>
        <v>0</v>
      </c>
      <c r="CJ64" s="729">
        <f t="shared" si="22"/>
        <v>0</v>
      </c>
      <c r="CK64" s="729">
        <f t="shared" si="23"/>
        <v>0</v>
      </c>
      <c r="CL64" s="729">
        <f t="shared" si="24"/>
        <v>0</v>
      </c>
      <c r="CM64" s="729">
        <f t="shared" si="25"/>
        <v>0</v>
      </c>
      <c r="CN64" s="729">
        <f t="shared" si="26"/>
        <v>0</v>
      </c>
      <c r="CO64" s="729">
        <f t="shared" si="27"/>
        <v>0</v>
      </c>
      <c r="CP64" s="729">
        <f t="shared" si="28"/>
        <v>0</v>
      </c>
      <c r="CQ64" s="729">
        <f t="shared" si="29"/>
        <v>0</v>
      </c>
      <c r="CR64" s="729">
        <f t="shared" si="30"/>
        <v>0</v>
      </c>
      <c r="CS64" s="729">
        <f t="shared" si="31"/>
        <v>0</v>
      </c>
      <c r="CT64" s="729">
        <f t="shared" si="31"/>
        <v>0</v>
      </c>
      <c r="CU64" s="731">
        <f t="shared" si="32"/>
        <v>0</v>
      </c>
      <c r="CV64" s="692" t="str">
        <f t="shared" si="33"/>
        <v/>
      </c>
      <c r="CW64" s="659" t="str">
        <f t="shared" si="34"/>
        <v/>
      </c>
      <c r="CX64" s="659" t="str">
        <f t="shared" si="35"/>
        <v/>
      </c>
      <c r="CY64" s="659" t="str">
        <f t="shared" si="36"/>
        <v/>
      </c>
      <c r="CZ64" s="659" t="str">
        <f t="shared" si="37"/>
        <v/>
      </c>
      <c r="DA64" s="659" t="str">
        <f t="shared" si="38"/>
        <v/>
      </c>
      <c r="DB64" s="82" t="str">
        <f t="shared" si="39"/>
        <v/>
      </c>
      <c r="DC64" s="625" t="str">
        <f t="shared" si="3"/>
        <v/>
      </c>
      <c r="DD64" s="625" t="str">
        <f t="shared" si="40"/>
        <v>0</v>
      </c>
      <c r="DE64" s="620">
        <f t="shared" si="41"/>
        <v>0</v>
      </c>
      <c r="DF64" s="1051" t="s">
        <v>68</v>
      </c>
      <c r="DG64" s="1080">
        <v>235061</v>
      </c>
      <c r="DH64" s="625">
        <f t="shared" si="42"/>
        <v>0</v>
      </c>
      <c r="DI64" s="625">
        <f t="shared" si="43"/>
        <v>0</v>
      </c>
      <c r="DJ64" s="626" t="str">
        <f t="shared" si="44"/>
        <v>00</v>
      </c>
    </row>
    <row r="65" spans="1:114" ht="15" customHeight="1">
      <c r="A65" s="1238"/>
      <c r="B65" s="1238"/>
      <c r="C65" s="1238"/>
      <c r="D65" s="1238"/>
      <c r="E65" s="1238"/>
      <c r="F65" s="1238"/>
      <c r="G65" s="1238"/>
      <c r="H65" s="1238"/>
      <c r="I65" s="1238"/>
      <c r="J65" s="1238"/>
      <c r="K65" s="1238"/>
      <c r="L65" s="1238"/>
      <c r="M65" s="1238"/>
      <c r="N65" s="1238"/>
      <c r="O65" s="1238"/>
      <c r="P65" s="1235">
        <v>62</v>
      </c>
      <c r="Q65" s="1386"/>
      <c r="R65" s="1387"/>
      <c r="S65" s="1368"/>
      <c r="T65" s="1369"/>
      <c r="U65" s="1391"/>
      <c r="V65" s="1360"/>
      <c r="W65" s="1061"/>
      <c r="X65" s="1062"/>
      <c r="Y65" s="1063"/>
      <c r="Z65" s="1153"/>
      <c r="AA65" s="1153"/>
      <c r="AB65" s="1361"/>
      <c r="AC65" s="1352" t="str">
        <f t="shared" si="4"/>
        <v>00</v>
      </c>
      <c r="AD65" s="524" t="str">
        <f t="shared" si="45"/>
        <v/>
      </c>
      <c r="AE65" s="525" t="str">
        <f>IF(AD65="","",VLOOKUP(AD65,所属コード!$A$2:$E$189,2,FALSE))</f>
        <v/>
      </c>
      <c r="AF65" s="1164" t="str">
        <f>IF(AD65="","",VLOOKUP(AD65,所属コード!$A$2:$G$189,7,FALSE))</f>
        <v/>
      </c>
      <c r="AG65" s="1166"/>
      <c r="AH65" s="77"/>
      <c r="AI65" s="77"/>
      <c r="AJ65" s="77"/>
      <c r="AM65" s="617"/>
      <c r="AN65" s="1090" t="str">
        <f t="shared" si="5"/>
        <v/>
      </c>
      <c r="AO65" s="618" t="str">
        <f t="shared" si="6"/>
        <v/>
      </c>
      <c r="AP65" s="617"/>
      <c r="AQ65" s="617"/>
      <c r="AR65" s="617"/>
      <c r="AS65" s="617"/>
      <c r="AT65" s="617"/>
      <c r="AU65" s="617"/>
      <c r="AV65" s="620"/>
      <c r="AW65" s="727"/>
      <c r="AX65" s="728"/>
      <c r="AY65" s="728"/>
      <c r="AZ65" s="728"/>
      <c r="BA65" s="728"/>
      <c r="BB65" s="728"/>
      <c r="BC65" s="728"/>
      <c r="BD65" s="728"/>
      <c r="BE65" s="728"/>
      <c r="BF65" s="728"/>
      <c r="BG65" s="728"/>
      <c r="BH65" s="728"/>
      <c r="BI65" s="728"/>
      <c r="BJ65" s="728"/>
      <c r="BK65" s="728"/>
      <c r="BL65" s="742"/>
      <c r="BM65" s="747">
        <f t="shared" si="7"/>
        <v>0</v>
      </c>
      <c r="BN65" s="738">
        <f t="shared" si="0"/>
        <v>0</v>
      </c>
      <c r="BO65" s="729">
        <f t="shared" si="1"/>
        <v>0</v>
      </c>
      <c r="BP65" s="730">
        <f t="shared" si="46"/>
        <v>0</v>
      </c>
      <c r="BQ65" s="729">
        <f t="shared" si="46"/>
        <v>0</v>
      </c>
      <c r="BR65" s="729">
        <f t="shared" si="8"/>
        <v>0</v>
      </c>
      <c r="BS65" s="729">
        <f t="shared" si="9"/>
        <v>0</v>
      </c>
      <c r="BT65" s="729">
        <f t="shared" si="10"/>
        <v>0</v>
      </c>
      <c r="BU65" s="729">
        <f t="shared" si="11"/>
        <v>0</v>
      </c>
      <c r="BV65" s="729">
        <f t="shared" si="12"/>
        <v>0</v>
      </c>
      <c r="BW65" s="729">
        <f t="shared" si="13"/>
        <v>0</v>
      </c>
      <c r="BX65" s="729">
        <f t="shared" si="13"/>
        <v>0</v>
      </c>
      <c r="BY65" s="729">
        <f t="shared" si="14"/>
        <v>0</v>
      </c>
      <c r="BZ65" s="729">
        <f t="shared" si="14"/>
        <v>0</v>
      </c>
      <c r="CA65" s="729">
        <f t="shared" si="15"/>
        <v>0</v>
      </c>
      <c r="CB65" s="729">
        <f t="shared" si="16"/>
        <v>0</v>
      </c>
      <c r="CC65" s="729">
        <f t="shared" si="16"/>
        <v>0</v>
      </c>
      <c r="CD65" s="729">
        <f t="shared" si="16"/>
        <v>0</v>
      </c>
      <c r="CE65" s="729">
        <f t="shared" si="17"/>
        <v>0</v>
      </c>
      <c r="CF65" s="729">
        <f t="shared" si="18"/>
        <v>0</v>
      </c>
      <c r="CG65" s="729">
        <f t="shared" si="19"/>
        <v>0</v>
      </c>
      <c r="CH65" s="729">
        <f t="shared" si="20"/>
        <v>0</v>
      </c>
      <c r="CI65" s="729">
        <f t="shared" si="21"/>
        <v>0</v>
      </c>
      <c r="CJ65" s="729">
        <f t="shared" si="22"/>
        <v>0</v>
      </c>
      <c r="CK65" s="729">
        <f t="shared" si="23"/>
        <v>0</v>
      </c>
      <c r="CL65" s="729">
        <f t="shared" si="24"/>
        <v>0</v>
      </c>
      <c r="CM65" s="729">
        <f t="shared" si="25"/>
        <v>0</v>
      </c>
      <c r="CN65" s="729">
        <f t="shared" si="26"/>
        <v>0</v>
      </c>
      <c r="CO65" s="729">
        <f t="shared" si="27"/>
        <v>0</v>
      </c>
      <c r="CP65" s="729">
        <f t="shared" si="28"/>
        <v>0</v>
      </c>
      <c r="CQ65" s="729">
        <f t="shared" si="29"/>
        <v>0</v>
      </c>
      <c r="CR65" s="729">
        <f t="shared" si="30"/>
        <v>0</v>
      </c>
      <c r="CS65" s="729">
        <f t="shared" si="31"/>
        <v>0</v>
      </c>
      <c r="CT65" s="729">
        <f t="shared" si="31"/>
        <v>0</v>
      </c>
      <c r="CU65" s="731">
        <f t="shared" si="32"/>
        <v>0</v>
      </c>
      <c r="CV65" s="692" t="str">
        <f t="shared" si="33"/>
        <v/>
      </c>
      <c r="CW65" s="659" t="str">
        <f t="shared" si="34"/>
        <v/>
      </c>
      <c r="CX65" s="659" t="str">
        <f t="shared" si="35"/>
        <v/>
      </c>
      <c r="CY65" s="659" t="str">
        <f t="shared" si="36"/>
        <v/>
      </c>
      <c r="CZ65" s="659" t="str">
        <f t="shared" si="37"/>
        <v/>
      </c>
      <c r="DA65" s="659" t="str">
        <f t="shared" si="38"/>
        <v/>
      </c>
      <c r="DB65" s="82" t="str">
        <f t="shared" si="39"/>
        <v/>
      </c>
      <c r="DC65" s="625" t="str">
        <f t="shared" si="3"/>
        <v/>
      </c>
      <c r="DD65" s="625" t="str">
        <f t="shared" si="40"/>
        <v>0</v>
      </c>
      <c r="DE65" s="620">
        <f t="shared" si="41"/>
        <v>0</v>
      </c>
      <c r="DF65" s="1051" t="s">
        <v>135</v>
      </c>
      <c r="DG65" s="1080">
        <v>235062</v>
      </c>
      <c r="DH65" s="625">
        <f t="shared" si="42"/>
        <v>0</v>
      </c>
      <c r="DI65" s="625">
        <f t="shared" si="43"/>
        <v>0</v>
      </c>
      <c r="DJ65" s="626" t="str">
        <f t="shared" si="44"/>
        <v>00</v>
      </c>
    </row>
    <row r="66" spans="1:114" ht="15" customHeight="1">
      <c r="A66" s="1238"/>
      <c r="B66" s="1238"/>
      <c r="C66" s="1238"/>
      <c r="D66" s="1238"/>
      <c r="E66" s="1238"/>
      <c r="F66" s="1238"/>
      <c r="G66" s="1238"/>
      <c r="H66" s="1238"/>
      <c r="I66" s="1238"/>
      <c r="J66" s="1238"/>
      <c r="K66" s="1238"/>
      <c r="L66" s="1238"/>
      <c r="M66" s="1238"/>
      <c r="N66" s="1238"/>
      <c r="O66" s="1238"/>
      <c r="P66" s="1235">
        <v>63</v>
      </c>
      <c r="Q66" s="1386"/>
      <c r="R66" s="1387"/>
      <c r="S66" s="1368"/>
      <c r="T66" s="1369"/>
      <c r="U66" s="1391"/>
      <c r="V66" s="1360"/>
      <c r="W66" s="1061"/>
      <c r="X66" s="1062"/>
      <c r="Y66" s="1063"/>
      <c r="Z66" s="1153"/>
      <c r="AA66" s="1153"/>
      <c r="AB66" s="1361"/>
      <c r="AC66" s="1352" t="str">
        <f t="shared" si="4"/>
        <v>00</v>
      </c>
      <c r="AD66" s="524" t="str">
        <f t="shared" si="45"/>
        <v/>
      </c>
      <c r="AE66" s="525" t="str">
        <f>IF(AD66="","",VLOOKUP(AD66,所属コード!$A$2:$E$189,2,FALSE))</f>
        <v/>
      </c>
      <c r="AF66" s="1164" t="str">
        <f>IF(AD66="","",VLOOKUP(AD66,所属コード!$A$2:$G$189,7,FALSE))</f>
        <v/>
      </c>
      <c r="AG66" s="1166"/>
      <c r="AH66" s="77"/>
      <c r="AI66" s="77"/>
      <c r="AJ66" s="77"/>
      <c r="AK66" s="15"/>
      <c r="AM66" s="617"/>
      <c r="AN66" s="1090" t="str">
        <f t="shared" si="5"/>
        <v/>
      </c>
      <c r="AO66" s="618" t="str">
        <f t="shared" si="6"/>
        <v/>
      </c>
      <c r="AP66" s="617"/>
      <c r="AQ66" s="617"/>
      <c r="AR66" s="617"/>
      <c r="AS66" s="617"/>
      <c r="AT66" s="617"/>
      <c r="AU66" s="617"/>
      <c r="AV66" s="620"/>
      <c r="AW66" s="727"/>
      <c r="AX66" s="728"/>
      <c r="AY66" s="728"/>
      <c r="AZ66" s="728"/>
      <c r="BA66" s="728"/>
      <c r="BB66" s="728"/>
      <c r="BC66" s="728"/>
      <c r="BD66" s="728"/>
      <c r="BE66" s="728"/>
      <c r="BF66" s="728"/>
      <c r="BG66" s="728"/>
      <c r="BH66" s="728"/>
      <c r="BI66" s="728"/>
      <c r="BJ66" s="728"/>
      <c r="BK66" s="728"/>
      <c r="BL66" s="742"/>
      <c r="BM66" s="747">
        <f t="shared" si="7"/>
        <v>0</v>
      </c>
      <c r="BN66" s="738">
        <f t="shared" si="0"/>
        <v>0</v>
      </c>
      <c r="BO66" s="729">
        <f t="shared" si="1"/>
        <v>0</v>
      </c>
      <c r="BP66" s="730">
        <f t="shared" si="46"/>
        <v>0</v>
      </c>
      <c r="BQ66" s="729">
        <f t="shared" si="46"/>
        <v>0</v>
      </c>
      <c r="BR66" s="729">
        <f t="shared" si="8"/>
        <v>0</v>
      </c>
      <c r="BS66" s="729">
        <f t="shared" si="9"/>
        <v>0</v>
      </c>
      <c r="BT66" s="729">
        <f t="shared" si="10"/>
        <v>0</v>
      </c>
      <c r="BU66" s="729">
        <f t="shared" si="11"/>
        <v>0</v>
      </c>
      <c r="BV66" s="729">
        <f t="shared" si="12"/>
        <v>0</v>
      </c>
      <c r="BW66" s="729">
        <f t="shared" si="13"/>
        <v>0</v>
      </c>
      <c r="BX66" s="729">
        <f t="shared" si="13"/>
        <v>0</v>
      </c>
      <c r="BY66" s="729">
        <f t="shared" si="14"/>
        <v>0</v>
      </c>
      <c r="BZ66" s="729">
        <f t="shared" si="14"/>
        <v>0</v>
      </c>
      <c r="CA66" s="729">
        <f t="shared" si="15"/>
        <v>0</v>
      </c>
      <c r="CB66" s="729">
        <f t="shared" si="16"/>
        <v>0</v>
      </c>
      <c r="CC66" s="729">
        <f t="shared" si="16"/>
        <v>0</v>
      </c>
      <c r="CD66" s="729">
        <f t="shared" si="16"/>
        <v>0</v>
      </c>
      <c r="CE66" s="729">
        <f t="shared" si="17"/>
        <v>0</v>
      </c>
      <c r="CF66" s="729">
        <f t="shared" si="18"/>
        <v>0</v>
      </c>
      <c r="CG66" s="729">
        <f t="shared" si="19"/>
        <v>0</v>
      </c>
      <c r="CH66" s="729">
        <f t="shared" si="20"/>
        <v>0</v>
      </c>
      <c r="CI66" s="729">
        <f t="shared" si="21"/>
        <v>0</v>
      </c>
      <c r="CJ66" s="729">
        <f t="shared" si="22"/>
        <v>0</v>
      </c>
      <c r="CK66" s="729">
        <f t="shared" si="23"/>
        <v>0</v>
      </c>
      <c r="CL66" s="729">
        <f t="shared" si="24"/>
        <v>0</v>
      </c>
      <c r="CM66" s="729">
        <f t="shared" si="25"/>
        <v>0</v>
      </c>
      <c r="CN66" s="729">
        <f t="shared" si="26"/>
        <v>0</v>
      </c>
      <c r="CO66" s="729">
        <f t="shared" si="27"/>
        <v>0</v>
      </c>
      <c r="CP66" s="729">
        <f t="shared" si="28"/>
        <v>0</v>
      </c>
      <c r="CQ66" s="729">
        <f t="shared" si="29"/>
        <v>0</v>
      </c>
      <c r="CR66" s="729">
        <f t="shared" si="30"/>
        <v>0</v>
      </c>
      <c r="CS66" s="729">
        <f t="shared" si="31"/>
        <v>0</v>
      </c>
      <c r="CT66" s="729">
        <f t="shared" si="31"/>
        <v>0</v>
      </c>
      <c r="CU66" s="731">
        <f t="shared" si="32"/>
        <v>0</v>
      </c>
      <c r="CV66" s="692" t="str">
        <f t="shared" si="33"/>
        <v/>
      </c>
      <c r="CW66" s="659" t="str">
        <f t="shared" si="34"/>
        <v/>
      </c>
      <c r="CX66" s="659" t="str">
        <f t="shared" si="35"/>
        <v/>
      </c>
      <c r="CY66" s="659" t="str">
        <f t="shared" si="36"/>
        <v/>
      </c>
      <c r="CZ66" s="659" t="str">
        <f t="shared" si="37"/>
        <v/>
      </c>
      <c r="DA66" s="659" t="str">
        <f t="shared" si="38"/>
        <v/>
      </c>
      <c r="DB66" s="82" t="str">
        <f t="shared" si="39"/>
        <v/>
      </c>
      <c r="DC66" s="625" t="str">
        <f t="shared" si="3"/>
        <v/>
      </c>
      <c r="DD66" s="625" t="str">
        <f t="shared" si="40"/>
        <v>0</v>
      </c>
      <c r="DE66" s="620">
        <f t="shared" si="41"/>
        <v>0</v>
      </c>
      <c r="DF66" s="1051" t="s">
        <v>133</v>
      </c>
      <c r="DG66" s="1080">
        <v>235063</v>
      </c>
      <c r="DH66" s="625">
        <f t="shared" si="42"/>
        <v>0</v>
      </c>
      <c r="DI66" s="625">
        <f t="shared" si="43"/>
        <v>0</v>
      </c>
      <c r="DJ66" s="626" t="str">
        <f t="shared" si="44"/>
        <v>00</v>
      </c>
    </row>
    <row r="67" spans="1:114" ht="15" customHeight="1">
      <c r="A67" s="1238"/>
      <c r="B67" s="1238"/>
      <c r="C67" s="1238"/>
      <c r="D67" s="1238"/>
      <c r="E67" s="1238"/>
      <c r="F67" s="1238"/>
      <c r="G67" s="1238"/>
      <c r="H67" s="1238"/>
      <c r="I67" s="1238"/>
      <c r="J67" s="1238"/>
      <c r="K67" s="1238"/>
      <c r="L67" s="1238"/>
      <c r="M67" s="1238"/>
      <c r="N67" s="1238"/>
      <c r="O67" s="1238"/>
      <c r="P67" s="1235">
        <v>64</v>
      </c>
      <c r="Q67" s="1386"/>
      <c r="R67" s="1387"/>
      <c r="S67" s="1368"/>
      <c r="T67" s="1369"/>
      <c r="U67" s="1391"/>
      <c r="V67" s="1360"/>
      <c r="W67" s="1061"/>
      <c r="X67" s="1062"/>
      <c r="Y67" s="1063"/>
      <c r="Z67" s="1153"/>
      <c r="AA67" s="1153"/>
      <c r="AB67" s="1361"/>
      <c r="AC67" s="1352" t="str">
        <f t="shared" si="4"/>
        <v>00</v>
      </c>
      <c r="AD67" s="524" t="str">
        <f t="shared" si="45"/>
        <v/>
      </c>
      <c r="AE67" s="525" t="str">
        <f>IF(AD67="","",VLOOKUP(AD67,所属コード!$A$2:$E$189,2,FALSE))</f>
        <v/>
      </c>
      <c r="AF67" s="1164" t="str">
        <f>IF(AD67="","",VLOOKUP(AD67,所属コード!$A$2:$G$189,7,FALSE))</f>
        <v/>
      </c>
      <c r="AG67" s="1166"/>
      <c r="AH67" s="77"/>
      <c r="AI67" s="77"/>
      <c r="AJ67" s="77"/>
      <c r="AK67" s="15"/>
      <c r="AM67" s="617"/>
      <c r="AN67" s="1090" t="str">
        <f t="shared" si="5"/>
        <v/>
      </c>
      <c r="AO67" s="618" t="str">
        <f t="shared" si="6"/>
        <v/>
      </c>
      <c r="AP67" s="617"/>
      <c r="AQ67" s="617"/>
      <c r="AR67" s="617"/>
      <c r="AS67" s="617"/>
      <c r="AT67" s="617"/>
      <c r="AU67" s="617"/>
      <c r="AV67" s="620"/>
      <c r="AW67" s="727"/>
      <c r="AX67" s="728"/>
      <c r="AY67" s="728"/>
      <c r="AZ67" s="728"/>
      <c r="BA67" s="728"/>
      <c r="BB67" s="728"/>
      <c r="BC67" s="728"/>
      <c r="BD67" s="728"/>
      <c r="BE67" s="728"/>
      <c r="BF67" s="728"/>
      <c r="BG67" s="728"/>
      <c r="BH67" s="728"/>
      <c r="BI67" s="728"/>
      <c r="BJ67" s="728"/>
      <c r="BK67" s="728"/>
      <c r="BL67" s="742"/>
      <c r="BM67" s="747">
        <f t="shared" si="7"/>
        <v>0</v>
      </c>
      <c r="BN67" s="738">
        <f t="shared" si="0"/>
        <v>0</v>
      </c>
      <c r="BO67" s="729">
        <f t="shared" si="1"/>
        <v>0</v>
      </c>
      <c r="BP67" s="730">
        <f t="shared" si="46"/>
        <v>0</v>
      </c>
      <c r="BQ67" s="729">
        <f t="shared" si="46"/>
        <v>0</v>
      </c>
      <c r="BR67" s="729">
        <f t="shared" si="8"/>
        <v>0</v>
      </c>
      <c r="BS67" s="729">
        <f t="shared" si="9"/>
        <v>0</v>
      </c>
      <c r="BT67" s="729">
        <f t="shared" si="10"/>
        <v>0</v>
      </c>
      <c r="BU67" s="729">
        <f t="shared" si="11"/>
        <v>0</v>
      </c>
      <c r="BV67" s="729">
        <f t="shared" si="12"/>
        <v>0</v>
      </c>
      <c r="BW67" s="729">
        <f t="shared" si="13"/>
        <v>0</v>
      </c>
      <c r="BX67" s="729">
        <f t="shared" si="13"/>
        <v>0</v>
      </c>
      <c r="BY67" s="729">
        <f t="shared" si="14"/>
        <v>0</v>
      </c>
      <c r="BZ67" s="729">
        <f t="shared" si="14"/>
        <v>0</v>
      </c>
      <c r="CA67" s="729">
        <f t="shared" si="15"/>
        <v>0</v>
      </c>
      <c r="CB67" s="729">
        <f t="shared" si="16"/>
        <v>0</v>
      </c>
      <c r="CC67" s="729">
        <f t="shared" si="16"/>
        <v>0</v>
      </c>
      <c r="CD67" s="729">
        <f t="shared" si="16"/>
        <v>0</v>
      </c>
      <c r="CE67" s="729">
        <f t="shared" si="17"/>
        <v>0</v>
      </c>
      <c r="CF67" s="729">
        <f t="shared" si="18"/>
        <v>0</v>
      </c>
      <c r="CG67" s="729">
        <f t="shared" si="19"/>
        <v>0</v>
      </c>
      <c r="CH67" s="729">
        <f t="shared" si="20"/>
        <v>0</v>
      </c>
      <c r="CI67" s="729">
        <f t="shared" si="21"/>
        <v>0</v>
      </c>
      <c r="CJ67" s="729">
        <f t="shared" si="22"/>
        <v>0</v>
      </c>
      <c r="CK67" s="729">
        <f t="shared" si="23"/>
        <v>0</v>
      </c>
      <c r="CL67" s="729">
        <f t="shared" si="24"/>
        <v>0</v>
      </c>
      <c r="CM67" s="729">
        <f t="shared" si="25"/>
        <v>0</v>
      </c>
      <c r="CN67" s="729">
        <f t="shared" si="26"/>
        <v>0</v>
      </c>
      <c r="CO67" s="729">
        <f t="shared" si="27"/>
        <v>0</v>
      </c>
      <c r="CP67" s="729">
        <f t="shared" si="28"/>
        <v>0</v>
      </c>
      <c r="CQ67" s="729">
        <f t="shared" si="29"/>
        <v>0</v>
      </c>
      <c r="CR67" s="729">
        <f t="shared" si="30"/>
        <v>0</v>
      </c>
      <c r="CS67" s="729">
        <f t="shared" si="31"/>
        <v>0</v>
      </c>
      <c r="CT67" s="729">
        <f t="shared" si="31"/>
        <v>0</v>
      </c>
      <c r="CU67" s="731">
        <f t="shared" si="32"/>
        <v>0</v>
      </c>
      <c r="CV67" s="692" t="str">
        <f t="shared" si="33"/>
        <v/>
      </c>
      <c r="CW67" s="659" t="str">
        <f t="shared" si="34"/>
        <v/>
      </c>
      <c r="CX67" s="659" t="str">
        <f t="shared" si="35"/>
        <v/>
      </c>
      <c r="CY67" s="659" t="str">
        <f t="shared" si="36"/>
        <v/>
      </c>
      <c r="CZ67" s="659" t="str">
        <f t="shared" si="37"/>
        <v/>
      </c>
      <c r="DA67" s="659" t="str">
        <f t="shared" si="38"/>
        <v/>
      </c>
      <c r="DB67" s="82" t="str">
        <f t="shared" si="39"/>
        <v/>
      </c>
      <c r="DC67" s="625" t="str">
        <f t="shared" si="3"/>
        <v/>
      </c>
      <c r="DD67" s="625" t="str">
        <f t="shared" si="40"/>
        <v>0</v>
      </c>
      <c r="DE67" s="620">
        <f t="shared" si="41"/>
        <v>0</v>
      </c>
      <c r="DF67" s="1051" t="s">
        <v>138</v>
      </c>
      <c r="DG67" s="1080">
        <v>235064</v>
      </c>
      <c r="DH67" s="625">
        <f t="shared" si="42"/>
        <v>0</v>
      </c>
      <c r="DI67" s="625">
        <f t="shared" si="43"/>
        <v>0</v>
      </c>
      <c r="DJ67" s="626" t="str">
        <f t="shared" si="44"/>
        <v>00</v>
      </c>
    </row>
    <row r="68" spans="1:114" ht="15" customHeight="1">
      <c r="A68" s="1238"/>
      <c r="B68" s="1238"/>
      <c r="C68" s="1238"/>
      <c r="D68" s="1238"/>
      <c r="E68" s="1238"/>
      <c r="F68" s="1238"/>
      <c r="G68" s="1238"/>
      <c r="H68" s="1238"/>
      <c r="I68" s="1238"/>
      <c r="J68" s="1238"/>
      <c r="K68" s="1238"/>
      <c r="L68" s="1238"/>
      <c r="M68" s="1238"/>
      <c r="N68" s="1238"/>
      <c r="O68" s="1238"/>
      <c r="P68" s="1235">
        <v>65</v>
      </c>
      <c r="Q68" s="1386"/>
      <c r="R68" s="1387"/>
      <c r="S68" s="1368"/>
      <c r="T68" s="1369"/>
      <c r="U68" s="1391"/>
      <c r="V68" s="1360"/>
      <c r="W68" s="1067"/>
      <c r="X68" s="1062"/>
      <c r="Y68" s="1063"/>
      <c r="Z68" s="1153"/>
      <c r="AA68" s="1153"/>
      <c r="AB68" s="1361"/>
      <c r="AC68" s="1352" t="str">
        <f t="shared" si="4"/>
        <v>00</v>
      </c>
      <c r="AD68" s="524" t="str">
        <f t="shared" si="45"/>
        <v/>
      </c>
      <c r="AE68" s="525" t="str">
        <f>IF(AD68="","",VLOOKUP(AD68,所属コード!$A$2:$E$189,2,FALSE))</f>
        <v/>
      </c>
      <c r="AF68" s="1164" t="str">
        <f>IF(AD68="","",VLOOKUP(AD68,所属コード!$A$2:$G$189,7,FALSE))</f>
        <v/>
      </c>
      <c r="AG68" s="1166"/>
      <c r="AH68" s="77"/>
      <c r="AI68" s="77"/>
      <c r="AJ68" s="77"/>
      <c r="AK68" s="15"/>
      <c r="AM68" s="617"/>
      <c r="AN68" s="1090" t="str">
        <f t="shared" si="5"/>
        <v/>
      </c>
      <c r="AO68" s="618" t="str">
        <f t="shared" si="6"/>
        <v/>
      </c>
      <c r="AP68" s="617"/>
      <c r="AQ68" s="617"/>
      <c r="AR68" s="617"/>
      <c r="AS68" s="617"/>
      <c r="AT68" s="617"/>
      <c r="AU68" s="617"/>
      <c r="AV68" s="620"/>
      <c r="AW68" s="727"/>
      <c r="AX68" s="728"/>
      <c r="AY68" s="728"/>
      <c r="AZ68" s="728"/>
      <c r="BA68" s="728"/>
      <c r="BB68" s="728"/>
      <c r="BC68" s="728"/>
      <c r="BD68" s="728"/>
      <c r="BE68" s="728"/>
      <c r="BF68" s="728"/>
      <c r="BG68" s="728"/>
      <c r="BH68" s="728"/>
      <c r="BI68" s="728"/>
      <c r="BJ68" s="728"/>
      <c r="BK68" s="728"/>
      <c r="BL68" s="742"/>
      <c r="BM68" s="747">
        <f t="shared" si="7"/>
        <v>0</v>
      </c>
      <c r="BN68" s="738">
        <f t="shared" ref="BN68:BN113" si="47">BD68</f>
        <v>0</v>
      </c>
      <c r="BO68" s="729">
        <f t="shared" ref="BO68:BO113" si="48">BD68</f>
        <v>0</v>
      </c>
      <c r="BP68" s="730">
        <f t="shared" ref="BP68:BQ99" si="49">BD68</f>
        <v>0</v>
      </c>
      <c r="BQ68" s="729">
        <f t="shared" si="49"/>
        <v>0</v>
      </c>
      <c r="BR68" s="729">
        <f t="shared" si="8"/>
        <v>0</v>
      </c>
      <c r="BS68" s="729">
        <f t="shared" si="9"/>
        <v>0</v>
      </c>
      <c r="BT68" s="729">
        <f t="shared" si="10"/>
        <v>0</v>
      </c>
      <c r="BU68" s="729">
        <f t="shared" si="11"/>
        <v>0</v>
      </c>
      <c r="BV68" s="729">
        <f t="shared" si="12"/>
        <v>0</v>
      </c>
      <c r="BW68" s="729">
        <f t="shared" si="13"/>
        <v>0</v>
      </c>
      <c r="BX68" s="729">
        <f t="shared" si="13"/>
        <v>0</v>
      </c>
      <c r="BY68" s="729">
        <f t="shared" si="14"/>
        <v>0</v>
      </c>
      <c r="BZ68" s="729">
        <f t="shared" si="14"/>
        <v>0</v>
      </c>
      <c r="CA68" s="729">
        <f t="shared" si="15"/>
        <v>0</v>
      </c>
      <c r="CB68" s="729">
        <f t="shared" si="16"/>
        <v>0</v>
      </c>
      <c r="CC68" s="729">
        <f t="shared" si="16"/>
        <v>0</v>
      </c>
      <c r="CD68" s="729">
        <f t="shared" si="16"/>
        <v>0</v>
      </c>
      <c r="CE68" s="729">
        <f t="shared" si="17"/>
        <v>0</v>
      </c>
      <c r="CF68" s="729">
        <f t="shared" si="18"/>
        <v>0</v>
      </c>
      <c r="CG68" s="729">
        <f t="shared" si="19"/>
        <v>0</v>
      </c>
      <c r="CH68" s="729">
        <f t="shared" si="20"/>
        <v>0</v>
      </c>
      <c r="CI68" s="729">
        <f t="shared" si="21"/>
        <v>0</v>
      </c>
      <c r="CJ68" s="729">
        <f t="shared" si="22"/>
        <v>0</v>
      </c>
      <c r="CK68" s="729">
        <f t="shared" si="23"/>
        <v>0</v>
      </c>
      <c r="CL68" s="729">
        <f t="shared" si="24"/>
        <v>0</v>
      </c>
      <c r="CM68" s="729">
        <f t="shared" si="25"/>
        <v>0</v>
      </c>
      <c r="CN68" s="729">
        <f t="shared" si="26"/>
        <v>0</v>
      </c>
      <c r="CO68" s="729">
        <f t="shared" si="27"/>
        <v>0</v>
      </c>
      <c r="CP68" s="729">
        <f t="shared" si="28"/>
        <v>0</v>
      </c>
      <c r="CQ68" s="729">
        <f t="shared" si="29"/>
        <v>0</v>
      </c>
      <c r="CR68" s="729">
        <f t="shared" si="30"/>
        <v>0</v>
      </c>
      <c r="CS68" s="729">
        <f t="shared" si="31"/>
        <v>0</v>
      </c>
      <c r="CT68" s="729">
        <f t="shared" si="31"/>
        <v>0</v>
      </c>
      <c r="CU68" s="731">
        <f t="shared" si="32"/>
        <v>0</v>
      </c>
      <c r="CV68" s="692" t="str">
        <f t="shared" si="33"/>
        <v/>
      </c>
      <c r="CW68" s="659" t="str">
        <f t="shared" si="34"/>
        <v/>
      </c>
      <c r="CX68" s="659" t="str">
        <f t="shared" si="35"/>
        <v/>
      </c>
      <c r="CY68" s="659" t="str">
        <f t="shared" si="36"/>
        <v/>
      </c>
      <c r="CZ68" s="659" t="str">
        <f t="shared" si="37"/>
        <v/>
      </c>
      <c r="DA68" s="659" t="str">
        <f t="shared" si="38"/>
        <v/>
      </c>
      <c r="DB68" s="82" t="str">
        <f t="shared" si="39"/>
        <v/>
      </c>
      <c r="DC68" s="625" t="str">
        <f t="shared" ref="DC68:DC113" si="50">IF(X68="3",3,IF(X68="2",2,IF(X68="1",1,IF(X68=1,1,IF(X68=2,2,IF(X68=3,3,""))))))</f>
        <v/>
      </c>
      <c r="DD68" s="625" t="str">
        <f t="shared" si="40"/>
        <v>0</v>
      </c>
      <c r="DE68" s="620">
        <f t="shared" si="41"/>
        <v>0</v>
      </c>
      <c r="DF68" s="1051" t="s">
        <v>136</v>
      </c>
      <c r="DG68" s="1080">
        <v>235065</v>
      </c>
      <c r="DH68" s="625">
        <f t="shared" si="42"/>
        <v>0</v>
      </c>
      <c r="DI68" s="625">
        <f t="shared" si="43"/>
        <v>0</v>
      </c>
      <c r="DJ68" s="626" t="str">
        <f t="shared" si="44"/>
        <v>00</v>
      </c>
    </row>
    <row r="69" spans="1:114" ht="15" customHeight="1">
      <c r="A69" s="1238"/>
      <c r="B69" s="1238"/>
      <c r="C69" s="1238"/>
      <c r="D69" s="1238"/>
      <c r="E69" s="1238"/>
      <c r="F69" s="1238"/>
      <c r="G69" s="1238"/>
      <c r="H69" s="1238"/>
      <c r="I69" s="1238"/>
      <c r="J69" s="1238"/>
      <c r="K69" s="1238"/>
      <c r="L69" s="1238"/>
      <c r="M69" s="1238"/>
      <c r="N69" s="1238"/>
      <c r="O69" s="1238"/>
      <c r="P69" s="1235">
        <v>66</v>
      </c>
      <c r="Q69" s="1386"/>
      <c r="R69" s="1387"/>
      <c r="S69" s="1368"/>
      <c r="T69" s="1369"/>
      <c r="U69" s="1391"/>
      <c r="V69" s="1360"/>
      <c r="W69" s="1067"/>
      <c r="X69" s="1062"/>
      <c r="Y69" s="1063"/>
      <c r="Z69" s="1153"/>
      <c r="AA69" s="1153"/>
      <c r="AB69" s="1361"/>
      <c r="AC69" s="1352" t="str">
        <f t="shared" ref="AC69:AC113" si="51">DJ69</f>
        <v>00</v>
      </c>
      <c r="AD69" s="524" t="str">
        <f t="shared" si="45"/>
        <v/>
      </c>
      <c r="AE69" s="525" t="str">
        <f>IF(AD69="","",VLOOKUP(AD69,所属コード!$A$2:$E$189,2,FALSE))</f>
        <v/>
      </c>
      <c r="AF69" s="1164" t="str">
        <f>IF(AD69="","",VLOOKUP(AD69,所属コード!$A$2:$G$189,7,FALSE))</f>
        <v/>
      </c>
      <c r="AG69" s="1166"/>
      <c r="AH69" s="77"/>
      <c r="AI69" s="77"/>
      <c r="AJ69" s="77"/>
      <c r="AK69" s="15"/>
      <c r="AM69" s="617"/>
      <c r="AN69" s="1090" t="str">
        <f t="shared" ref="AN69:AN113" si="52">IF(Y69="","",IF(Y69="男",1,2))</f>
        <v/>
      </c>
      <c r="AO69" s="618" t="str">
        <f t="shared" ref="AO69:AO113" si="53">ASC(W69)</f>
        <v/>
      </c>
      <c r="AP69" s="617"/>
      <c r="AQ69" s="617"/>
      <c r="AR69" s="617"/>
      <c r="AS69" s="617"/>
      <c r="AT69" s="617"/>
      <c r="AU69" s="617"/>
      <c r="AV69" s="620"/>
      <c r="AW69" s="727"/>
      <c r="AX69" s="728"/>
      <c r="AY69" s="728"/>
      <c r="AZ69" s="728"/>
      <c r="BA69" s="728"/>
      <c r="BB69" s="728"/>
      <c r="BC69" s="728"/>
      <c r="BD69" s="728"/>
      <c r="BE69" s="728"/>
      <c r="BF69" s="728"/>
      <c r="BG69" s="728"/>
      <c r="BH69" s="728"/>
      <c r="BI69" s="728"/>
      <c r="BJ69" s="728"/>
      <c r="BK69" s="728"/>
      <c r="BL69" s="742"/>
      <c r="BM69" s="747">
        <f t="shared" ref="BM69:BM113" si="54">BF69</f>
        <v>0</v>
      </c>
      <c r="BN69" s="738">
        <f t="shared" si="47"/>
        <v>0</v>
      </c>
      <c r="BO69" s="729">
        <f t="shared" si="48"/>
        <v>0</v>
      </c>
      <c r="BP69" s="730">
        <f t="shared" si="49"/>
        <v>0</v>
      </c>
      <c r="BQ69" s="729">
        <f t="shared" si="49"/>
        <v>0</v>
      </c>
      <c r="BR69" s="729">
        <f t="shared" ref="BR69:BR113" si="55">AW69</f>
        <v>0</v>
      </c>
      <c r="BS69" s="729">
        <f t="shared" ref="BS69:BS113" si="56">BA69</f>
        <v>0</v>
      </c>
      <c r="BT69" s="729">
        <f t="shared" ref="BT69:BT113" si="57">AW69</f>
        <v>0</v>
      </c>
      <c r="BU69" s="729">
        <f t="shared" ref="BU69:BU113" si="58">BA69</f>
        <v>0</v>
      </c>
      <c r="BV69" s="729">
        <f t="shared" ref="BV69:BV113" si="59">AZ69</f>
        <v>0</v>
      </c>
      <c r="BW69" s="729">
        <f t="shared" ref="BW69:BX113" si="60">AW69</f>
        <v>0</v>
      </c>
      <c r="BX69" s="729">
        <f t="shared" si="60"/>
        <v>0</v>
      </c>
      <c r="BY69" s="729">
        <f t="shared" ref="BY69:BZ113" si="61">BC69</f>
        <v>0</v>
      </c>
      <c r="BZ69" s="729">
        <f t="shared" si="61"/>
        <v>0</v>
      </c>
      <c r="CA69" s="729">
        <f t="shared" ref="CA69:CA113" si="62">BF69</f>
        <v>0</v>
      </c>
      <c r="CB69" s="729">
        <f t="shared" ref="CB69:CD113" si="63">BJ69</f>
        <v>0</v>
      </c>
      <c r="CC69" s="729">
        <f t="shared" si="63"/>
        <v>0</v>
      </c>
      <c r="CD69" s="729">
        <f t="shared" si="63"/>
        <v>0</v>
      </c>
      <c r="CE69" s="729">
        <f t="shared" ref="CE69:CE113" si="64">BE69</f>
        <v>0</v>
      </c>
      <c r="CF69" s="729">
        <f t="shared" ref="CF69:CF113" si="65">AW69</f>
        <v>0</v>
      </c>
      <c r="CG69" s="729">
        <f t="shared" ref="CG69:CG113" si="66">BA69</f>
        <v>0</v>
      </c>
      <c r="CH69" s="729">
        <f t="shared" ref="CH69:CH113" si="67">BD69</f>
        <v>0</v>
      </c>
      <c r="CI69" s="729">
        <f t="shared" ref="CI69:CI113" si="68">BH69</f>
        <v>0</v>
      </c>
      <c r="CJ69" s="729">
        <f t="shared" ref="CJ69:CJ113" si="69">BE69</f>
        <v>0</v>
      </c>
      <c r="CK69" s="729">
        <f t="shared" ref="CK69:CK113" si="70">AZ69</f>
        <v>0</v>
      </c>
      <c r="CL69" s="729">
        <f t="shared" ref="CL69:CL113" si="71">BJ69</f>
        <v>0</v>
      </c>
      <c r="CM69" s="729">
        <f t="shared" ref="CM69:CM113" si="72">AW69</f>
        <v>0</v>
      </c>
      <c r="CN69" s="729">
        <f t="shared" ref="CN69:CN113" si="73">BA69</f>
        <v>0</v>
      </c>
      <c r="CO69" s="729">
        <f t="shared" ref="CO69:CO113" si="74">BE69</f>
        <v>0</v>
      </c>
      <c r="CP69" s="729">
        <f t="shared" ref="CP69:CP113" si="75">BH69</f>
        <v>0</v>
      </c>
      <c r="CQ69" s="729">
        <f t="shared" ref="CQ69:CQ113" si="76">BJ69</f>
        <v>0</v>
      </c>
      <c r="CR69" s="729">
        <f t="shared" ref="CR69:CR113" si="77">BC69</f>
        <v>0</v>
      </c>
      <c r="CS69" s="729">
        <f t="shared" ref="CS69:CT113" si="78">BB69</f>
        <v>0</v>
      </c>
      <c r="CT69" s="729">
        <f t="shared" si="78"/>
        <v>0</v>
      </c>
      <c r="CU69" s="731">
        <f t="shared" ref="CU69:CU113" si="79">BJ69</f>
        <v>0</v>
      </c>
      <c r="CV69" s="692" t="str">
        <f t="shared" ref="CV69:CV113" si="80">TRIM(V69)</f>
        <v/>
      </c>
      <c r="CW69" s="659" t="str">
        <f t="shared" ref="CW69:CW113" si="81">IF(CV69="","",LEN(CV69))</f>
        <v/>
      </c>
      <c r="CX69" s="659" t="str">
        <f t="shared" ref="CX69:CX113" si="82">IF(CV69="","",FIND("　",CV69,1))</f>
        <v/>
      </c>
      <c r="CY69" s="659" t="str">
        <f t="shared" ref="CY69:CY113" si="83">IF(CV69="","",CW69-CX69)</f>
        <v/>
      </c>
      <c r="CZ69" s="659" t="str">
        <f t="shared" ref="CZ69:CZ113" si="84">IF(CV69="","",LEFT(CV69,CX69-1))</f>
        <v/>
      </c>
      <c r="DA69" s="659" t="str">
        <f t="shared" ref="DA69:DA113" si="85">IF(CV69="","",RIGHT(CV69,CY69))</f>
        <v/>
      </c>
      <c r="DB69" s="82" t="str">
        <f t="shared" ref="DB69:DB113" si="86">IF(CV69="","",IF(CW69=4,CONCATENATE(CZ69,"　","　",DA69),IF(CW69=6,CONCATENATE(CZ69,DA69),CV69)))</f>
        <v/>
      </c>
      <c r="DC69" s="625" t="str">
        <f t="shared" si="50"/>
        <v/>
      </c>
      <c r="DD69" s="625" t="str">
        <f t="shared" ref="DD69:DD113" si="87">IF(AB69&lt;10,CONCATENATE(0,AB69),AB69)</f>
        <v>0</v>
      </c>
      <c r="DE69" s="620">
        <f t="shared" ref="DE69:DE113" si="88">Z69</f>
        <v>0</v>
      </c>
      <c r="DF69" s="1051" t="s">
        <v>190</v>
      </c>
      <c r="DG69" s="1080">
        <v>235066</v>
      </c>
      <c r="DH69" s="625">
        <f t="shared" ref="DH69:DH113" si="89">IF(AA69=1,"01",IF(AA69=2,"02",IF(AA69=3,"03",IF(AA69=4,"04",IF(AA69=5,"05",IF(AA69=6,"06",IF(AA69=7,"07",IF(AA69=8,"08",IF(AA69=9,"09",AA69)))))))))</f>
        <v>0</v>
      </c>
      <c r="DI69" s="625">
        <f t="shared" ref="DI69:DI113" si="90">IF(AB69=1,"01",IF(AB69=2,"02",IF(AB69=3,"03",IF(AB69=4,"04",IF(AB69=5,"05",IF(AB69=6,"06",IF(AB69=7,"07",IF(AB69=8,"08",IF(AB69=9,"09",AB69)))))))))</f>
        <v>0</v>
      </c>
      <c r="DJ69" s="626" t="str">
        <f t="shared" ref="DJ69:DJ113" si="91">CONCATENATE(DH69,DI69)</f>
        <v>00</v>
      </c>
    </row>
    <row r="70" spans="1:114" ht="15" customHeight="1">
      <c r="A70" s="1238"/>
      <c r="B70" s="1238"/>
      <c r="C70" s="1238"/>
      <c r="D70" s="1238"/>
      <c r="E70" s="1238"/>
      <c r="F70" s="1238"/>
      <c r="G70" s="1238"/>
      <c r="H70" s="1238"/>
      <c r="I70" s="1238"/>
      <c r="J70" s="1238"/>
      <c r="K70" s="1238"/>
      <c r="L70" s="1238"/>
      <c r="M70" s="1238"/>
      <c r="N70" s="1238"/>
      <c r="O70" s="1238"/>
      <c r="P70" s="1235">
        <v>67</v>
      </c>
      <c r="Q70" s="1386"/>
      <c r="R70" s="1387"/>
      <c r="S70" s="1368"/>
      <c r="T70" s="1369"/>
      <c r="U70" s="1391"/>
      <c r="V70" s="1360"/>
      <c r="W70" s="1067"/>
      <c r="X70" s="1062"/>
      <c r="Y70" s="1063"/>
      <c r="Z70" s="1153"/>
      <c r="AA70" s="1153"/>
      <c r="AB70" s="1361"/>
      <c r="AC70" s="1352" t="str">
        <f t="shared" si="51"/>
        <v>00</v>
      </c>
      <c r="AD70" s="524" t="str">
        <f t="shared" ref="AD70:AD113" si="92">IF(V70="","",$AD$4)</f>
        <v/>
      </c>
      <c r="AE70" s="525" t="str">
        <f>IF(AD70="","",VLOOKUP(AD70,所属コード!$A$2:$E$189,2,FALSE))</f>
        <v/>
      </c>
      <c r="AF70" s="1164" t="str">
        <f>IF(AD70="","",VLOOKUP(AD70,所属コード!$A$2:$G$189,7,FALSE))</f>
        <v/>
      </c>
      <c r="AG70" s="1166"/>
      <c r="AH70" s="77"/>
      <c r="AI70" s="77"/>
      <c r="AJ70" s="77"/>
      <c r="AK70" s="15"/>
      <c r="AM70" s="617"/>
      <c r="AN70" s="1090" t="str">
        <f t="shared" si="52"/>
        <v/>
      </c>
      <c r="AO70" s="618" t="str">
        <f t="shared" si="53"/>
        <v/>
      </c>
      <c r="AP70" s="617"/>
      <c r="AQ70" s="617"/>
      <c r="AR70" s="617"/>
      <c r="AS70" s="617"/>
      <c r="AT70" s="617"/>
      <c r="AU70" s="617"/>
      <c r="AV70" s="620"/>
      <c r="AW70" s="727"/>
      <c r="AX70" s="728"/>
      <c r="AY70" s="728"/>
      <c r="AZ70" s="728"/>
      <c r="BA70" s="728"/>
      <c r="BB70" s="728"/>
      <c r="BC70" s="728"/>
      <c r="BD70" s="728"/>
      <c r="BE70" s="728"/>
      <c r="BF70" s="728"/>
      <c r="BG70" s="728"/>
      <c r="BH70" s="728"/>
      <c r="BI70" s="728"/>
      <c r="BJ70" s="728"/>
      <c r="BK70" s="728"/>
      <c r="BL70" s="742"/>
      <c r="BM70" s="747">
        <f t="shared" si="54"/>
        <v>0</v>
      </c>
      <c r="BN70" s="738">
        <f t="shared" si="47"/>
        <v>0</v>
      </c>
      <c r="BO70" s="729">
        <f t="shared" si="48"/>
        <v>0</v>
      </c>
      <c r="BP70" s="730">
        <f t="shared" si="49"/>
        <v>0</v>
      </c>
      <c r="BQ70" s="729">
        <f t="shared" si="49"/>
        <v>0</v>
      </c>
      <c r="BR70" s="729">
        <f t="shared" si="55"/>
        <v>0</v>
      </c>
      <c r="BS70" s="729">
        <f t="shared" si="56"/>
        <v>0</v>
      </c>
      <c r="BT70" s="729">
        <f t="shared" si="57"/>
        <v>0</v>
      </c>
      <c r="BU70" s="729">
        <f t="shared" si="58"/>
        <v>0</v>
      </c>
      <c r="BV70" s="729">
        <f t="shared" si="59"/>
        <v>0</v>
      </c>
      <c r="BW70" s="729">
        <f t="shared" si="60"/>
        <v>0</v>
      </c>
      <c r="BX70" s="729">
        <f t="shared" si="60"/>
        <v>0</v>
      </c>
      <c r="BY70" s="729">
        <f t="shared" si="61"/>
        <v>0</v>
      </c>
      <c r="BZ70" s="729">
        <f t="shared" si="61"/>
        <v>0</v>
      </c>
      <c r="CA70" s="729">
        <f t="shared" si="62"/>
        <v>0</v>
      </c>
      <c r="CB70" s="729">
        <f t="shared" si="63"/>
        <v>0</v>
      </c>
      <c r="CC70" s="729">
        <f t="shared" si="63"/>
        <v>0</v>
      </c>
      <c r="CD70" s="729">
        <f t="shared" si="63"/>
        <v>0</v>
      </c>
      <c r="CE70" s="729">
        <f t="shared" si="64"/>
        <v>0</v>
      </c>
      <c r="CF70" s="729">
        <f t="shared" si="65"/>
        <v>0</v>
      </c>
      <c r="CG70" s="729">
        <f t="shared" si="66"/>
        <v>0</v>
      </c>
      <c r="CH70" s="729">
        <f t="shared" si="67"/>
        <v>0</v>
      </c>
      <c r="CI70" s="729">
        <f t="shared" si="68"/>
        <v>0</v>
      </c>
      <c r="CJ70" s="729">
        <f t="shared" si="69"/>
        <v>0</v>
      </c>
      <c r="CK70" s="729">
        <f t="shared" si="70"/>
        <v>0</v>
      </c>
      <c r="CL70" s="729">
        <f t="shared" si="71"/>
        <v>0</v>
      </c>
      <c r="CM70" s="729">
        <f t="shared" si="72"/>
        <v>0</v>
      </c>
      <c r="CN70" s="729">
        <f t="shared" si="73"/>
        <v>0</v>
      </c>
      <c r="CO70" s="729">
        <f t="shared" si="74"/>
        <v>0</v>
      </c>
      <c r="CP70" s="729">
        <f t="shared" si="75"/>
        <v>0</v>
      </c>
      <c r="CQ70" s="729">
        <f t="shared" si="76"/>
        <v>0</v>
      </c>
      <c r="CR70" s="729">
        <f t="shared" si="77"/>
        <v>0</v>
      </c>
      <c r="CS70" s="729">
        <f t="shared" si="78"/>
        <v>0</v>
      </c>
      <c r="CT70" s="729">
        <f t="shared" si="78"/>
        <v>0</v>
      </c>
      <c r="CU70" s="731">
        <f t="shared" si="79"/>
        <v>0</v>
      </c>
      <c r="CV70" s="692" t="str">
        <f t="shared" si="80"/>
        <v/>
      </c>
      <c r="CW70" s="659" t="str">
        <f t="shared" si="81"/>
        <v/>
      </c>
      <c r="CX70" s="659" t="str">
        <f t="shared" si="82"/>
        <v/>
      </c>
      <c r="CY70" s="659" t="str">
        <f t="shared" si="83"/>
        <v/>
      </c>
      <c r="CZ70" s="659" t="str">
        <f t="shared" si="84"/>
        <v/>
      </c>
      <c r="DA70" s="659" t="str">
        <f t="shared" si="85"/>
        <v/>
      </c>
      <c r="DB70" s="82" t="str">
        <f t="shared" si="86"/>
        <v/>
      </c>
      <c r="DC70" s="625" t="str">
        <f t="shared" si="50"/>
        <v/>
      </c>
      <c r="DD70" s="625" t="str">
        <f t="shared" si="87"/>
        <v>0</v>
      </c>
      <c r="DE70" s="620">
        <f t="shared" si="88"/>
        <v>0</v>
      </c>
      <c r="DF70" s="1051" t="s">
        <v>154</v>
      </c>
      <c r="DG70" s="1080">
        <v>235067</v>
      </c>
      <c r="DH70" s="625">
        <f t="shared" si="89"/>
        <v>0</v>
      </c>
      <c r="DI70" s="625">
        <f t="shared" si="90"/>
        <v>0</v>
      </c>
      <c r="DJ70" s="626" t="str">
        <f t="shared" si="91"/>
        <v>00</v>
      </c>
    </row>
    <row r="71" spans="1:114" ht="15" customHeight="1">
      <c r="A71" s="1238"/>
      <c r="B71" s="1238"/>
      <c r="C71" s="1238"/>
      <c r="D71" s="1238"/>
      <c r="E71" s="1238"/>
      <c r="F71" s="1238"/>
      <c r="G71" s="1238"/>
      <c r="H71" s="1238"/>
      <c r="I71" s="1238"/>
      <c r="J71" s="1238"/>
      <c r="K71" s="1238"/>
      <c r="L71" s="1238"/>
      <c r="M71" s="1238"/>
      <c r="N71" s="1238"/>
      <c r="O71" s="1238"/>
      <c r="P71" s="1235">
        <v>68</v>
      </c>
      <c r="Q71" s="1386"/>
      <c r="R71" s="1387"/>
      <c r="S71" s="1368"/>
      <c r="T71" s="1369"/>
      <c r="U71" s="1391"/>
      <c r="V71" s="1360"/>
      <c r="W71" s="1067"/>
      <c r="X71" s="1062"/>
      <c r="Y71" s="1063"/>
      <c r="Z71" s="1153"/>
      <c r="AA71" s="1153"/>
      <c r="AB71" s="1361"/>
      <c r="AC71" s="1352" t="str">
        <f t="shared" si="51"/>
        <v>00</v>
      </c>
      <c r="AD71" s="524" t="str">
        <f t="shared" si="92"/>
        <v/>
      </c>
      <c r="AE71" s="525" t="str">
        <f>IF(AD71="","",VLOOKUP(AD71,所属コード!$A$2:$E$189,2,FALSE))</f>
        <v/>
      </c>
      <c r="AF71" s="1164" t="str">
        <f>IF(AD71="","",VLOOKUP(AD71,所属コード!$A$2:$G$189,7,FALSE))</f>
        <v/>
      </c>
      <c r="AG71" s="1166"/>
      <c r="AH71" s="77"/>
      <c r="AI71" s="77"/>
      <c r="AJ71" s="77"/>
      <c r="AK71" s="15"/>
      <c r="AM71" s="617"/>
      <c r="AN71" s="1090" t="str">
        <f t="shared" si="52"/>
        <v/>
      </c>
      <c r="AO71" s="618" t="str">
        <f t="shared" si="53"/>
        <v/>
      </c>
      <c r="AP71" s="617"/>
      <c r="AQ71" s="617"/>
      <c r="AR71" s="617"/>
      <c r="AS71" s="617"/>
      <c r="AT71" s="617"/>
      <c r="AU71" s="617"/>
      <c r="AV71" s="620"/>
      <c r="AW71" s="727"/>
      <c r="AX71" s="728"/>
      <c r="AY71" s="728"/>
      <c r="AZ71" s="728"/>
      <c r="BA71" s="728"/>
      <c r="BB71" s="728"/>
      <c r="BC71" s="728"/>
      <c r="BD71" s="728"/>
      <c r="BE71" s="728"/>
      <c r="BF71" s="728"/>
      <c r="BG71" s="728"/>
      <c r="BH71" s="728"/>
      <c r="BI71" s="728"/>
      <c r="BJ71" s="728"/>
      <c r="BK71" s="728"/>
      <c r="BL71" s="742"/>
      <c r="BM71" s="747">
        <f t="shared" si="54"/>
        <v>0</v>
      </c>
      <c r="BN71" s="738">
        <f t="shared" si="47"/>
        <v>0</v>
      </c>
      <c r="BO71" s="729">
        <f t="shared" si="48"/>
        <v>0</v>
      </c>
      <c r="BP71" s="730">
        <f t="shared" si="49"/>
        <v>0</v>
      </c>
      <c r="BQ71" s="729">
        <f t="shared" si="49"/>
        <v>0</v>
      </c>
      <c r="BR71" s="729">
        <f t="shared" si="55"/>
        <v>0</v>
      </c>
      <c r="BS71" s="729">
        <f t="shared" si="56"/>
        <v>0</v>
      </c>
      <c r="BT71" s="729">
        <f t="shared" si="57"/>
        <v>0</v>
      </c>
      <c r="BU71" s="729">
        <f t="shared" si="58"/>
        <v>0</v>
      </c>
      <c r="BV71" s="729">
        <f t="shared" si="59"/>
        <v>0</v>
      </c>
      <c r="BW71" s="729">
        <f t="shared" si="60"/>
        <v>0</v>
      </c>
      <c r="BX71" s="729">
        <f t="shared" si="60"/>
        <v>0</v>
      </c>
      <c r="BY71" s="729">
        <f t="shared" si="61"/>
        <v>0</v>
      </c>
      <c r="BZ71" s="729">
        <f t="shared" si="61"/>
        <v>0</v>
      </c>
      <c r="CA71" s="729">
        <f t="shared" si="62"/>
        <v>0</v>
      </c>
      <c r="CB71" s="729">
        <f t="shared" si="63"/>
        <v>0</v>
      </c>
      <c r="CC71" s="729">
        <f t="shared" si="63"/>
        <v>0</v>
      </c>
      <c r="CD71" s="729">
        <f t="shared" si="63"/>
        <v>0</v>
      </c>
      <c r="CE71" s="729">
        <f t="shared" si="64"/>
        <v>0</v>
      </c>
      <c r="CF71" s="729">
        <f t="shared" si="65"/>
        <v>0</v>
      </c>
      <c r="CG71" s="729">
        <f t="shared" si="66"/>
        <v>0</v>
      </c>
      <c r="CH71" s="729">
        <f t="shared" si="67"/>
        <v>0</v>
      </c>
      <c r="CI71" s="729">
        <f t="shared" si="68"/>
        <v>0</v>
      </c>
      <c r="CJ71" s="729">
        <f t="shared" si="69"/>
        <v>0</v>
      </c>
      <c r="CK71" s="729">
        <f t="shared" si="70"/>
        <v>0</v>
      </c>
      <c r="CL71" s="729">
        <f t="shared" si="71"/>
        <v>0</v>
      </c>
      <c r="CM71" s="729">
        <f t="shared" si="72"/>
        <v>0</v>
      </c>
      <c r="CN71" s="729">
        <f t="shared" si="73"/>
        <v>0</v>
      </c>
      <c r="CO71" s="729">
        <f t="shared" si="74"/>
        <v>0</v>
      </c>
      <c r="CP71" s="729">
        <f t="shared" si="75"/>
        <v>0</v>
      </c>
      <c r="CQ71" s="729">
        <f t="shared" si="76"/>
        <v>0</v>
      </c>
      <c r="CR71" s="729">
        <f t="shared" si="77"/>
        <v>0</v>
      </c>
      <c r="CS71" s="729">
        <f t="shared" si="78"/>
        <v>0</v>
      </c>
      <c r="CT71" s="729">
        <f t="shared" si="78"/>
        <v>0</v>
      </c>
      <c r="CU71" s="731">
        <f t="shared" si="79"/>
        <v>0</v>
      </c>
      <c r="CV71" s="692" t="str">
        <f t="shared" si="80"/>
        <v/>
      </c>
      <c r="CW71" s="659" t="str">
        <f t="shared" si="81"/>
        <v/>
      </c>
      <c r="CX71" s="659" t="str">
        <f t="shared" si="82"/>
        <v/>
      </c>
      <c r="CY71" s="659" t="str">
        <f t="shared" si="83"/>
        <v/>
      </c>
      <c r="CZ71" s="659" t="str">
        <f t="shared" si="84"/>
        <v/>
      </c>
      <c r="DA71" s="659" t="str">
        <f t="shared" si="85"/>
        <v/>
      </c>
      <c r="DB71" s="82" t="str">
        <f t="shared" si="86"/>
        <v/>
      </c>
      <c r="DC71" s="625" t="str">
        <f t="shared" si="50"/>
        <v/>
      </c>
      <c r="DD71" s="625" t="str">
        <f t="shared" si="87"/>
        <v>0</v>
      </c>
      <c r="DE71" s="620">
        <f t="shared" si="88"/>
        <v>0</v>
      </c>
      <c r="DF71" s="1051" t="s">
        <v>137</v>
      </c>
      <c r="DG71" s="1080">
        <v>235068</v>
      </c>
      <c r="DH71" s="625">
        <f t="shared" si="89"/>
        <v>0</v>
      </c>
      <c r="DI71" s="625">
        <f t="shared" si="90"/>
        <v>0</v>
      </c>
      <c r="DJ71" s="626" t="str">
        <f t="shared" si="91"/>
        <v>00</v>
      </c>
    </row>
    <row r="72" spans="1:114" ht="15" customHeight="1">
      <c r="A72" s="1238"/>
      <c r="B72" s="1238"/>
      <c r="C72" s="1238"/>
      <c r="D72" s="1238"/>
      <c r="E72" s="1238"/>
      <c r="F72" s="1238"/>
      <c r="G72" s="1238"/>
      <c r="H72" s="1238"/>
      <c r="I72" s="1238"/>
      <c r="J72" s="1238"/>
      <c r="K72" s="1238"/>
      <c r="L72" s="1238"/>
      <c r="M72" s="1238"/>
      <c r="N72" s="1238"/>
      <c r="O72" s="1238"/>
      <c r="P72" s="1235">
        <v>69</v>
      </c>
      <c r="Q72" s="1386"/>
      <c r="R72" s="1387"/>
      <c r="S72" s="1368"/>
      <c r="T72" s="1369"/>
      <c r="U72" s="1391"/>
      <c r="V72" s="1360"/>
      <c r="W72" s="1067"/>
      <c r="X72" s="1062"/>
      <c r="Y72" s="1063"/>
      <c r="Z72" s="1153"/>
      <c r="AA72" s="1153"/>
      <c r="AB72" s="1361"/>
      <c r="AC72" s="1352" t="str">
        <f t="shared" si="51"/>
        <v>00</v>
      </c>
      <c r="AD72" s="524" t="str">
        <f t="shared" si="92"/>
        <v/>
      </c>
      <c r="AE72" s="525" t="str">
        <f>IF(AD72="","",VLOOKUP(AD72,所属コード!$A$2:$E$189,2,FALSE))</f>
        <v/>
      </c>
      <c r="AF72" s="1164" t="str">
        <f>IF(AD72="","",VLOOKUP(AD72,所属コード!$A$2:$G$189,7,FALSE))</f>
        <v/>
      </c>
      <c r="AG72" s="1166"/>
      <c r="AH72" s="77"/>
      <c r="AI72" s="77"/>
      <c r="AJ72" s="77"/>
      <c r="AK72" s="15"/>
      <c r="AM72" s="617"/>
      <c r="AN72" s="1090" t="str">
        <f t="shared" si="52"/>
        <v/>
      </c>
      <c r="AO72" s="618" t="str">
        <f t="shared" si="53"/>
        <v/>
      </c>
      <c r="AP72" s="617"/>
      <c r="AQ72" s="617"/>
      <c r="AR72" s="617"/>
      <c r="AS72" s="617"/>
      <c r="AT72" s="617"/>
      <c r="AU72" s="617"/>
      <c r="AV72" s="620"/>
      <c r="AW72" s="727"/>
      <c r="AX72" s="728"/>
      <c r="AY72" s="728"/>
      <c r="AZ72" s="728"/>
      <c r="BA72" s="728"/>
      <c r="BB72" s="728"/>
      <c r="BC72" s="728"/>
      <c r="BD72" s="728"/>
      <c r="BE72" s="728"/>
      <c r="BF72" s="728"/>
      <c r="BG72" s="728"/>
      <c r="BH72" s="728"/>
      <c r="BI72" s="728"/>
      <c r="BJ72" s="728"/>
      <c r="BK72" s="728"/>
      <c r="BL72" s="742"/>
      <c r="BM72" s="747">
        <f t="shared" si="54"/>
        <v>0</v>
      </c>
      <c r="BN72" s="738">
        <f t="shared" si="47"/>
        <v>0</v>
      </c>
      <c r="BO72" s="729">
        <f t="shared" si="48"/>
        <v>0</v>
      </c>
      <c r="BP72" s="730">
        <f t="shared" si="49"/>
        <v>0</v>
      </c>
      <c r="BQ72" s="729">
        <f t="shared" si="49"/>
        <v>0</v>
      </c>
      <c r="BR72" s="729">
        <f t="shared" si="55"/>
        <v>0</v>
      </c>
      <c r="BS72" s="729">
        <f t="shared" si="56"/>
        <v>0</v>
      </c>
      <c r="BT72" s="729">
        <f t="shared" si="57"/>
        <v>0</v>
      </c>
      <c r="BU72" s="729">
        <f t="shared" si="58"/>
        <v>0</v>
      </c>
      <c r="BV72" s="729">
        <f t="shared" si="59"/>
        <v>0</v>
      </c>
      <c r="BW72" s="729">
        <f t="shared" si="60"/>
        <v>0</v>
      </c>
      <c r="BX72" s="729">
        <f t="shared" si="60"/>
        <v>0</v>
      </c>
      <c r="BY72" s="729">
        <f t="shared" si="61"/>
        <v>0</v>
      </c>
      <c r="BZ72" s="729">
        <f t="shared" si="61"/>
        <v>0</v>
      </c>
      <c r="CA72" s="729">
        <f t="shared" si="62"/>
        <v>0</v>
      </c>
      <c r="CB72" s="729">
        <f t="shared" si="63"/>
        <v>0</v>
      </c>
      <c r="CC72" s="729">
        <f t="shared" si="63"/>
        <v>0</v>
      </c>
      <c r="CD72" s="729">
        <f t="shared" si="63"/>
        <v>0</v>
      </c>
      <c r="CE72" s="729">
        <f t="shared" si="64"/>
        <v>0</v>
      </c>
      <c r="CF72" s="729">
        <f t="shared" si="65"/>
        <v>0</v>
      </c>
      <c r="CG72" s="729">
        <f t="shared" si="66"/>
        <v>0</v>
      </c>
      <c r="CH72" s="729">
        <f t="shared" si="67"/>
        <v>0</v>
      </c>
      <c r="CI72" s="729">
        <f t="shared" si="68"/>
        <v>0</v>
      </c>
      <c r="CJ72" s="729">
        <f t="shared" si="69"/>
        <v>0</v>
      </c>
      <c r="CK72" s="729">
        <f t="shared" si="70"/>
        <v>0</v>
      </c>
      <c r="CL72" s="729">
        <f t="shared" si="71"/>
        <v>0</v>
      </c>
      <c r="CM72" s="729">
        <f t="shared" si="72"/>
        <v>0</v>
      </c>
      <c r="CN72" s="729">
        <f t="shared" si="73"/>
        <v>0</v>
      </c>
      <c r="CO72" s="729">
        <f t="shared" si="74"/>
        <v>0</v>
      </c>
      <c r="CP72" s="729">
        <f t="shared" si="75"/>
        <v>0</v>
      </c>
      <c r="CQ72" s="729">
        <f t="shared" si="76"/>
        <v>0</v>
      </c>
      <c r="CR72" s="729">
        <f t="shared" si="77"/>
        <v>0</v>
      </c>
      <c r="CS72" s="729">
        <f t="shared" si="78"/>
        <v>0</v>
      </c>
      <c r="CT72" s="729">
        <f t="shared" si="78"/>
        <v>0</v>
      </c>
      <c r="CU72" s="731">
        <f t="shared" si="79"/>
        <v>0</v>
      </c>
      <c r="CV72" s="692" t="str">
        <f t="shared" si="80"/>
        <v/>
      </c>
      <c r="CW72" s="659" t="str">
        <f t="shared" si="81"/>
        <v/>
      </c>
      <c r="CX72" s="659" t="str">
        <f t="shared" si="82"/>
        <v/>
      </c>
      <c r="CY72" s="659" t="str">
        <f t="shared" si="83"/>
        <v/>
      </c>
      <c r="CZ72" s="659" t="str">
        <f t="shared" si="84"/>
        <v/>
      </c>
      <c r="DA72" s="659" t="str">
        <f t="shared" si="85"/>
        <v/>
      </c>
      <c r="DB72" s="82" t="str">
        <f t="shared" si="86"/>
        <v/>
      </c>
      <c r="DC72" s="625" t="str">
        <f t="shared" si="50"/>
        <v/>
      </c>
      <c r="DD72" s="625" t="str">
        <f t="shared" si="87"/>
        <v>0</v>
      </c>
      <c r="DE72" s="620">
        <f t="shared" si="88"/>
        <v>0</v>
      </c>
      <c r="DF72" s="1051" t="s">
        <v>168</v>
      </c>
      <c r="DG72" s="1080">
        <v>235069</v>
      </c>
      <c r="DH72" s="625">
        <f t="shared" si="89"/>
        <v>0</v>
      </c>
      <c r="DI72" s="625">
        <f t="shared" si="90"/>
        <v>0</v>
      </c>
      <c r="DJ72" s="626" t="str">
        <f t="shared" si="91"/>
        <v>00</v>
      </c>
    </row>
    <row r="73" spans="1:114" ht="15" customHeight="1">
      <c r="A73" s="1238"/>
      <c r="B73" s="1238"/>
      <c r="C73" s="1238"/>
      <c r="D73" s="1238"/>
      <c r="E73" s="1238"/>
      <c r="F73" s="1238"/>
      <c r="G73" s="1238"/>
      <c r="H73" s="1238"/>
      <c r="I73" s="1238"/>
      <c r="J73" s="1238"/>
      <c r="K73" s="1238"/>
      <c r="L73" s="1238"/>
      <c r="M73" s="1238"/>
      <c r="N73" s="1238"/>
      <c r="O73" s="1238"/>
      <c r="P73" s="1235">
        <v>70</v>
      </c>
      <c r="Q73" s="1386"/>
      <c r="R73" s="1387"/>
      <c r="S73" s="1368"/>
      <c r="T73" s="1369"/>
      <c r="U73" s="1391"/>
      <c r="V73" s="1360"/>
      <c r="W73" s="1067"/>
      <c r="X73" s="1062"/>
      <c r="Y73" s="1063"/>
      <c r="Z73" s="1153"/>
      <c r="AA73" s="1153"/>
      <c r="AB73" s="1361"/>
      <c r="AC73" s="1352" t="str">
        <f t="shared" si="51"/>
        <v>00</v>
      </c>
      <c r="AD73" s="524" t="str">
        <f t="shared" si="92"/>
        <v/>
      </c>
      <c r="AE73" s="525" t="str">
        <f>IF(AD73="","",VLOOKUP(AD73,所属コード!$A$2:$E$189,2,FALSE))</f>
        <v/>
      </c>
      <c r="AF73" s="1164" t="str">
        <f>IF(AD73="","",VLOOKUP(AD73,所属コード!$A$2:$G$189,7,FALSE))</f>
        <v/>
      </c>
      <c r="AG73" s="1166"/>
      <c r="AH73" s="77"/>
      <c r="AI73" s="77"/>
      <c r="AJ73" s="77"/>
      <c r="AK73" s="15"/>
      <c r="AM73" s="617"/>
      <c r="AN73" s="1090" t="str">
        <f t="shared" si="52"/>
        <v/>
      </c>
      <c r="AO73" s="618" t="str">
        <f t="shared" si="53"/>
        <v/>
      </c>
      <c r="AP73" s="617"/>
      <c r="AQ73" s="617"/>
      <c r="AR73" s="617"/>
      <c r="AS73" s="617"/>
      <c r="AT73" s="617"/>
      <c r="AU73" s="617"/>
      <c r="AV73" s="620"/>
      <c r="AW73" s="727"/>
      <c r="AX73" s="728"/>
      <c r="AY73" s="728"/>
      <c r="AZ73" s="728"/>
      <c r="BA73" s="728"/>
      <c r="BB73" s="728"/>
      <c r="BC73" s="728"/>
      <c r="BD73" s="728"/>
      <c r="BE73" s="728"/>
      <c r="BF73" s="728"/>
      <c r="BG73" s="728"/>
      <c r="BH73" s="728"/>
      <c r="BI73" s="728"/>
      <c r="BJ73" s="728"/>
      <c r="BK73" s="728"/>
      <c r="BL73" s="742"/>
      <c r="BM73" s="747">
        <f t="shared" si="54"/>
        <v>0</v>
      </c>
      <c r="BN73" s="738">
        <f t="shared" si="47"/>
        <v>0</v>
      </c>
      <c r="BO73" s="729">
        <f t="shared" si="48"/>
        <v>0</v>
      </c>
      <c r="BP73" s="730">
        <f t="shared" si="49"/>
        <v>0</v>
      </c>
      <c r="BQ73" s="729">
        <f t="shared" si="49"/>
        <v>0</v>
      </c>
      <c r="BR73" s="729">
        <f t="shared" si="55"/>
        <v>0</v>
      </c>
      <c r="BS73" s="729">
        <f t="shared" si="56"/>
        <v>0</v>
      </c>
      <c r="BT73" s="729">
        <f t="shared" si="57"/>
        <v>0</v>
      </c>
      <c r="BU73" s="729">
        <f t="shared" si="58"/>
        <v>0</v>
      </c>
      <c r="BV73" s="729">
        <f t="shared" si="59"/>
        <v>0</v>
      </c>
      <c r="BW73" s="729">
        <f t="shared" si="60"/>
        <v>0</v>
      </c>
      <c r="BX73" s="729">
        <f t="shared" si="60"/>
        <v>0</v>
      </c>
      <c r="BY73" s="729">
        <f t="shared" si="61"/>
        <v>0</v>
      </c>
      <c r="BZ73" s="729">
        <f t="shared" si="61"/>
        <v>0</v>
      </c>
      <c r="CA73" s="729">
        <f t="shared" si="62"/>
        <v>0</v>
      </c>
      <c r="CB73" s="729">
        <f t="shared" si="63"/>
        <v>0</v>
      </c>
      <c r="CC73" s="729">
        <f t="shared" si="63"/>
        <v>0</v>
      </c>
      <c r="CD73" s="729">
        <f t="shared" si="63"/>
        <v>0</v>
      </c>
      <c r="CE73" s="729">
        <f t="shared" si="64"/>
        <v>0</v>
      </c>
      <c r="CF73" s="729">
        <f t="shared" si="65"/>
        <v>0</v>
      </c>
      <c r="CG73" s="729">
        <f t="shared" si="66"/>
        <v>0</v>
      </c>
      <c r="CH73" s="729">
        <f t="shared" si="67"/>
        <v>0</v>
      </c>
      <c r="CI73" s="729">
        <f t="shared" si="68"/>
        <v>0</v>
      </c>
      <c r="CJ73" s="729">
        <f t="shared" si="69"/>
        <v>0</v>
      </c>
      <c r="CK73" s="729">
        <f t="shared" si="70"/>
        <v>0</v>
      </c>
      <c r="CL73" s="729">
        <f t="shared" si="71"/>
        <v>0</v>
      </c>
      <c r="CM73" s="729">
        <f t="shared" si="72"/>
        <v>0</v>
      </c>
      <c r="CN73" s="729">
        <f t="shared" si="73"/>
        <v>0</v>
      </c>
      <c r="CO73" s="729">
        <f t="shared" si="74"/>
        <v>0</v>
      </c>
      <c r="CP73" s="729">
        <f t="shared" si="75"/>
        <v>0</v>
      </c>
      <c r="CQ73" s="729">
        <f t="shared" si="76"/>
        <v>0</v>
      </c>
      <c r="CR73" s="729">
        <f t="shared" si="77"/>
        <v>0</v>
      </c>
      <c r="CS73" s="729">
        <f t="shared" si="78"/>
        <v>0</v>
      </c>
      <c r="CT73" s="729">
        <f t="shared" si="78"/>
        <v>0</v>
      </c>
      <c r="CU73" s="731">
        <f t="shared" si="79"/>
        <v>0</v>
      </c>
      <c r="CV73" s="692" t="str">
        <f t="shared" si="80"/>
        <v/>
      </c>
      <c r="CW73" s="659" t="str">
        <f t="shared" si="81"/>
        <v/>
      </c>
      <c r="CX73" s="659" t="str">
        <f t="shared" si="82"/>
        <v/>
      </c>
      <c r="CY73" s="659" t="str">
        <f t="shared" si="83"/>
        <v/>
      </c>
      <c r="CZ73" s="659" t="str">
        <f t="shared" si="84"/>
        <v/>
      </c>
      <c r="DA73" s="659" t="str">
        <f t="shared" si="85"/>
        <v/>
      </c>
      <c r="DB73" s="82" t="str">
        <f t="shared" si="86"/>
        <v/>
      </c>
      <c r="DC73" s="625" t="str">
        <f t="shared" si="50"/>
        <v/>
      </c>
      <c r="DD73" s="625" t="str">
        <f t="shared" si="87"/>
        <v>0</v>
      </c>
      <c r="DE73" s="620">
        <f t="shared" si="88"/>
        <v>0</v>
      </c>
      <c r="DF73" s="1051" t="s">
        <v>789</v>
      </c>
      <c r="DG73" s="1080">
        <v>235070</v>
      </c>
      <c r="DH73" s="625">
        <f t="shared" si="89"/>
        <v>0</v>
      </c>
      <c r="DI73" s="625">
        <f t="shared" si="90"/>
        <v>0</v>
      </c>
      <c r="DJ73" s="626" t="str">
        <f t="shared" si="91"/>
        <v>00</v>
      </c>
    </row>
    <row r="74" spans="1:114" ht="15" customHeight="1">
      <c r="A74" s="1238"/>
      <c r="B74" s="1238"/>
      <c r="C74" s="1238"/>
      <c r="D74" s="1238"/>
      <c r="E74" s="1238"/>
      <c r="F74" s="1238"/>
      <c r="G74" s="1238"/>
      <c r="H74" s="1238"/>
      <c r="I74" s="1238"/>
      <c r="J74" s="1238"/>
      <c r="K74" s="1238"/>
      <c r="L74" s="1238"/>
      <c r="M74" s="1238"/>
      <c r="N74" s="1238"/>
      <c r="O74" s="1238"/>
      <c r="P74" s="1235">
        <v>71</v>
      </c>
      <c r="Q74" s="1386"/>
      <c r="R74" s="1387"/>
      <c r="S74" s="1368"/>
      <c r="T74" s="1369"/>
      <c r="U74" s="1391"/>
      <c r="V74" s="1360"/>
      <c r="W74" s="1067"/>
      <c r="X74" s="1062"/>
      <c r="Y74" s="1063"/>
      <c r="Z74" s="1153"/>
      <c r="AA74" s="1153"/>
      <c r="AB74" s="1361"/>
      <c r="AC74" s="1352" t="str">
        <f t="shared" si="51"/>
        <v>00</v>
      </c>
      <c r="AD74" s="524" t="str">
        <f t="shared" si="92"/>
        <v/>
      </c>
      <c r="AE74" s="525" t="str">
        <f>IF(AD74="","",VLOOKUP(AD74,所属コード!$A$2:$E$189,2,FALSE))</f>
        <v/>
      </c>
      <c r="AF74" s="1164" t="str">
        <f>IF(AD74="","",VLOOKUP(AD74,所属コード!$A$2:$G$189,7,FALSE))</f>
        <v/>
      </c>
      <c r="AG74" s="1166"/>
      <c r="AH74" s="77"/>
      <c r="AI74" s="77"/>
      <c r="AJ74" s="77"/>
      <c r="AK74" s="15"/>
      <c r="AM74" s="617"/>
      <c r="AN74" s="1090" t="str">
        <f t="shared" si="52"/>
        <v/>
      </c>
      <c r="AO74" s="618" t="str">
        <f t="shared" si="53"/>
        <v/>
      </c>
      <c r="AP74" s="617"/>
      <c r="AQ74" s="617"/>
      <c r="AR74" s="617"/>
      <c r="AS74" s="617"/>
      <c r="AT74" s="617"/>
      <c r="AU74" s="617"/>
      <c r="AV74" s="620"/>
      <c r="AW74" s="727"/>
      <c r="AX74" s="728"/>
      <c r="AY74" s="728"/>
      <c r="AZ74" s="728"/>
      <c r="BA74" s="728"/>
      <c r="BB74" s="728"/>
      <c r="BC74" s="728"/>
      <c r="BD74" s="728"/>
      <c r="BE74" s="728"/>
      <c r="BF74" s="728"/>
      <c r="BG74" s="728"/>
      <c r="BH74" s="728"/>
      <c r="BI74" s="728"/>
      <c r="BJ74" s="728"/>
      <c r="BK74" s="728"/>
      <c r="BL74" s="742"/>
      <c r="BM74" s="747">
        <f t="shared" si="54"/>
        <v>0</v>
      </c>
      <c r="BN74" s="738">
        <f t="shared" si="47"/>
        <v>0</v>
      </c>
      <c r="BO74" s="729">
        <f t="shared" si="48"/>
        <v>0</v>
      </c>
      <c r="BP74" s="730">
        <f t="shared" si="49"/>
        <v>0</v>
      </c>
      <c r="BQ74" s="729">
        <f t="shared" si="49"/>
        <v>0</v>
      </c>
      <c r="BR74" s="729">
        <f t="shared" si="55"/>
        <v>0</v>
      </c>
      <c r="BS74" s="729">
        <f t="shared" si="56"/>
        <v>0</v>
      </c>
      <c r="BT74" s="729">
        <f t="shared" si="57"/>
        <v>0</v>
      </c>
      <c r="BU74" s="729">
        <f t="shared" si="58"/>
        <v>0</v>
      </c>
      <c r="BV74" s="729">
        <f t="shared" si="59"/>
        <v>0</v>
      </c>
      <c r="BW74" s="729">
        <f t="shared" si="60"/>
        <v>0</v>
      </c>
      <c r="BX74" s="729">
        <f t="shared" si="60"/>
        <v>0</v>
      </c>
      <c r="BY74" s="729">
        <f t="shared" si="61"/>
        <v>0</v>
      </c>
      <c r="BZ74" s="729">
        <f t="shared" si="61"/>
        <v>0</v>
      </c>
      <c r="CA74" s="729">
        <f t="shared" si="62"/>
        <v>0</v>
      </c>
      <c r="CB74" s="729">
        <f t="shared" si="63"/>
        <v>0</v>
      </c>
      <c r="CC74" s="729">
        <f t="shared" si="63"/>
        <v>0</v>
      </c>
      <c r="CD74" s="729">
        <f t="shared" si="63"/>
        <v>0</v>
      </c>
      <c r="CE74" s="729">
        <f t="shared" si="64"/>
        <v>0</v>
      </c>
      <c r="CF74" s="729">
        <f t="shared" si="65"/>
        <v>0</v>
      </c>
      <c r="CG74" s="729">
        <f t="shared" si="66"/>
        <v>0</v>
      </c>
      <c r="CH74" s="729">
        <f t="shared" si="67"/>
        <v>0</v>
      </c>
      <c r="CI74" s="729">
        <f t="shared" si="68"/>
        <v>0</v>
      </c>
      <c r="CJ74" s="729">
        <f t="shared" si="69"/>
        <v>0</v>
      </c>
      <c r="CK74" s="729">
        <f t="shared" si="70"/>
        <v>0</v>
      </c>
      <c r="CL74" s="729">
        <f t="shared" si="71"/>
        <v>0</v>
      </c>
      <c r="CM74" s="729">
        <f t="shared" si="72"/>
        <v>0</v>
      </c>
      <c r="CN74" s="729">
        <f t="shared" si="73"/>
        <v>0</v>
      </c>
      <c r="CO74" s="729">
        <f t="shared" si="74"/>
        <v>0</v>
      </c>
      <c r="CP74" s="729">
        <f t="shared" si="75"/>
        <v>0</v>
      </c>
      <c r="CQ74" s="729">
        <f t="shared" si="76"/>
        <v>0</v>
      </c>
      <c r="CR74" s="729">
        <f t="shared" si="77"/>
        <v>0</v>
      </c>
      <c r="CS74" s="729">
        <f t="shared" si="78"/>
        <v>0</v>
      </c>
      <c r="CT74" s="729">
        <f t="shared" si="78"/>
        <v>0</v>
      </c>
      <c r="CU74" s="731">
        <f t="shared" si="79"/>
        <v>0</v>
      </c>
      <c r="CV74" s="692" t="str">
        <f t="shared" si="80"/>
        <v/>
      </c>
      <c r="CW74" s="659" t="str">
        <f t="shared" si="81"/>
        <v/>
      </c>
      <c r="CX74" s="659" t="str">
        <f t="shared" si="82"/>
        <v/>
      </c>
      <c r="CY74" s="659" t="str">
        <f t="shared" si="83"/>
        <v/>
      </c>
      <c r="CZ74" s="659" t="str">
        <f t="shared" si="84"/>
        <v/>
      </c>
      <c r="DA74" s="659" t="str">
        <f t="shared" si="85"/>
        <v/>
      </c>
      <c r="DB74" s="82" t="str">
        <f t="shared" si="86"/>
        <v/>
      </c>
      <c r="DC74" s="625" t="str">
        <f t="shared" si="50"/>
        <v/>
      </c>
      <c r="DD74" s="625" t="str">
        <f t="shared" si="87"/>
        <v>0</v>
      </c>
      <c r="DE74" s="620">
        <f t="shared" si="88"/>
        <v>0</v>
      </c>
      <c r="DF74" s="1051" t="s">
        <v>300</v>
      </c>
      <c r="DG74" s="1080">
        <v>235071</v>
      </c>
      <c r="DH74" s="625">
        <f t="shared" si="89"/>
        <v>0</v>
      </c>
      <c r="DI74" s="625">
        <f t="shared" si="90"/>
        <v>0</v>
      </c>
      <c r="DJ74" s="626" t="str">
        <f t="shared" si="91"/>
        <v>00</v>
      </c>
    </row>
    <row r="75" spans="1:114" ht="15" customHeight="1">
      <c r="A75" s="1238"/>
      <c r="B75" s="1238"/>
      <c r="C75" s="1238"/>
      <c r="D75" s="1238"/>
      <c r="E75" s="1238"/>
      <c r="F75" s="1238"/>
      <c r="G75" s="1238"/>
      <c r="H75" s="1238"/>
      <c r="I75" s="1238"/>
      <c r="J75" s="1238"/>
      <c r="K75" s="1238"/>
      <c r="L75" s="1238"/>
      <c r="M75" s="1238"/>
      <c r="N75" s="1238"/>
      <c r="O75" s="1238"/>
      <c r="P75" s="1235">
        <v>72</v>
      </c>
      <c r="Q75" s="1386"/>
      <c r="R75" s="1387"/>
      <c r="S75" s="1368"/>
      <c r="T75" s="1369"/>
      <c r="U75" s="1391"/>
      <c r="V75" s="1360"/>
      <c r="W75" s="1067"/>
      <c r="X75" s="1062"/>
      <c r="Y75" s="1063"/>
      <c r="Z75" s="1153"/>
      <c r="AA75" s="1153"/>
      <c r="AB75" s="1361"/>
      <c r="AC75" s="1352" t="str">
        <f t="shared" si="51"/>
        <v>00</v>
      </c>
      <c r="AD75" s="524" t="str">
        <f t="shared" si="92"/>
        <v/>
      </c>
      <c r="AE75" s="525" t="str">
        <f>IF(AD75="","",VLOOKUP(AD75,所属コード!$A$2:$E$189,2,FALSE))</f>
        <v/>
      </c>
      <c r="AF75" s="1164" t="str">
        <f>IF(AD75="","",VLOOKUP(AD75,所属コード!$A$2:$G$189,7,FALSE))</f>
        <v/>
      </c>
      <c r="AG75" s="1166"/>
      <c r="AH75" s="77"/>
      <c r="AI75" s="77"/>
      <c r="AJ75" s="77"/>
      <c r="AK75" s="15"/>
      <c r="AM75" s="617"/>
      <c r="AN75" s="1090" t="str">
        <f t="shared" si="52"/>
        <v/>
      </c>
      <c r="AO75" s="618" t="str">
        <f t="shared" si="53"/>
        <v/>
      </c>
      <c r="AP75" s="617"/>
      <c r="AQ75" s="617"/>
      <c r="AR75" s="617"/>
      <c r="AS75" s="617"/>
      <c r="AT75" s="617"/>
      <c r="AU75" s="617"/>
      <c r="AV75" s="620"/>
      <c r="AW75" s="727"/>
      <c r="AX75" s="728"/>
      <c r="AY75" s="728"/>
      <c r="AZ75" s="728"/>
      <c r="BA75" s="728"/>
      <c r="BB75" s="728"/>
      <c r="BC75" s="728"/>
      <c r="BD75" s="728"/>
      <c r="BE75" s="728"/>
      <c r="BF75" s="728"/>
      <c r="BG75" s="728"/>
      <c r="BH75" s="728"/>
      <c r="BI75" s="728"/>
      <c r="BJ75" s="728"/>
      <c r="BK75" s="728"/>
      <c r="BL75" s="742"/>
      <c r="BM75" s="747">
        <f t="shared" si="54"/>
        <v>0</v>
      </c>
      <c r="BN75" s="738">
        <f t="shared" si="47"/>
        <v>0</v>
      </c>
      <c r="BO75" s="729">
        <f t="shared" si="48"/>
        <v>0</v>
      </c>
      <c r="BP75" s="730">
        <f t="shared" si="49"/>
        <v>0</v>
      </c>
      <c r="BQ75" s="729">
        <f t="shared" si="49"/>
        <v>0</v>
      </c>
      <c r="BR75" s="729">
        <f t="shared" si="55"/>
        <v>0</v>
      </c>
      <c r="BS75" s="729">
        <f t="shared" si="56"/>
        <v>0</v>
      </c>
      <c r="BT75" s="729">
        <f t="shared" si="57"/>
        <v>0</v>
      </c>
      <c r="BU75" s="729">
        <f t="shared" si="58"/>
        <v>0</v>
      </c>
      <c r="BV75" s="729">
        <f t="shared" si="59"/>
        <v>0</v>
      </c>
      <c r="BW75" s="729">
        <f t="shared" si="60"/>
        <v>0</v>
      </c>
      <c r="BX75" s="729">
        <f t="shared" si="60"/>
        <v>0</v>
      </c>
      <c r="BY75" s="729">
        <f t="shared" si="61"/>
        <v>0</v>
      </c>
      <c r="BZ75" s="729">
        <f t="shared" si="61"/>
        <v>0</v>
      </c>
      <c r="CA75" s="729">
        <f t="shared" si="62"/>
        <v>0</v>
      </c>
      <c r="CB75" s="729">
        <f t="shared" si="63"/>
        <v>0</v>
      </c>
      <c r="CC75" s="729">
        <f t="shared" si="63"/>
        <v>0</v>
      </c>
      <c r="CD75" s="729">
        <f t="shared" si="63"/>
        <v>0</v>
      </c>
      <c r="CE75" s="729">
        <f t="shared" si="64"/>
        <v>0</v>
      </c>
      <c r="CF75" s="729">
        <f t="shared" si="65"/>
        <v>0</v>
      </c>
      <c r="CG75" s="729">
        <f t="shared" si="66"/>
        <v>0</v>
      </c>
      <c r="CH75" s="729">
        <f t="shared" si="67"/>
        <v>0</v>
      </c>
      <c r="CI75" s="729">
        <f t="shared" si="68"/>
        <v>0</v>
      </c>
      <c r="CJ75" s="729">
        <f t="shared" si="69"/>
        <v>0</v>
      </c>
      <c r="CK75" s="729">
        <f t="shared" si="70"/>
        <v>0</v>
      </c>
      <c r="CL75" s="729">
        <f t="shared" si="71"/>
        <v>0</v>
      </c>
      <c r="CM75" s="729">
        <f t="shared" si="72"/>
        <v>0</v>
      </c>
      <c r="CN75" s="729">
        <f t="shared" si="73"/>
        <v>0</v>
      </c>
      <c r="CO75" s="729">
        <f t="shared" si="74"/>
        <v>0</v>
      </c>
      <c r="CP75" s="729">
        <f t="shared" si="75"/>
        <v>0</v>
      </c>
      <c r="CQ75" s="729">
        <f t="shared" si="76"/>
        <v>0</v>
      </c>
      <c r="CR75" s="729">
        <f t="shared" si="77"/>
        <v>0</v>
      </c>
      <c r="CS75" s="729">
        <f t="shared" si="78"/>
        <v>0</v>
      </c>
      <c r="CT75" s="729">
        <f t="shared" si="78"/>
        <v>0</v>
      </c>
      <c r="CU75" s="731">
        <f t="shared" si="79"/>
        <v>0</v>
      </c>
      <c r="CV75" s="692" t="str">
        <f t="shared" si="80"/>
        <v/>
      </c>
      <c r="CW75" s="659" t="str">
        <f t="shared" si="81"/>
        <v/>
      </c>
      <c r="CX75" s="659" t="str">
        <f t="shared" si="82"/>
        <v/>
      </c>
      <c r="CY75" s="659" t="str">
        <f t="shared" si="83"/>
        <v/>
      </c>
      <c r="CZ75" s="659" t="str">
        <f t="shared" si="84"/>
        <v/>
      </c>
      <c r="DA75" s="659" t="str">
        <f t="shared" si="85"/>
        <v/>
      </c>
      <c r="DB75" s="82" t="str">
        <f t="shared" si="86"/>
        <v/>
      </c>
      <c r="DC75" s="625" t="str">
        <f t="shared" si="50"/>
        <v/>
      </c>
      <c r="DD75" s="625" t="str">
        <f t="shared" si="87"/>
        <v>0</v>
      </c>
      <c r="DE75" s="620">
        <f t="shared" si="88"/>
        <v>0</v>
      </c>
      <c r="DF75" s="1051" t="s">
        <v>32</v>
      </c>
      <c r="DG75" s="1080">
        <v>235072</v>
      </c>
      <c r="DH75" s="625">
        <f t="shared" si="89"/>
        <v>0</v>
      </c>
      <c r="DI75" s="625">
        <f t="shared" si="90"/>
        <v>0</v>
      </c>
      <c r="DJ75" s="626" t="str">
        <f t="shared" si="91"/>
        <v>00</v>
      </c>
    </row>
    <row r="76" spans="1:114" ht="15" customHeight="1">
      <c r="A76" s="1238"/>
      <c r="B76" s="1238"/>
      <c r="C76" s="1238"/>
      <c r="D76" s="1238"/>
      <c r="E76" s="1238"/>
      <c r="F76" s="1238"/>
      <c r="G76" s="1238"/>
      <c r="H76" s="1238"/>
      <c r="I76" s="1238"/>
      <c r="J76" s="1238"/>
      <c r="K76" s="1238"/>
      <c r="L76" s="1238"/>
      <c r="M76" s="1238"/>
      <c r="N76" s="1238"/>
      <c r="O76" s="1238"/>
      <c r="P76" s="1235">
        <v>73</v>
      </c>
      <c r="Q76" s="1386"/>
      <c r="R76" s="1387"/>
      <c r="S76" s="1368"/>
      <c r="T76" s="1369"/>
      <c r="U76" s="1391"/>
      <c r="V76" s="1360"/>
      <c r="W76" s="1067"/>
      <c r="X76" s="1062"/>
      <c r="Y76" s="1063"/>
      <c r="Z76" s="1153"/>
      <c r="AA76" s="1153"/>
      <c r="AB76" s="1361"/>
      <c r="AC76" s="1352" t="str">
        <f t="shared" si="51"/>
        <v>00</v>
      </c>
      <c r="AD76" s="524" t="str">
        <f t="shared" si="92"/>
        <v/>
      </c>
      <c r="AE76" s="525" t="str">
        <f>IF(AD76="","",VLOOKUP(AD76,所属コード!$A$2:$E$189,2,FALSE))</f>
        <v/>
      </c>
      <c r="AF76" s="1164" t="str">
        <f>IF(AD76="","",VLOOKUP(AD76,所属コード!$A$2:$G$189,7,FALSE))</f>
        <v/>
      </c>
      <c r="AG76" s="1166"/>
      <c r="AH76" s="77"/>
      <c r="AI76" s="77"/>
      <c r="AJ76" s="77"/>
      <c r="AK76" s="15"/>
      <c r="AM76" s="617"/>
      <c r="AN76" s="1090" t="str">
        <f t="shared" si="52"/>
        <v/>
      </c>
      <c r="AO76" s="618" t="str">
        <f t="shared" si="53"/>
        <v/>
      </c>
      <c r="AP76" s="617"/>
      <c r="AQ76" s="617"/>
      <c r="AR76" s="617"/>
      <c r="AS76" s="617"/>
      <c r="AT76" s="617"/>
      <c r="AU76" s="617"/>
      <c r="AV76" s="620"/>
      <c r="AW76" s="727"/>
      <c r="AX76" s="728"/>
      <c r="AY76" s="728"/>
      <c r="AZ76" s="728"/>
      <c r="BA76" s="728"/>
      <c r="BB76" s="728"/>
      <c r="BC76" s="728"/>
      <c r="BD76" s="728"/>
      <c r="BE76" s="728"/>
      <c r="BF76" s="728"/>
      <c r="BG76" s="728"/>
      <c r="BH76" s="728"/>
      <c r="BI76" s="728"/>
      <c r="BJ76" s="728"/>
      <c r="BK76" s="728"/>
      <c r="BL76" s="742"/>
      <c r="BM76" s="747">
        <f t="shared" si="54"/>
        <v>0</v>
      </c>
      <c r="BN76" s="738">
        <f t="shared" si="47"/>
        <v>0</v>
      </c>
      <c r="BO76" s="729">
        <f t="shared" si="48"/>
        <v>0</v>
      </c>
      <c r="BP76" s="730">
        <f t="shared" si="49"/>
        <v>0</v>
      </c>
      <c r="BQ76" s="729">
        <f t="shared" si="49"/>
        <v>0</v>
      </c>
      <c r="BR76" s="729">
        <f t="shared" si="55"/>
        <v>0</v>
      </c>
      <c r="BS76" s="729">
        <f t="shared" si="56"/>
        <v>0</v>
      </c>
      <c r="BT76" s="729">
        <f t="shared" si="57"/>
        <v>0</v>
      </c>
      <c r="BU76" s="729">
        <f t="shared" si="58"/>
        <v>0</v>
      </c>
      <c r="BV76" s="729">
        <f t="shared" si="59"/>
        <v>0</v>
      </c>
      <c r="BW76" s="729">
        <f t="shared" si="60"/>
        <v>0</v>
      </c>
      <c r="BX76" s="729">
        <f t="shared" si="60"/>
        <v>0</v>
      </c>
      <c r="BY76" s="729">
        <f t="shared" si="61"/>
        <v>0</v>
      </c>
      <c r="BZ76" s="729">
        <f t="shared" si="61"/>
        <v>0</v>
      </c>
      <c r="CA76" s="729">
        <f t="shared" si="62"/>
        <v>0</v>
      </c>
      <c r="CB76" s="729">
        <f t="shared" si="63"/>
        <v>0</v>
      </c>
      <c r="CC76" s="729">
        <f t="shared" si="63"/>
        <v>0</v>
      </c>
      <c r="CD76" s="729">
        <f t="shared" si="63"/>
        <v>0</v>
      </c>
      <c r="CE76" s="729">
        <f t="shared" si="64"/>
        <v>0</v>
      </c>
      <c r="CF76" s="729">
        <f t="shared" si="65"/>
        <v>0</v>
      </c>
      <c r="CG76" s="729">
        <f t="shared" si="66"/>
        <v>0</v>
      </c>
      <c r="CH76" s="729">
        <f t="shared" si="67"/>
        <v>0</v>
      </c>
      <c r="CI76" s="729">
        <f t="shared" si="68"/>
        <v>0</v>
      </c>
      <c r="CJ76" s="729">
        <f t="shared" si="69"/>
        <v>0</v>
      </c>
      <c r="CK76" s="729">
        <f t="shared" si="70"/>
        <v>0</v>
      </c>
      <c r="CL76" s="729">
        <f t="shared" si="71"/>
        <v>0</v>
      </c>
      <c r="CM76" s="729">
        <f t="shared" si="72"/>
        <v>0</v>
      </c>
      <c r="CN76" s="729">
        <f t="shared" si="73"/>
        <v>0</v>
      </c>
      <c r="CO76" s="729">
        <f t="shared" si="74"/>
        <v>0</v>
      </c>
      <c r="CP76" s="729">
        <f t="shared" si="75"/>
        <v>0</v>
      </c>
      <c r="CQ76" s="729">
        <f t="shared" si="76"/>
        <v>0</v>
      </c>
      <c r="CR76" s="729">
        <f t="shared" si="77"/>
        <v>0</v>
      </c>
      <c r="CS76" s="729">
        <f t="shared" si="78"/>
        <v>0</v>
      </c>
      <c r="CT76" s="729">
        <f t="shared" si="78"/>
        <v>0</v>
      </c>
      <c r="CU76" s="731">
        <f t="shared" si="79"/>
        <v>0</v>
      </c>
      <c r="CV76" s="692" t="str">
        <f t="shared" si="80"/>
        <v/>
      </c>
      <c r="CW76" s="659" t="str">
        <f t="shared" si="81"/>
        <v/>
      </c>
      <c r="CX76" s="659" t="str">
        <f t="shared" si="82"/>
        <v/>
      </c>
      <c r="CY76" s="659" t="str">
        <f t="shared" si="83"/>
        <v/>
      </c>
      <c r="CZ76" s="659" t="str">
        <f t="shared" si="84"/>
        <v/>
      </c>
      <c r="DA76" s="659" t="str">
        <f t="shared" si="85"/>
        <v/>
      </c>
      <c r="DB76" s="82" t="str">
        <f t="shared" si="86"/>
        <v/>
      </c>
      <c r="DC76" s="625" t="str">
        <f t="shared" si="50"/>
        <v/>
      </c>
      <c r="DD76" s="625" t="str">
        <f t="shared" si="87"/>
        <v>0</v>
      </c>
      <c r="DE76" s="620">
        <f t="shared" si="88"/>
        <v>0</v>
      </c>
      <c r="DF76" s="1051" t="s">
        <v>69</v>
      </c>
      <c r="DG76" s="1080">
        <v>235073</v>
      </c>
      <c r="DH76" s="625">
        <f t="shared" si="89"/>
        <v>0</v>
      </c>
      <c r="DI76" s="625">
        <f t="shared" si="90"/>
        <v>0</v>
      </c>
      <c r="DJ76" s="626" t="str">
        <f t="shared" si="91"/>
        <v>00</v>
      </c>
    </row>
    <row r="77" spans="1:114" ht="15" customHeight="1">
      <c r="A77" s="1238"/>
      <c r="B77" s="1238"/>
      <c r="C77" s="1238"/>
      <c r="D77" s="1238"/>
      <c r="E77" s="1238"/>
      <c r="F77" s="1238"/>
      <c r="G77" s="1238"/>
      <c r="H77" s="1238"/>
      <c r="I77" s="1238"/>
      <c r="J77" s="1238"/>
      <c r="K77" s="1238"/>
      <c r="L77" s="1238"/>
      <c r="M77" s="1238"/>
      <c r="N77" s="1238"/>
      <c r="O77" s="1238"/>
      <c r="P77" s="1235">
        <v>74</v>
      </c>
      <c r="Q77" s="1386"/>
      <c r="R77" s="1387"/>
      <c r="S77" s="1368"/>
      <c r="T77" s="1369"/>
      <c r="U77" s="1391"/>
      <c r="V77" s="1360"/>
      <c r="W77" s="1067"/>
      <c r="X77" s="1062"/>
      <c r="Y77" s="1063"/>
      <c r="Z77" s="1153"/>
      <c r="AA77" s="1153"/>
      <c r="AB77" s="1361"/>
      <c r="AC77" s="1352" t="str">
        <f t="shared" si="51"/>
        <v>00</v>
      </c>
      <c r="AD77" s="524" t="str">
        <f t="shared" si="92"/>
        <v/>
      </c>
      <c r="AE77" s="525" t="str">
        <f>IF(AD77="","",VLOOKUP(AD77,所属コード!$A$2:$E$189,2,FALSE))</f>
        <v/>
      </c>
      <c r="AF77" s="1164" t="str">
        <f>IF(AD77="","",VLOOKUP(AD77,所属コード!$A$2:$G$189,7,FALSE))</f>
        <v/>
      </c>
      <c r="AG77" s="1166"/>
      <c r="AH77" s="77"/>
      <c r="AI77" s="77"/>
      <c r="AJ77" s="77"/>
      <c r="AK77" s="15"/>
      <c r="AM77" s="617"/>
      <c r="AN77" s="1090" t="str">
        <f t="shared" si="52"/>
        <v/>
      </c>
      <c r="AO77" s="618" t="str">
        <f t="shared" si="53"/>
        <v/>
      </c>
      <c r="AP77" s="617"/>
      <c r="AQ77" s="617"/>
      <c r="AR77" s="617"/>
      <c r="AS77" s="617"/>
      <c r="AT77" s="617"/>
      <c r="AU77" s="617"/>
      <c r="AV77" s="620"/>
      <c r="AW77" s="727"/>
      <c r="AX77" s="728"/>
      <c r="AY77" s="728"/>
      <c r="AZ77" s="728"/>
      <c r="BA77" s="728"/>
      <c r="BB77" s="728"/>
      <c r="BC77" s="728"/>
      <c r="BD77" s="728"/>
      <c r="BE77" s="728"/>
      <c r="BF77" s="728"/>
      <c r="BG77" s="728"/>
      <c r="BH77" s="728"/>
      <c r="BI77" s="728"/>
      <c r="BJ77" s="728"/>
      <c r="BK77" s="728"/>
      <c r="BL77" s="742"/>
      <c r="BM77" s="747">
        <f t="shared" si="54"/>
        <v>0</v>
      </c>
      <c r="BN77" s="738">
        <f t="shared" si="47"/>
        <v>0</v>
      </c>
      <c r="BO77" s="729">
        <f t="shared" si="48"/>
        <v>0</v>
      </c>
      <c r="BP77" s="730">
        <f t="shared" si="49"/>
        <v>0</v>
      </c>
      <c r="BQ77" s="729">
        <f t="shared" si="49"/>
        <v>0</v>
      </c>
      <c r="BR77" s="729">
        <f t="shared" si="55"/>
        <v>0</v>
      </c>
      <c r="BS77" s="729">
        <f t="shared" si="56"/>
        <v>0</v>
      </c>
      <c r="BT77" s="729">
        <f t="shared" si="57"/>
        <v>0</v>
      </c>
      <c r="BU77" s="729">
        <f t="shared" si="58"/>
        <v>0</v>
      </c>
      <c r="BV77" s="729">
        <f t="shared" si="59"/>
        <v>0</v>
      </c>
      <c r="BW77" s="729">
        <f t="shared" si="60"/>
        <v>0</v>
      </c>
      <c r="BX77" s="729">
        <f t="shared" si="60"/>
        <v>0</v>
      </c>
      <c r="BY77" s="729">
        <f t="shared" si="61"/>
        <v>0</v>
      </c>
      <c r="BZ77" s="729">
        <f t="shared" si="61"/>
        <v>0</v>
      </c>
      <c r="CA77" s="729">
        <f t="shared" si="62"/>
        <v>0</v>
      </c>
      <c r="CB77" s="729">
        <f t="shared" si="63"/>
        <v>0</v>
      </c>
      <c r="CC77" s="729">
        <f t="shared" si="63"/>
        <v>0</v>
      </c>
      <c r="CD77" s="729">
        <f t="shared" si="63"/>
        <v>0</v>
      </c>
      <c r="CE77" s="729">
        <f t="shared" si="64"/>
        <v>0</v>
      </c>
      <c r="CF77" s="729">
        <f t="shared" si="65"/>
        <v>0</v>
      </c>
      <c r="CG77" s="729">
        <f t="shared" si="66"/>
        <v>0</v>
      </c>
      <c r="CH77" s="729">
        <f t="shared" si="67"/>
        <v>0</v>
      </c>
      <c r="CI77" s="729">
        <f t="shared" si="68"/>
        <v>0</v>
      </c>
      <c r="CJ77" s="729">
        <f t="shared" si="69"/>
        <v>0</v>
      </c>
      <c r="CK77" s="729">
        <f t="shared" si="70"/>
        <v>0</v>
      </c>
      <c r="CL77" s="729">
        <f t="shared" si="71"/>
        <v>0</v>
      </c>
      <c r="CM77" s="729">
        <f t="shared" si="72"/>
        <v>0</v>
      </c>
      <c r="CN77" s="729">
        <f t="shared" si="73"/>
        <v>0</v>
      </c>
      <c r="CO77" s="729">
        <f t="shared" si="74"/>
        <v>0</v>
      </c>
      <c r="CP77" s="729">
        <f t="shared" si="75"/>
        <v>0</v>
      </c>
      <c r="CQ77" s="729">
        <f t="shared" si="76"/>
        <v>0</v>
      </c>
      <c r="CR77" s="729">
        <f t="shared" si="77"/>
        <v>0</v>
      </c>
      <c r="CS77" s="729">
        <f t="shared" si="78"/>
        <v>0</v>
      </c>
      <c r="CT77" s="729">
        <f t="shared" si="78"/>
        <v>0</v>
      </c>
      <c r="CU77" s="731">
        <f t="shared" si="79"/>
        <v>0</v>
      </c>
      <c r="CV77" s="692" t="str">
        <f t="shared" si="80"/>
        <v/>
      </c>
      <c r="CW77" s="659" t="str">
        <f t="shared" si="81"/>
        <v/>
      </c>
      <c r="CX77" s="659" t="str">
        <f t="shared" si="82"/>
        <v/>
      </c>
      <c r="CY77" s="659" t="str">
        <f t="shared" si="83"/>
        <v/>
      </c>
      <c r="CZ77" s="659" t="str">
        <f t="shared" si="84"/>
        <v/>
      </c>
      <c r="DA77" s="659" t="str">
        <f t="shared" si="85"/>
        <v/>
      </c>
      <c r="DB77" s="82" t="str">
        <f t="shared" si="86"/>
        <v/>
      </c>
      <c r="DC77" s="625" t="str">
        <f t="shared" si="50"/>
        <v/>
      </c>
      <c r="DD77" s="625" t="str">
        <f t="shared" si="87"/>
        <v>0</v>
      </c>
      <c r="DE77" s="620">
        <f t="shared" si="88"/>
        <v>0</v>
      </c>
      <c r="DF77" s="1051" t="s">
        <v>70</v>
      </c>
      <c r="DG77" s="1080">
        <v>235074</v>
      </c>
      <c r="DH77" s="625">
        <f t="shared" si="89"/>
        <v>0</v>
      </c>
      <c r="DI77" s="625">
        <f t="shared" si="90"/>
        <v>0</v>
      </c>
      <c r="DJ77" s="626" t="str">
        <f t="shared" si="91"/>
        <v>00</v>
      </c>
    </row>
    <row r="78" spans="1:114" ht="15" customHeight="1">
      <c r="A78" s="1238"/>
      <c r="B78" s="1238"/>
      <c r="C78" s="1238"/>
      <c r="D78" s="1238"/>
      <c r="E78" s="1238"/>
      <c r="F78" s="1238"/>
      <c r="G78" s="1238"/>
      <c r="H78" s="1238"/>
      <c r="I78" s="1238"/>
      <c r="J78" s="1238"/>
      <c r="K78" s="1238"/>
      <c r="L78" s="1238"/>
      <c r="M78" s="1238"/>
      <c r="N78" s="1238"/>
      <c r="O78" s="1238"/>
      <c r="P78" s="1235">
        <v>75</v>
      </c>
      <c r="Q78" s="1386"/>
      <c r="R78" s="1387"/>
      <c r="S78" s="1368"/>
      <c r="T78" s="1369"/>
      <c r="U78" s="1391"/>
      <c r="V78" s="1360"/>
      <c r="W78" s="1067"/>
      <c r="X78" s="1062"/>
      <c r="Y78" s="1063"/>
      <c r="Z78" s="1153"/>
      <c r="AA78" s="1153"/>
      <c r="AB78" s="1361"/>
      <c r="AC78" s="1352" t="str">
        <f t="shared" si="51"/>
        <v>00</v>
      </c>
      <c r="AD78" s="524" t="str">
        <f t="shared" si="92"/>
        <v/>
      </c>
      <c r="AE78" s="525" t="str">
        <f>IF(AD78="","",VLOOKUP(AD78,所属コード!$A$2:$E$189,2,FALSE))</f>
        <v/>
      </c>
      <c r="AF78" s="1164" t="str">
        <f>IF(AD78="","",VLOOKUP(AD78,所属コード!$A$2:$G$189,7,FALSE))</f>
        <v/>
      </c>
      <c r="AG78" s="1166"/>
      <c r="AH78" s="77"/>
      <c r="AI78" s="77"/>
      <c r="AJ78" s="77"/>
      <c r="AK78" s="15"/>
      <c r="AM78" s="617"/>
      <c r="AN78" s="1090" t="str">
        <f t="shared" si="52"/>
        <v/>
      </c>
      <c r="AO78" s="618" t="str">
        <f t="shared" si="53"/>
        <v/>
      </c>
      <c r="AP78" s="617"/>
      <c r="AQ78" s="617"/>
      <c r="AR78" s="617"/>
      <c r="AS78" s="617"/>
      <c r="AT78" s="617"/>
      <c r="AU78" s="617"/>
      <c r="AV78" s="620"/>
      <c r="AW78" s="727"/>
      <c r="AX78" s="728"/>
      <c r="AY78" s="728"/>
      <c r="AZ78" s="728"/>
      <c r="BA78" s="728"/>
      <c r="BB78" s="728"/>
      <c r="BC78" s="728"/>
      <c r="BD78" s="728"/>
      <c r="BE78" s="728"/>
      <c r="BF78" s="728"/>
      <c r="BG78" s="728"/>
      <c r="BH78" s="728"/>
      <c r="BI78" s="728"/>
      <c r="BJ78" s="728"/>
      <c r="BK78" s="728"/>
      <c r="BL78" s="742"/>
      <c r="BM78" s="747">
        <f t="shared" si="54"/>
        <v>0</v>
      </c>
      <c r="BN78" s="738">
        <f t="shared" si="47"/>
        <v>0</v>
      </c>
      <c r="BO78" s="729">
        <f t="shared" si="48"/>
        <v>0</v>
      </c>
      <c r="BP78" s="730">
        <f t="shared" si="49"/>
        <v>0</v>
      </c>
      <c r="BQ78" s="729">
        <f t="shared" si="49"/>
        <v>0</v>
      </c>
      <c r="BR78" s="729">
        <f t="shared" si="55"/>
        <v>0</v>
      </c>
      <c r="BS78" s="729">
        <f t="shared" si="56"/>
        <v>0</v>
      </c>
      <c r="BT78" s="729">
        <f t="shared" si="57"/>
        <v>0</v>
      </c>
      <c r="BU78" s="729">
        <f t="shared" si="58"/>
        <v>0</v>
      </c>
      <c r="BV78" s="729">
        <f t="shared" si="59"/>
        <v>0</v>
      </c>
      <c r="BW78" s="729">
        <f t="shared" si="60"/>
        <v>0</v>
      </c>
      <c r="BX78" s="729">
        <f t="shared" si="60"/>
        <v>0</v>
      </c>
      <c r="BY78" s="729">
        <f t="shared" si="61"/>
        <v>0</v>
      </c>
      <c r="BZ78" s="729">
        <f t="shared" si="61"/>
        <v>0</v>
      </c>
      <c r="CA78" s="729">
        <f t="shared" si="62"/>
        <v>0</v>
      </c>
      <c r="CB78" s="729">
        <f t="shared" si="63"/>
        <v>0</v>
      </c>
      <c r="CC78" s="729">
        <f t="shared" si="63"/>
        <v>0</v>
      </c>
      <c r="CD78" s="729">
        <f t="shared" si="63"/>
        <v>0</v>
      </c>
      <c r="CE78" s="729">
        <f t="shared" si="64"/>
        <v>0</v>
      </c>
      <c r="CF78" s="729">
        <f t="shared" si="65"/>
        <v>0</v>
      </c>
      <c r="CG78" s="729">
        <f t="shared" si="66"/>
        <v>0</v>
      </c>
      <c r="CH78" s="729">
        <f t="shared" si="67"/>
        <v>0</v>
      </c>
      <c r="CI78" s="729">
        <f t="shared" si="68"/>
        <v>0</v>
      </c>
      <c r="CJ78" s="729">
        <f t="shared" si="69"/>
        <v>0</v>
      </c>
      <c r="CK78" s="729">
        <f t="shared" si="70"/>
        <v>0</v>
      </c>
      <c r="CL78" s="729">
        <f t="shared" si="71"/>
        <v>0</v>
      </c>
      <c r="CM78" s="729">
        <f t="shared" si="72"/>
        <v>0</v>
      </c>
      <c r="CN78" s="729">
        <f t="shared" si="73"/>
        <v>0</v>
      </c>
      <c r="CO78" s="729">
        <f t="shared" si="74"/>
        <v>0</v>
      </c>
      <c r="CP78" s="729">
        <f t="shared" si="75"/>
        <v>0</v>
      </c>
      <c r="CQ78" s="729">
        <f t="shared" si="76"/>
        <v>0</v>
      </c>
      <c r="CR78" s="729">
        <f t="shared" si="77"/>
        <v>0</v>
      </c>
      <c r="CS78" s="729">
        <f t="shared" si="78"/>
        <v>0</v>
      </c>
      <c r="CT78" s="729">
        <f t="shared" si="78"/>
        <v>0</v>
      </c>
      <c r="CU78" s="731">
        <f t="shared" si="79"/>
        <v>0</v>
      </c>
      <c r="CV78" s="692" t="str">
        <f t="shared" si="80"/>
        <v/>
      </c>
      <c r="CW78" s="659" t="str">
        <f t="shared" si="81"/>
        <v/>
      </c>
      <c r="CX78" s="659" t="str">
        <f t="shared" si="82"/>
        <v/>
      </c>
      <c r="CY78" s="659" t="str">
        <f t="shared" si="83"/>
        <v/>
      </c>
      <c r="CZ78" s="659" t="str">
        <f t="shared" si="84"/>
        <v/>
      </c>
      <c r="DA78" s="659" t="str">
        <f t="shared" si="85"/>
        <v/>
      </c>
      <c r="DB78" s="82" t="str">
        <f t="shared" si="86"/>
        <v/>
      </c>
      <c r="DC78" s="625" t="str">
        <f t="shared" si="50"/>
        <v/>
      </c>
      <c r="DD78" s="625" t="str">
        <f t="shared" si="87"/>
        <v>0</v>
      </c>
      <c r="DE78" s="620">
        <f t="shared" si="88"/>
        <v>0</v>
      </c>
      <c r="DF78" s="1051" t="s">
        <v>139</v>
      </c>
      <c r="DG78" s="1080">
        <v>235075</v>
      </c>
      <c r="DH78" s="625">
        <f t="shared" si="89"/>
        <v>0</v>
      </c>
      <c r="DI78" s="625">
        <f t="shared" si="90"/>
        <v>0</v>
      </c>
      <c r="DJ78" s="626" t="str">
        <f t="shared" si="91"/>
        <v>00</v>
      </c>
    </row>
    <row r="79" spans="1:114" ht="15" customHeight="1">
      <c r="A79" s="1238"/>
      <c r="B79" s="1238"/>
      <c r="C79" s="1238"/>
      <c r="D79" s="1238"/>
      <c r="E79" s="1238"/>
      <c r="F79" s="1238"/>
      <c r="G79" s="1238"/>
      <c r="H79" s="1238"/>
      <c r="I79" s="1238"/>
      <c r="J79" s="1238"/>
      <c r="K79" s="1238"/>
      <c r="L79" s="1238"/>
      <c r="M79" s="1238"/>
      <c r="N79" s="1238"/>
      <c r="O79" s="1238"/>
      <c r="P79" s="1235">
        <v>76</v>
      </c>
      <c r="Q79" s="1386"/>
      <c r="R79" s="1387"/>
      <c r="S79" s="1368"/>
      <c r="T79" s="1369"/>
      <c r="U79" s="1391"/>
      <c r="V79" s="1360"/>
      <c r="W79" s="1067"/>
      <c r="X79" s="1062"/>
      <c r="Y79" s="1063"/>
      <c r="Z79" s="1153"/>
      <c r="AA79" s="1153"/>
      <c r="AB79" s="1361"/>
      <c r="AC79" s="1352" t="str">
        <f t="shared" si="51"/>
        <v>00</v>
      </c>
      <c r="AD79" s="524" t="str">
        <f t="shared" si="92"/>
        <v/>
      </c>
      <c r="AE79" s="525" t="str">
        <f>IF(AD79="","",VLOOKUP(AD79,所属コード!$A$2:$E$189,2,FALSE))</f>
        <v/>
      </c>
      <c r="AF79" s="1164" t="str">
        <f>IF(AD79="","",VLOOKUP(AD79,所属コード!$A$2:$G$189,7,FALSE))</f>
        <v/>
      </c>
      <c r="AG79" s="1166"/>
      <c r="AH79" s="77"/>
      <c r="AI79" s="77"/>
      <c r="AJ79" s="77"/>
      <c r="AK79" s="15"/>
      <c r="AM79" s="617"/>
      <c r="AN79" s="1090" t="str">
        <f t="shared" si="52"/>
        <v/>
      </c>
      <c r="AO79" s="618" t="str">
        <f t="shared" si="53"/>
        <v/>
      </c>
      <c r="AP79" s="617"/>
      <c r="AQ79" s="617"/>
      <c r="AR79" s="617"/>
      <c r="AS79" s="617"/>
      <c r="AT79" s="617"/>
      <c r="AU79" s="617"/>
      <c r="AV79" s="620"/>
      <c r="AW79" s="727"/>
      <c r="AX79" s="728"/>
      <c r="AY79" s="728"/>
      <c r="AZ79" s="728"/>
      <c r="BA79" s="728"/>
      <c r="BB79" s="728"/>
      <c r="BC79" s="728"/>
      <c r="BD79" s="728"/>
      <c r="BE79" s="728"/>
      <c r="BF79" s="728"/>
      <c r="BG79" s="728"/>
      <c r="BH79" s="728"/>
      <c r="BI79" s="728"/>
      <c r="BJ79" s="728"/>
      <c r="BK79" s="728"/>
      <c r="BL79" s="742"/>
      <c r="BM79" s="747">
        <f t="shared" si="54"/>
        <v>0</v>
      </c>
      <c r="BN79" s="738">
        <f t="shared" si="47"/>
        <v>0</v>
      </c>
      <c r="BO79" s="729">
        <f t="shared" si="48"/>
        <v>0</v>
      </c>
      <c r="BP79" s="730">
        <f t="shared" si="49"/>
        <v>0</v>
      </c>
      <c r="BQ79" s="729">
        <f t="shared" si="49"/>
        <v>0</v>
      </c>
      <c r="BR79" s="729">
        <f t="shared" si="55"/>
        <v>0</v>
      </c>
      <c r="BS79" s="729">
        <f t="shared" si="56"/>
        <v>0</v>
      </c>
      <c r="BT79" s="729">
        <f t="shared" si="57"/>
        <v>0</v>
      </c>
      <c r="BU79" s="729">
        <f t="shared" si="58"/>
        <v>0</v>
      </c>
      <c r="BV79" s="729">
        <f t="shared" si="59"/>
        <v>0</v>
      </c>
      <c r="BW79" s="729">
        <f t="shared" si="60"/>
        <v>0</v>
      </c>
      <c r="BX79" s="729">
        <f t="shared" si="60"/>
        <v>0</v>
      </c>
      <c r="BY79" s="729">
        <f t="shared" si="61"/>
        <v>0</v>
      </c>
      <c r="BZ79" s="729">
        <f t="shared" si="61"/>
        <v>0</v>
      </c>
      <c r="CA79" s="729">
        <f t="shared" si="62"/>
        <v>0</v>
      </c>
      <c r="CB79" s="729">
        <f t="shared" si="63"/>
        <v>0</v>
      </c>
      <c r="CC79" s="729">
        <f t="shared" si="63"/>
        <v>0</v>
      </c>
      <c r="CD79" s="729">
        <f t="shared" si="63"/>
        <v>0</v>
      </c>
      <c r="CE79" s="729">
        <f t="shared" si="64"/>
        <v>0</v>
      </c>
      <c r="CF79" s="729">
        <f t="shared" si="65"/>
        <v>0</v>
      </c>
      <c r="CG79" s="729">
        <f t="shared" si="66"/>
        <v>0</v>
      </c>
      <c r="CH79" s="729">
        <f t="shared" si="67"/>
        <v>0</v>
      </c>
      <c r="CI79" s="729">
        <f t="shared" si="68"/>
        <v>0</v>
      </c>
      <c r="CJ79" s="729">
        <f t="shared" si="69"/>
        <v>0</v>
      </c>
      <c r="CK79" s="729">
        <f t="shared" si="70"/>
        <v>0</v>
      </c>
      <c r="CL79" s="729">
        <f t="shared" si="71"/>
        <v>0</v>
      </c>
      <c r="CM79" s="729">
        <f t="shared" si="72"/>
        <v>0</v>
      </c>
      <c r="CN79" s="729">
        <f t="shared" si="73"/>
        <v>0</v>
      </c>
      <c r="CO79" s="729">
        <f t="shared" si="74"/>
        <v>0</v>
      </c>
      <c r="CP79" s="729">
        <f t="shared" si="75"/>
        <v>0</v>
      </c>
      <c r="CQ79" s="729">
        <f t="shared" si="76"/>
        <v>0</v>
      </c>
      <c r="CR79" s="729">
        <f t="shared" si="77"/>
        <v>0</v>
      </c>
      <c r="CS79" s="729">
        <f t="shared" si="78"/>
        <v>0</v>
      </c>
      <c r="CT79" s="729">
        <f t="shared" si="78"/>
        <v>0</v>
      </c>
      <c r="CU79" s="731">
        <f t="shared" si="79"/>
        <v>0</v>
      </c>
      <c r="CV79" s="692" t="str">
        <f t="shared" si="80"/>
        <v/>
      </c>
      <c r="CW79" s="659" t="str">
        <f t="shared" si="81"/>
        <v/>
      </c>
      <c r="CX79" s="659" t="str">
        <f t="shared" si="82"/>
        <v/>
      </c>
      <c r="CY79" s="659" t="str">
        <f t="shared" si="83"/>
        <v/>
      </c>
      <c r="CZ79" s="659" t="str">
        <f t="shared" si="84"/>
        <v/>
      </c>
      <c r="DA79" s="659" t="str">
        <f t="shared" si="85"/>
        <v/>
      </c>
      <c r="DB79" s="82" t="str">
        <f t="shared" si="86"/>
        <v/>
      </c>
      <c r="DC79" s="625" t="str">
        <f t="shared" si="50"/>
        <v/>
      </c>
      <c r="DD79" s="625" t="str">
        <f t="shared" si="87"/>
        <v>0</v>
      </c>
      <c r="DE79" s="620">
        <f t="shared" si="88"/>
        <v>0</v>
      </c>
      <c r="DF79" s="1051" t="s">
        <v>189</v>
      </c>
      <c r="DG79" s="1080">
        <v>235076</v>
      </c>
      <c r="DH79" s="625">
        <f t="shared" si="89"/>
        <v>0</v>
      </c>
      <c r="DI79" s="625">
        <f t="shared" si="90"/>
        <v>0</v>
      </c>
      <c r="DJ79" s="626" t="str">
        <f t="shared" si="91"/>
        <v>00</v>
      </c>
    </row>
    <row r="80" spans="1:114" ht="15" customHeight="1">
      <c r="A80" s="1238"/>
      <c r="B80" s="1238"/>
      <c r="C80" s="1238"/>
      <c r="D80" s="1238"/>
      <c r="E80" s="1238"/>
      <c r="F80" s="1238"/>
      <c r="G80" s="1238"/>
      <c r="H80" s="1238"/>
      <c r="I80" s="1238"/>
      <c r="J80" s="1238"/>
      <c r="K80" s="1238"/>
      <c r="L80" s="1238"/>
      <c r="M80" s="1238"/>
      <c r="N80" s="1238"/>
      <c r="O80" s="1238"/>
      <c r="P80" s="1235">
        <v>77</v>
      </c>
      <c r="Q80" s="1386"/>
      <c r="R80" s="1387"/>
      <c r="S80" s="1368"/>
      <c r="T80" s="1369"/>
      <c r="U80" s="1391"/>
      <c r="V80" s="1360"/>
      <c r="W80" s="1067"/>
      <c r="X80" s="1062"/>
      <c r="Y80" s="1063"/>
      <c r="Z80" s="1153"/>
      <c r="AA80" s="1153"/>
      <c r="AB80" s="1361"/>
      <c r="AC80" s="1352" t="str">
        <f t="shared" si="51"/>
        <v>00</v>
      </c>
      <c r="AD80" s="524" t="str">
        <f t="shared" si="92"/>
        <v/>
      </c>
      <c r="AE80" s="525" t="str">
        <f>IF(AD80="","",VLOOKUP(AD80,所属コード!$A$2:$E$189,2,FALSE))</f>
        <v/>
      </c>
      <c r="AF80" s="1164" t="str">
        <f>IF(AD80="","",VLOOKUP(AD80,所属コード!$A$2:$G$189,7,FALSE))</f>
        <v/>
      </c>
      <c r="AG80" s="1166"/>
      <c r="AH80" s="77"/>
      <c r="AI80" s="77"/>
      <c r="AJ80" s="77"/>
      <c r="AK80" s="15"/>
      <c r="AM80" s="617"/>
      <c r="AN80" s="1090" t="str">
        <f t="shared" si="52"/>
        <v/>
      </c>
      <c r="AO80" s="618" t="str">
        <f t="shared" si="53"/>
        <v/>
      </c>
      <c r="AP80" s="617"/>
      <c r="AQ80" s="617"/>
      <c r="AR80" s="617"/>
      <c r="AS80" s="617"/>
      <c r="AT80" s="617"/>
      <c r="AU80" s="617"/>
      <c r="AV80" s="620"/>
      <c r="AW80" s="727"/>
      <c r="AX80" s="728"/>
      <c r="AY80" s="728"/>
      <c r="AZ80" s="728"/>
      <c r="BA80" s="728"/>
      <c r="BB80" s="728"/>
      <c r="BC80" s="728"/>
      <c r="BD80" s="728"/>
      <c r="BE80" s="728"/>
      <c r="BF80" s="728"/>
      <c r="BG80" s="728"/>
      <c r="BH80" s="728"/>
      <c r="BI80" s="728"/>
      <c r="BJ80" s="728"/>
      <c r="BK80" s="728"/>
      <c r="BL80" s="742"/>
      <c r="BM80" s="747">
        <f t="shared" si="54"/>
        <v>0</v>
      </c>
      <c r="BN80" s="738">
        <f t="shared" si="47"/>
        <v>0</v>
      </c>
      <c r="BO80" s="729">
        <f t="shared" si="48"/>
        <v>0</v>
      </c>
      <c r="BP80" s="730">
        <f t="shared" si="49"/>
        <v>0</v>
      </c>
      <c r="BQ80" s="729">
        <f t="shared" si="49"/>
        <v>0</v>
      </c>
      <c r="BR80" s="729">
        <f t="shared" si="55"/>
        <v>0</v>
      </c>
      <c r="BS80" s="729">
        <f t="shared" si="56"/>
        <v>0</v>
      </c>
      <c r="BT80" s="729">
        <f t="shared" si="57"/>
        <v>0</v>
      </c>
      <c r="BU80" s="729">
        <f t="shared" si="58"/>
        <v>0</v>
      </c>
      <c r="BV80" s="729">
        <f t="shared" si="59"/>
        <v>0</v>
      </c>
      <c r="BW80" s="729">
        <f t="shared" si="60"/>
        <v>0</v>
      </c>
      <c r="BX80" s="729">
        <f t="shared" si="60"/>
        <v>0</v>
      </c>
      <c r="BY80" s="729">
        <f t="shared" si="61"/>
        <v>0</v>
      </c>
      <c r="BZ80" s="729">
        <f t="shared" si="61"/>
        <v>0</v>
      </c>
      <c r="CA80" s="729">
        <f t="shared" si="62"/>
        <v>0</v>
      </c>
      <c r="CB80" s="729">
        <f t="shared" si="63"/>
        <v>0</v>
      </c>
      <c r="CC80" s="729">
        <f t="shared" si="63"/>
        <v>0</v>
      </c>
      <c r="CD80" s="729">
        <f t="shared" si="63"/>
        <v>0</v>
      </c>
      <c r="CE80" s="729">
        <f t="shared" si="64"/>
        <v>0</v>
      </c>
      <c r="CF80" s="729">
        <f t="shared" si="65"/>
        <v>0</v>
      </c>
      <c r="CG80" s="729">
        <f t="shared" si="66"/>
        <v>0</v>
      </c>
      <c r="CH80" s="729">
        <f t="shared" si="67"/>
        <v>0</v>
      </c>
      <c r="CI80" s="729">
        <f t="shared" si="68"/>
        <v>0</v>
      </c>
      <c r="CJ80" s="729">
        <f t="shared" si="69"/>
        <v>0</v>
      </c>
      <c r="CK80" s="729">
        <f t="shared" si="70"/>
        <v>0</v>
      </c>
      <c r="CL80" s="729">
        <f t="shared" si="71"/>
        <v>0</v>
      </c>
      <c r="CM80" s="729">
        <f t="shared" si="72"/>
        <v>0</v>
      </c>
      <c r="CN80" s="729">
        <f t="shared" si="73"/>
        <v>0</v>
      </c>
      <c r="CO80" s="729">
        <f t="shared" si="74"/>
        <v>0</v>
      </c>
      <c r="CP80" s="729">
        <f t="shared" si="75"/>
        <v>0</v>
      </c>
      <c r="CQ80" s="729">
        <f t="shared" si="76"/>
        <v>0</v>
      </c>
      <c r="CR80" s="729">
        <f t="shared" si="77"/>
        <v>0</v>
      </c>
      <c r="CS80" s="729">
        <f t="shared" si="78"/>
        <v>0</v>
      </c>
      <c r="CT80" s="729">
        <f t="shared" si="78"/>
        <v>0</v>
      </c>
      <c r="CU80" s="731">
        <f t="shared" si="79"/>
        <v>0</v>
      </c>
      <c r="CV80" s="692" t="str">
        <f t="shared" si="80"/>
        <v/>
      </c>
      <c r="CW80" s="659" t="str">
        <f t="shared" si="81"/>
        <v/>
      </c>
      <c r="CX80" s="659" t="str">
        <f t="shared" si="82"/>
        <v/>
      </c>
      <c r="CY80" s="659" t="str">
        <f t="shared" si="83"/>
        <v/>
      </c>
      <c r="CZ80" s="659" t="str">
        <f t="shared" si="84"/>
        <v/>
      </c>
      <c r="DA80" s="659" t="str">
        <f t="shared" si="85"/>
        <v/>
      </c>
      <c r="DB80" s="82" t="str">
        <f t="shared" si="86"/>
        <v/>
      </c>
      <c r="DC80" s="625" t="str">
        <f t="shared" si="50"/>
        <v/>
      </c>
      <c r="DD80" s="625" t="str">
        <f t="shared" si="87"/>
        <v>0</v>
      </c>
      <c r="DE80" s="620">
        <f t="shared" si="88"/>
        <v>0</v>
      </c>
      <c r="DF80" s="1051" t="s">
        <v>286</v>
      </c>
      <c r="DG80" s="1080">
        <v>235077</v>
      </c>
      <c r="DH80" s="625">
        <f t="shared" si="89"/>
        <v>0</v>
      </c>
      <c r="DI80" s="625">
        <f t="shared" si="90"/>
        <v>0</v>
      </c>
      <c r="DJ80" s="626" t="str">
        <f t="shared" si="91"/>
        <v>00</v>
      </c>
    </row>
    <row r="81" spans="1:114" ht="15" customHeight="1">
      <c r="A81" s="1238"/>
      <c r="B81" s="1238"/>
      <c r="C81" s="1238"/>
      <c r="D81" s="1238"/>
      <c r="E81" s="1238"/>
      <c r="F81" s="1238"/>
      <c r="G81" s="1238"/>
      <c r="H81" s="1238"/>
      <c r="I81" s="1238"/>
      <c r="J81" s="1238"/>
      <c r="K81" s="1238"/>
      <c r="L81" s="1238"/>
      <c r="M81" s="1238"/>
      <c r="N81" s="1238"/>
      <c r="O81" s="1238"/>
      <c r="P81" s="1235">
        <v>78</v>
      </c>
      <c r="Q81" s="1386"/>
      <c r="R81" s="1387"/>
      <c r="S81" s="1368"/>
      <c r="T81" s="1369"/>
      <c r="U81" s="1391"/>
      <c r="V81" s="1360"/>
      <c r="W81" s="1067"/>
      <c r="X81" s="1062"/>
      <c r="Y81" s="1063"/>
      <c r="Z81" s="1153"/>
      <c r="AA81" s="1153"/>
      <c r="AB81" s="1361"/>
      <c r="AC81" s="1352" t="str">
        <f t="shared" si="51"/>
        <v>00</v>
      </c>
      <c r="AD81" s="524" t="str">
        <f t="shared" si="92"/>
        <v/>
      </c>
      <c r="AE81" s="525" t="str">
        <f>IF(AD81="","",VLOOKUP(AD81,所属コード!$A$2:$E$189,2,FALSE))</f>
        <v/>
      </c>
      <c r="AF81" s="1164" t="str">
        <f>IF(AD81="","",VLOOKUP(AD81,所属コード!$A$2:$G$189,7,FALSE))</f>
        <v/>
      </c>
      <c r="AG81" s="1166"/>
      <c r="AH81" s="77"/>
      <c r="AI81" s="77"/>
      <c r="AJ81" s="77"/>
      <c r="AK81" s="15"/>
      <c r="AM81" s="617"/>
      <c r="AN81" s="1090" t="str">
        <f t="shared" si="52"/>
        <v/>
      </c>
      <c r="AO81" s="618" t="str">
        <f t="shared" si="53"/>
        <v/>
      </c>
      <c r="AP81" s="617"/>
      <c r="AQ81" s="617"/>
      <c r="AR81" s="617"/>
      <c r="AS81" s="617"/>
      <c r="AT81" s="617"/>
      <c r="AU81" s="617"/>
      <c r="AV81" s="620"/>
      <c r="AW81" s="727"/>
      <c r="AX81" s="728"/>
      <c r="AY81" s="728"/>
      <c r="AZ81" s="728"/>
      <c r="BA81" s="728"/>
      <c r="BB81" s="728"/>
      <c r="BC81" s="728"/>
      <c r="BD81" s="728"/>
      <c r="BE81" s="728"/>
      <c r="BF81" s="728"/>
      <c r="BG81" s="728"/>
      <c r="BH81" s="728"/>
      <c r="BI81" s="728"/>
      <c r="BJ81" s="728"/>
      <c r="BK81" s="728"/>
      <c r="BL81" s="742"/>
      <c r="BM81" s="747">
        <f t="shared" si="54"/>
        <v>0</v>
      </c>
      <c r="BN81" s="738">
        <f t="shared" si="47"/>
        <v>0</v>
      </c>
      <c r="BO81" s="729">
        <f t="shared" si="48"/>
        <v>0</v>
      </c>
      <c r="BP81" s="730">
        <f t="shared" si="49"/>
        <v>0</v>
      </c>
      <c r="BQ81" s="729">
        <f t="shared" si="49"/>
        <v>0</v>
      </c>
      <c r="BR81" s="729">
        <f t="shared" si="55"/>
        <v>0</v>
      </c>
      <c r="BS81" s="729">
        <f t="shared" si="56"/>
        <v>0</v>
      </c>
      <c r="BT81" s="729">
        <f t="shared" si="57"/>
        <v>0</v>
      </c>
      <c r="BU81" s="729">
        <f t="shared" si="58"/>
        <v>0</v>
      </c>
      <c r="BV81" s="729">
        <f t="shared" si="59"/>
        <v>0</v>
      </c>
      <c r="BW81" s="729">
        <f t="shared" si="60"/>
        <v>0</v>
      </c>
      <c r="BX81" s="729">
        <f t="shared" si="60"/>
        <v>0</v>
      </c>
      <c r="BY81" s="729">
        <f t="shared" si="61"/>
        <v>0</v>
      </c>
      <c r="BZ81" s="729">
        <f t="shared" si="61"/>
        <v>0</v>
      </c>
      <c r="CA81" s="729">
        <f t="shared" si="62"/>
        <v>0</v>
      </c>
      <c r="CB81" s="729">
        <f t="shared" si="63"/>
        <v>0</v>
      </c>
      <c r="CC81" s="729">
        <f t="shared" si="63"/>
        <v>0</v>
      </c>
      <c r="CD81" s="729">
        <f t="shared" si="63"/>
        <v>0</v>
      </c>
      <c r="CE81" s="729">
        <f t="shared" si="64"/>
        <v>0</v>
      </c>
      <c r="CF81" s="729">
        <f t="shared" si="65"/>
        <v>0</v>
      </c>
      <c r="CG81" s="729">
        <f t="shared" si="66"/>
        <v>0</v>
      </c>
      <c r="CH81" s="729">
        <f t="shared" si="67"/>
        <v>0</v>
      </c>
      <c r="CI81" s="729">
        <f t="shared" si="68"/>
        <v>0</v>
      </c>
      <c r="CJ81" s="729">
        <f t="shared" si="69"/>
        <v>0</v>
      </c>
      <c r="CK81" s="729">
        <f t="shared" si="70"/>
        <v>0</v>
      </c>
      <c r="CL81" s="729">
        <f t="shared" si="71"/>
        <v>0</v>
      </c>
      <c r="CM81" s="729">
        <f t="shared" si="72"/>
        <v>0</v>
      </c>
      <c r="CN81" s="729">
        <f t="shared" si="73"/>
        <v>0</v>
      </c>
      <c r="CO81" s="729">
        <f t="shared" si="74"/>
        <v>0</v>
      </c>
      <c r="CP81" s="729">
        <f t="shared" si="75"/>
        <v>0</v>
      </c>
      <c r="CQ81" s="729">
        <f t="shared" si="76"/>
        <v>0</v>
      </c>
      <c r="CR81" s="729">
        <f t="shared" si="77"/>
        <v>0</v>
      </c>
      <c r="CS81" s="729">
        <f t="shared" si="78"/>
        <v>0</v>
      </c>
      <c r="CT81" s="729">
        <f t="shared" si="78"/>
        <v>0</v>
      </c>
      <c r="CU81" s="731">
        <f t="shared" si="79"/>
        <v>0</v>
      </c>
      <c r="CV81" s="692" t="str">
        <f t="shared" si="80"/>
        <v/>
      </c>
      <c r="CW81" s="659" t="str">
        <f t="shared" si="81"/>
        <v/>
      </c>
      <c r="CX81" s="659" t="str">
        <f t="shared" si="82"/>
        <v/>
      </c>
      <c r="CY81" s="659" t="str">
        <f t="shared" si="83"/>
        <v/>
      </c>
      <c r="CZ81" s="659" t="str">
        <f t="shared" si="84"/>
        <v/>
      </c>
      <c r="DA81" s="659" t="str">
        <f t="shared" si="85"/>
        <v/>
      </c>
      <c r="DB81" s="82" t="str">
        <f t="shared" si="86"/>
        <v/>
      </c>
      <c r="DC81" s="625" t="str">
        <f t="shared" si="50"/>
        <v/>
      </c>
      <c r="DD81" s="625" t="str">
        <f t="shared" si="87"/>
        <v>0</v>
      </c>
      <c r="DE81" s="620">
        <f t="shared" si="88"/>
        <v>0</v>
      </c>
      <c r="DF81" s="1051" t="s">
        <v>143</v>
      </c>
      <c r="DG81" s="1080">
        <v>235078</v>
      </c>
      <c r="DH81" s="625">
        <f t="shared" si="89"/>
        <v>0</v>
      </c>
      <c r="DI81" s="625">
        <f t="shared" si="90"/>
        <v>0</v>
      </c>
      <c r="DJ81" s="626" t="str">
        <f t="shared" si="91"/>
        <v>00</v>
      </c>
    </row>
    <row r="82" spans="1:114" ht="15" customHeight="1">
      <c r="A82" s="1238"/>
      <c r="B82" s="1238"/>
      <c r="C82" s="1238"/>
      <c r="D82" s="1238"/>
      <c r="E82" s="1238"/>
      <c r="F82" s="1238"/>
      <c r="G82" s="1238"/>
      <c r="H82" s="1238"/>
      <c r="I82" s="1238"/>
      <c r="J82" s="1238"/>
      <c r="K82" s="1238"/>
      <c r="L82" s="1238"/>
      <c r="M82" s="1238"/>
      <c r="N82" s="1238"/>
      <c r="O82" s="1238"/>
      <c r="P82" s="1235">
        <v>79</v>
      </c>
      <c r="Q82" s="1386"/>
      <c r="R82" s="1387"/>
      <c r="S82" s="1368"/>
      <c r="T82" s="1369"/>
      <c r="U82" s="1391"/>
      <c r="V82" s="1360"/>
      <c r="W82" s="1067"/>
      <c r="X82" s="1062"/>
      <c r="Y82" s="1063"/>
      <c r="Z82" s="1153"/>
      <c r="AA82" s="1153"/>
      <c r="AB82" s="1361"/>
      <c r="AC82" s="1352" t="str">
        <f t="shared" si="51"/>
        <v>00</v>
      </c>
      <c r="AD82" s="524" t="str">
        <f t="shared" si="92"/>
        <v/>
      </c>
      <c r="AE82" s="525" t="str">
        <f>IF(AD82="","",VLOOKUP(AD82,所属コード!$A$2:$E$189,2,FALSE))</f>
        <v/>
      </c>
      <c r="AF82" s="1164" t="str">
        <f>IF(AD82="","",VLOOKUP(AD82,所属コード!$A$2:$G$189,7,FALSE))</f>
        <v/>
      </c>
      <c r="AG82" s="1166"/>
      <c r="AH82" s="77"/>
      <c r="AI82" s="77"/>
      <c r="AJ82" s="77"/>
      <c r="AK82" s="15"/>
      <c r="AM82" s="617"/>
      <c r="AN82" s="1090" t="str">
        <f t="shared" si="52"/>
        <v/>
      </c>
      <c r="AO82" s="618" t="str">
        <f t="shared" si="53"/>
        <v/>
      </c>
      <c r="AP82" s="617"/>
      <c r="AQ82" s="617"/>
      <c r="AR82" s="617"/>
      <c r="AS82" s="617"/>
      <c r="AT82" s="617"/>
      <c r="AU82" s="617"/>
      <c r="AV82" s="620"/>
      <c r="AW82" s="727"/>
      <c r="AX82" s="728"/>
      <c r="AY82" s="728"/>
      <c r="AZ82" s="728"/>
      <c r="BA82" s="728"/>
      <c r="BB82" s="728"/>
      <c r="BC82" s="728"/>
      <c r="BD82" s="728"/>
      <c r="BE82" s="728"/>
      <c r="BF82" s="728"/>
      <c r="BG82" s="728"/>
      <c r="BH82" s="728"/>
      <c r="BI82" s="728"/>
      <c r="BJ82" s="728"/>
      <c r="BK82" s="728"/>
      <c r="BL82" s="742"/>
      <c r="BM82" s="747">
        <f t="shared" si="54"/>
        <v>0</v>
      </c>
      <c r="BN82" s="738">
        <f t="shared" si="47"/>
        <v>0</v>
      </c>
      <c r="BO82" s="729">
        <f t="shared" si="48"/>
        <v>0</v>
      </c>
      <c r="BP82" s="730">
        <f t="shared" si="49"/>
        <v>0</v>
      </c>
      <c r="BQ82" s="729">
        <f t="shared" si="49"/>
        <v>0</v>
      </c>
      <c r="BR82" s="729">
        <f t="shared" si="55"/>
        <v>0</v>
      </c>
      <c r="BS82" s="729">
        <f t="shared" si="56"/>
        <v>0</v>
      </c>
      <c r="BT82" s="729">
        <f t="shared" si="57"/>
        <v>0</v>
      </c>
      <c r="BU82" s="729">
        <f t="shared" si="58"/>
        <v>0</v>
      </c>
      <c r="BV82" s="729">
        <f t="shared" si="59"/>
        <v>0</v>
      </c>
      <c r="BW82" s="729">
        <f t="shared" si="60"/>
        <v>0</v>
      </c>
      <c r="BX82" s="729">
        <f t="shared" si="60"/>
        <v>0</v>
      </c>
      <c r="BY82" s="729">
        <f t="shared" si="61"/>
        <v>0</v>
      </c>
      <c r="BZ82" s="729">
        <f t="shared" si="61"/>
        <v>0</v>
      </c>
      <c r="CA82" s="729">
        <f t="shared" si="62"/>
        <v>0</v>
      </c>
      <c r="CB82" s="729">
        <f t="shared" si="63"/>
        <v>0</v>
      </c>
      <c r="CC82" s="729">
        <f t="shared" si="63"/>
        <v>0</v>
      </c>
      <c r="CD82" s="729">
        <f t="shared" si="63"/>
        <v>0</v>
      </c>
      <c r="CE82" s="729">
        <f t="shared" si="64"/>
        <v>0</v>
      </c>
      <c r="CF82" s="729">
        <f t="shared" si="65"/>
        <v>0</v>
      </c>
      <c r="CG82" s="729">
        <f t="shared" si="66"/>
        <v>0</v>
      </c>
      <c r="CH82" s="729">
        <f t="shared" si="67"/>
        <v>0</v>
      </c>
      <c r="CI82" s="729">
        <f t="shared" si="68"/>
        <v>0</v>
      </c>
      <c r="CJ82" s="729">
        <f t="shared" si="69"/>
        <v>0</v>
      </c>
      <c r="CK82" s="729">
        <f t="shared" si="70"/>
        <v>0</v>
      </c>
      <c r="CL82" s="729">
        <f t="shared" si="71"/>
        <v>0</v>
      </c>
      <c r="CM82" s="729">
        <f t="shared" si="72"/>
        <v>0</v>
      </c>
      <c r="CN82" s="729">
        <f t="shared" si="73"/>
        <v>0</v>
      </c>
      <c r="CO82" s="729">
        <f t="shared" si="74"/>
        <v>0</v>
      </c>
      <c r="CP82" s="729">
        <f t="shared" si="75"/>
        <v>0</v>
      </c>
      <c r="CQ82" s="729">
        <f t="shared" si="76"/>
        <v>0</v>
      </c>
      <c r="CR82" s="729">
        <f t="shared" si="77"/>
        <v>0</v>
      </c>
      <c r="CS82" s="729">
        <f t="shared" si="78"/>
        <v>0</v>
      </c>
      <c r="CT82" s="729">
        <f t="shared" si="78"/>
        <v>0</v>
      </c>
      <c r="CU82" s="731">
        <f t="shared" si="79"/>
        <v>0</v>
      </c>
      <c r="CV82" s="692" t="str">
        <f t="shared" si="80"/>
        <v/>
      </c>
      <c r="CW82" s="659" t="str">
        <f t="shared" si="81"/>
        <v/>
      </c>
      <c r="CX82" s="659" t="str">
        <f t="shared" si="82"/>
        <v/>
      </c>
      <c r="CY82" s="659" t="str">
        <f t="shared" si="83"/>
        <v/>
      </c>
      <c r="CZ82" s="659" t="str">
        <f t="shared" si="84"/>
        <v/>
      </c>
      <c r="DA82" s="659" t="str">
        <f t="shared" si="85"/>
        <v/>
      </c>
      <c r="DB82" s="82" t="str">
        <f t="shared" si="86"/>
        <v/>
      </c>
      <c r="DC82" s="625" t="str">
        <f t="shared" si="50"/>
        <v/>
      </c>
      <c r="DD82" s="625" t="str">
        <f t="shared" si="87"/>
        <v>0</v>
      </c>
      <c r="DE82" s="620">
        <f t="shared" si="88"/>
        <v>0</v>
      </c>
      <c r="DF82" s="1051" t="s">
        <v>148</v>
      </c>
      <c r="DG82" s="1080">
        <v>235079</v>
      </c>
      <c r="DH82" s="625">
        <f t="shared" si="89"/>
        <v>0</v>
      </c>
      <c r="DI82" s="625">
        <f t="shared" si="90"/>
        <v>0</v>
      </c>
      <c r="DJ82" s="626" t="str">
        <f t="shared" si="91"/>
        <v>00</v>
      </c>
    </row>
    <row r="83" spans="1:114" ht="15" customHeight="1">
      <c r="A83" s="1238"/>
      <c r="B83" s="1238"/>
      <c r="C83" s="1238"/>
      <c r="D83" s="1238"/>
      <c r="E83" s="1238"/>
      <c r="F83" s="1238"/>
      <c r="G83" s="1238"/>
      <c r="H83" s="1238"/>
      <c r="I83" s="1238"/>
      <c r="J83" s="1238"/>
      <c r="K83" s="1238"/>
      <c r="L83" s="1238"/>
      <c r="M83" s="1238"/>
      <c r="N83" s="1238"/>
      <c r="O83" s="1238"/>
      <c r="P83" s="1235">
        <v>80</v>
      </c>
      <c r="Q83" s="1386"/>
      <c r="R83" s="1387"/>
      <c r="S83" s="1368"/>
      <c r="T83" s="1369"/>
      <c r="U83" s="1391"/>
      <c r="V83" s="1360"/>
      <c r="W83" s="1067"/>
      <c r="X83" s="1062"/>
      <c r="Y83" s="1063"/>
      <c r="Z83" s="1153"/>
      <c r="AA83" s="1153"/>
      <c r="AB83" s="1361"/>
      <c r="AC83" s="1352" t="str">
        <f t="shared" si="51"/>
        <v>00</v>
      </c>
      <c r="AD83" s="524" t="str">
        <f t="shared" si="92"/>
        <v/>
      </c>
      <c r="AE83" s="525" t="str">
        <f>IF(AD83="","",VLOOKUP(AD83,所属コード!$A$2:$E$189,2,FALSE))</f>
        <v/>
      </c>
      <c r="AF83" s="1164" t="str">
        <f>IF(AD83="","",VLOOKUP(AD83,所属コード!$A$2:$G$189,7,FALSE))</f>
        <v/>
      </c>
      <c r="AG83" s="1166"/>
      <c r="AH83" s="77"/>
      <c r="AI83" s="77"/>
      <c r="AJ83" s="77"/>
      <c r="AK83" s="15"/>
      <c r="AM83" s="617"/>
      <c r="AN83" s="1090" t="str">
        <f t="shared" si="52"/>
        <v/>
      </c>
      <c r="AO83" s="618" t="str">
        <f t="shared" si="53"/>
        <v/>
      </c>
      <c r="AP83" s="617"/>
      <c r="AQ83" s="617"/>
      <c r="AR83" s="617"/>
      <c r="AS83" s="617"/>
      <c r="AT83" s="617"/>
      <c r="AU83" s="617"/>
      <c r="AV83" s="620"/>
      <c r="AW83" s="727"/>
      <c r="AX83" s="728"/>
      <c r="AY83" s="728"/>
      <c r="AZ83" s="728"/>
      <c r="BA83" s="728"/>
      <c r="BB83" s="728"/>
      <c r="BC83" s="728"/>
      <c r="BD83" s="728"/>
      <c r="BE83" s="728"/>
      <c r="BF83" s="728"/>
      <c r="BG83" s="728"/>
      <c r="BH83" s="728"/>
      <c r="BI83" s="728"/>
      <c r="BJ83" s="728"/>
      <c r="BK83" s="728"/>
      <c r="BL83" s="742"/>
      <c r="BM83" s="747">
        <f t="shared" si="54"/>
        <v>0</v>
      </c>
      <c r="BN83" s="738">
        <f t="shared" si="47"/>
        <v>0</v>
      </c>
      <c r="BO83" s="729">
        <f t="shared" si="48"/>
        <v>0</v>
      </c>
      <c r="BP83" s="730">
        <f t="shared" si="49"/>
        <v>0</v>
      </c>
      <c r="BQ83" s="729">
        <f t="shared" si="49"/>
        <v>0</v>
      </c>
      <c r="BR83" s="729">
        <f t="shared" si="55"/>
        <v>0</v>
      </c>
      <c r="BS83" s="729">
        <f t="shared" si="56"/>
        <v>0</v>
      </c>
      <c r="BT83" s="729">
        <f t="shared" si="57"/>
        <v>0</v>
      </c>
      <c r="BU83" s="729">
        <f t="shared" si="58"/>
        <v>0</v>
      </c>
      <c r="BV83" s="729">
        <f t="shared" si="59"/>
        <v>0</v>
      </c>
      <c r="BW83" s="729">
        <f t="shared" si="60"/>
        <v>0</v>
      </c>
      <c r="BX83" s="729">
        <f t="shared" si="60"/>
        <v>0</v>
      </c>
      <c r="BY83" s="729">
        <f t="shared" si="61"/>
        <v>0</v>
      </c>
      <c r="BZ83" s="729">
        <f t="shared" si="61"/>
        <v>0</v>
      </c>
      <c r="CA83" s="729">
        <f t="shared" si="62"/>
        <v>0</v>
      </c>
      <c r="CB83" s="729">
        <f t="shared" si="63"/>
        <v>0</v>
      </c>
      <c r="CC83" s="729">
        <f t="shared" si="63"/>
        <v>0</v>
      </c>
      <c r="CD83" s="729">
        <f t="shared" si="63"/>
        <v>0</v>
      </c>
      <c r="CE83" s="729">
        <f t="shared" si="64"/>
        <v>0</v>
      </c>
      <c r="CF83" s="729">
        <f t="shared" si="65"/>
        <v>0</v>
      </c>
      <c r="CG83" s="729">
        <f t="shared" si="66"/>
        <v>0</v>
      </c>
      <c r="CH83" s="729">
        <f t="shared" si="67"/>
        <v>0</v>
      </c>
      <c r="CI83" s="729">
        <f t="shared" si="68"/>
        <v>0</v>
      </c>
      <c r="CJ83" s="729">
        <f t="shared" si="69"/>
        <v>0</v>
      </c>
      <c r="CK83" s="729">
        <f t="shared" si="70"/>
        <v>0</v>
      </c>
      <c r="CL83" s="729">
        <f t="shared" si="71"/>
        <v>0</v>
      </c>
      <c r="CM83" s="729">
        <f t="shared" si="72"/>
        <v>0</v>
      </c>
      <c r="CN83" s="729">
        <f t="shared" si="73"/>
        <v>0</v>
      </c>
      <c r="CO83" s="729">
        <f t="shared" si="74"/>
        <v>0</v>
      </c>
      <c r="CP83" s="729">
        <f t="shared" si="75"/>
        <v>0</v>
      </c>
      <c r="CQ83" s="729">
        <f t="shared" si="76"/>
        <v>0</v>
      </c>
      <c r="CR83" s="729">
        <f t="shared" si="77"/>
        <v>0</v>
      </c>
      <c r="CS83" s="729">
        <f t="shared" si="78"/>
        <v>0</v>
      </c>
      <c r="CT83" s="729">
        <f t="shared" si="78"/>
        <v>0</v>
      </c>
      <c r="CU83" s="731">
        <f t="shared" si="79"/>
        <v>0</v>
      </c>
      <c r="CV83" s="692" t="str">
        <f t="shared" si="80"/>
        <v/>
      </c>
      <c r="CW83" s="659" t="str">
        <f t="shared" si="81"/>
        <v/>
      </c>
      <c r="CX83" s="659" t="str">
        <f t="shared" si="82"/>
        <v/>
      </c>
      <c r="CY83" s="659" t="str">
        <f t="shared" si="83"/>
        <v/>
      </c>
      <c r="CZ83" s="659" t="str">
        <f t="shared" si="84"/>
        <v/>
      </c>
      <c r="DA83" s="659" t="str">
        <f t="shared" si="85"/>
        <v/>
      </c>
      <c r="DB83" s="82" t="str">
        <f t="shared" si="86"/>
        <v/>
      </c>
      <c r="DC83" s="625" t="str">
        <f t="shared" si="50"/>
        <v/>
      </c>
      <c r="DD83" s="625" t="str">
        <f t="shared" si="87"/>
        <v>0</v>
      </c>
      <c r="DE83" s="620">
        <f t="shared" si="88"/>
        <v>0</v>
      </c>
      <c r="DF83" s="1051" t="s">
        <v>71</v>
      </c>
      <c r="DG83" s="1080">
        <v>235080</v>
      </c>
      <c r="DH83" s="625">
        <f t="shared" si="89"/>
        <v>0</v>
      </c>
      <c r="DI83" s="625">
        <f t="shared" si="90"/>
        <v>0</v>
      </c>
      <c r="DJ83" s="626" t="str">
        <f t="shared" si="91"/>
        <v>00</v>
      </c>
    </row>
    <row r="84" spans="1:114" ht="15" customHeight="1">
      <c r="A84" s="1238"/>
      <c r="B84" s="1238"/>
      <c r="C84" s="1238"/>
      <c r="D84" s="1238"/>
      <c r="E84" s="1238"/>
      <c r="F84" s="1238"/>
      <c r="G84" s="1238"/>
      <c r="H84" s="1238"/>
      <c r="I84" s="1238"/>
      <c r="J84" s="1238"/>
      <c r="K84" s="1238"/>
      <c r="L84" s="1238"/>
      <c r="M84" s="1238"/>
      <c r="N84" s="1238"/>
      <c r="O84" s="1238"/>
      <c r="P84" s="1235">
        <v>81</v>
      </c>
      <c r="Q84" s="1386"/>
      <c r="R84" s="1387"/>
      <c r="S84" s="1368"/>
      <c r="T84" s="1369"/>
      <c r="U84" s="1391"/>
      <c r="V84" s="1360"/>
      <c r="W84" s="1067"/>
      <c r="X84" s="1062"/>
      <c r="Y84" s="1063"/>
      <c r="Z84" s="1153"/>
      <c r="AA84" s="1153"/>
      <c r="AB84" s="1361"/>
      <c r="AC84" s="1352" t="str">
        <f t="shared" si="51"/>
        <v>00</v>
      </c>
      <c r="AD84" s="524" t="str">
        <f t="shared" si="92"/>
        <v/>
      </c>
      <c r="AE84" s="525" t="str">
        <f>IF(AD84="","",VLOOKUP(AD84,所属コード!$A$2:$E$189,2,FALSE))</f>
        <v/>
      </c>
      <c r="AF84" s="1164" t="str">
        <f>IF(AD84="","",VLOOKUP(AD84,所属コード!$A$2:$G$189,7,FALSE))</f>
        <v/>
      </c>
      <c r="AG84" s="1166"/>
      <c r="AH84" s="77"/>
      <c r="AI84" s="77"/>
      <c r="AJ84" s="77"/>
      <c r="AK84" s="15"/>
      <c r="AM84" s="617"/>
      <c r="AN84" s="1090" t="str">
        <f t="shared" si="52"/>
        <v/>
      </c>
      <c r="AO84" s="618" t="str">
        <f t="shared" si="53"/>
        <v/>
      </c>
      <c r="AP84" s="617"/>
      <c r="AQ84" s="617"/>
      <c r="AR84" s="617"/>
      <c r="AS84" s="617"/>
      <c r="AT84" s="617"/>
      <c r="AU84" s="617"/>
      <c r="AV84" s="620"/>
      <c r="AW84" s="727"/>
      <c r="AX84" s="728"/>
      <c r="AY84" s="728"/>
      <c r="AZ84" s="728"/>
      <c r="BA84" s="728"/>
      <c r="BB84" s="728"/>
      <c r="BC84" s="728"/>
      <c r="BD84" s="728"/>
      <c r="BE84" s="728"/>
      <c r="BF84" s="728"/>
      <c r="BG84" s="728"/>
      <c r="BH84" s="728"/>
      <c r="BI84" s="728"/>
      <c r="BJ84" s="728"/>
      <c r="BK84" s="728"/>
      <c r="BL84" s="742"/>
      <c r="BM84" s="747">
        <f t="shared" si="54"/>
        <v>0</v>
      </c>
      <c r="BN84" s="738">
        <f t="shared" si="47"/>
        <v>0</v>
      </c>
      <c r="BO84" s="729">
        <f t="shared" si="48"/>
        <v>0</v>
      </c>
      <c r="BP84" s="730">
        <f t="shared" si="49"/>
        <v>0</v>
      </c>
      <c r="BQ84" s="729">
        <f t="shared" si="49"/>
        <v>0</v>
      </c>
      <c r="BR84" s="729">
        <f t="shared" si="55"/>
        <v>0</v>
      </c>
      <c r="BS84" s="729">
        <f t="shared" si="56"/>
        <v>0</v>
      </c>
      <c r="BT84" s="729">
        <f t="shared" si="57"/>
        <v>0</v>
      </c>
      <c r="BU84" s="729">
        <f t="shared" si="58"/>
        <v>0</v>
      </c>
      <c r="BV84" s="729">
        <f t="shared" si="59"/>
        <v>0</v>
      </c>
      <c r="BW84" s="729">
        <f t="shared" si="60"/>
        <v>0</v>
      </c>
      <c r="BX84" s="729">
        <f t="shared" si="60"/>
        <v>0</v>
      </c>
      <c r="BY84" s="729">
        <f t="shared" si="61"/>
        <v>0</v>
      </c>
      <c r="BZ84" s="729">
        <f t="shared" si="61"/>
        <v>0</v>
      </c>
      <c r="CA84" s="729">
        <f t="shared" si="62"/>
        <v>0</v>
      </c>
      <c r="CB84" s="729">
        <f t="shared" si="63"/>
        <v>0</v>
      </c>
      <c r="CC84" s="729">
        <f t="shared" si="63"/>
        <v>0</v>
      </c>
      <c r="CD84" s="729">
        <f t="shared" si="63"/>
        <v>0</v>
      </c>
      <c r="CE84" s="729">
        <f t="shared" si="64"/>
        <v>0</v>
      </c>
      <c r="CF84" s="729">
        <f t="shared" si="65"/>
        <v>0</v>
      </c>
      <c r="CG84" s="729">
        <f t="shared" si="66"/>
        <v>0</v>
      </c>
      <c r="CH84" s="729">
        <f t="shared" si="67"/>
        <v>0</v>
      </c>
      <c r="CI84" s="729">
        <f t="shared" si="68"/>
        <v>0</v>
      </c>
      <c r="CJ84" s="729">
        <f t="shared" si="69"/>
        <v>0</v>
      </c>
      <c r="CK84" s="729">
        <f t="shared" si="70"/>
        <v>0</v>
      </c>
      <c r="CL84" s="729">
        <f t="shared" si="71"/>
        <v>0</v>
      </c>
      <c r="CM84" s="729">
        <f t="shared" si="72"/>
        <v>0</v>
      </c>
      <c r="CN84" s="729">
        <f t="shared" si="73"/>
        <v>0</v>
      </c>
      <c r="CO84" s="729">
        <f t="shared" si="74"/>
        <v>0</v>
      </c>
      <c r="CP84" s="729">
        <f t="shared" si="75"/>
        <v>0</v>
      </c>
      <c r="CQ84" s="729">
        <f t="shared" si="76"/>
        <v>0</v>
      </c>
      <c r="CR84" s="729">
        <f t="shared" si="77"/>
        <v>0</v>
      </c>
      <c r="CS84" s="729">
        <f t="shared" si="78"/>
        <v>0</v>
      </c>
      <c r="CT84" s="729">
        <f t="shared" si="78"/>
        <v>0</v>
      </c>
      <c r="CU84" s="731">
        <f t="shared" si="79"/>
        <v>0</v>
      </c>
      <c r="CV84" s="692" t="str">
        <f t="shared" si="80"/>
        <v/>
      </c>
      <c r="CW84" s="659" t="str">
        <f t="shared" si="81"/>
        <v/>
      </c>
      <c r="CX84" s="659" t="str">
        <f t="shared" si="82"/>
        <v/>
      </c>
      <c r="CY84" s="659" t="str">
        <f t="shared" si="83"/>
        <v/>
      </c>
      <c r="CZ84" s="659" t="str">
        <f t="shared" si="84"/>
        <v/>
      </c>
      <c r="DA84" s="659" t="str">
        <f t="shared" si="85"/>
        <v/>
      </c>
      <c r="DB84" s="82" t="str">
        <f t="shared" si="86"/>
        <v/>
      </c>
      <c r="DC84" s="625" t="str">
        <f t="shared" si="50"/>
        <v/>
      </c>
      <c r="DD84" s="625" t="str">
        <f t="shared" si="87"/>
        <v>0</v>
      </c>
      <c r="DE84" s="620">
        <f t="shared" si="88"/>
        <v>0</v>
      </c>
      <c r="DF84" s="1051" t="s">
        <v>35</v>
      </c>
      <c r="DG84" s="1080">
        <v>235081</v>
      </c>
      <c r="DH84" s="625">
        <f t="shared" si="89"/>
        <v>0</v>
      </c>
      <c r="DI84" s="625">
        <f t="shared" si="90"/>
        <v>0</v>
      </c>
      <c r="DJ84" s="626" t="str">
        <f t="shared" si="91"/>
        <v>00</v>
      </c>
    </row>
    <row r="85" spans="1:114" ht="15" customHeight="1">
      <c r="A85" s="1238"/>
      <c r="B85" s="1238"/>
      <c r="C85" s="1238"/>
      <c r="D85" s="1238"/>
      <c r="E85" s="1238"/>
      <c r="F85" s="1238"/>
      <c r="G85" s="1238"/>
      <c r="H85" s="1238"/>
      <c r="I85" s="1238"/>
      <c r="J85" s="1238"/>
      <c r="K85" s="1238"/>
      <c r="L85" s="1238"/>
      <c r="M85" s="1238"/>
      <c r="N85" s="1238"/>
      <c r="O85" s="1238"/>
      <c r="P85" s="1235">
        <v>82</v>
      </c>
      <c r="Q85" s="1386"/>
      <c r="R85" s="1387"/>
      <c r="S85" s="1368"/>
      <c r="T85" s="1369"/>
      <c r="U85" s="1391"/>
      <c r="V85" s="1360"/>
      <c r="W85" s="1067"/>
      <c r="X85" s="1062"/>
      <c r="Y85" s="1063"/>
      <c r="Z85" s="1153"/>
      <c r="AA85" s="1153"/>
      <c r="AB85" s="1361"/>
      <c r="AC85" s="1352" t="str">
        <f t="shared" si="51"/>
        <v>00</v>
      </c>
      <c r="AD85" s="524" t="str">
        <f t="shared" si="92"/>
        <v/>
      </c>
      <c r="AE85" s="525" t="str">
        <f>IF(AD85="","",VLOOKUP(AD85,所属コード!$A$2:$E$189,2,FALSE))</f>
        <v/>
      </c>
      <c r="AF85" s="1164" t="str">
        <f>IF(AD85="","",VLOOKUP(AD85,所属コード!$A$2:$G$189,7,FALSE))</f>
        <v/>
      </c>
      <c r="AG85" s="1166"/>
      <c r="AH85" s="77"/>
      <c r="AI85" s="77"/>
      <c r="AJ85" s="77"/>
      <c r="AK85" s="15"/>
      <c r="AM85" s="617"/>
      <c r="AN85" s="1090" t="str">
        <f t="shared" si="52"/>
        <v/>
      </c>
      <c r="AO85" s="618" t="str">
        <f t="shared" si="53"/>
        <v/>
      </c>
      <c r="AP85" s="617"/>
      <c r="AQ85" s="617"/>
      <c r="AR85" s="617"/>
      <c r="AS85" s="617"/>
      <c r="AT85" s="617"/>
      <c r="AU85" s="617"/>
      <c r="AV85" s="620"/>
      <c r="AW85" s="727"/>
      <c r="AX85" s="728"/>
      <c r="AY85" s="728"/>
      <c r="AZ85" s="728"/>
      <c r="BA85" s="728"/>
      <c r="BB85" s="728"/>
      <c r="BC85" s="728"/>
      <c r="BD85" s="728"/>
      <c r="BE85" s="728"/>
      <c r="BF85" s="728"/>
      <c r="BG85" s="728"/>
      <c r="BH85" s="728"/>
      <c r="BI85" s="728"/>
      <c r="BJ85" s="728"/>
      <c r="BK85" s="728"/>
      <c r="BL85" s="742"/>
      <c r="BM85" s="747">
        <f t="shared" si="54"/>
        <v>0</v>
      </c>
      <c r="BN85" s="738">
        <f t="shared" si="47"/>
        <v>0</v>
      </c>
      <c r="BO85" s="729">
        <f t="shared" si="48"/>
        <v>0</v>
      </c>
      <c r="BP85" s="730">
        <f t="shared" si="49"/>
        <v>0</v>
      </c>
      <c r="BQ85" s="729">
        <f t="shared" si="49"/>
        <v>0</v>
      </c>
      <c r="BR85" s="729">
        <f t="shared" si="55"/>
        <v>0</v>
      </c>
      <c r="BS85" s="729">
        <f t="shared" si="56"/>
        <v>0</v>
      </c>
      <c r="BT85" s="729">
        <f t="shared" si="57"/>
        <v>0</v>
      </c>
      <c r="BU85" s="729">
        <f t="shared" si="58"/>
        <v>0</v>
      </c>
      <c r="BV85" s="729">
        <f t="shared" si="59"/>
        <v>0</v>
      </c>
      <c r="BW85" s="729">
        <f t="shared" si="60"/>
        <v>0</v>
      </c>
      <c r="BX85" s="729">
        <f t="shared" si="60"/>
        <v>0</v>
      </c>
      <c r="BY85" s="729">
        <f t="shared" si="61"/>
        <v>0</v>
      </c>
      <c r="BZ85" s="729">
        <f t="shared" si="61"/>
        <v>0</v>
      </c>
      <c r="CA85" s="729">
        <f t="shared" si="62"/>
        <v>0</v>
      </c>
      <c r="CB85" s="729">
        <f t="shared" si="63"/>
        <v>0</v>
      </c>
      <c r="CC85" s="729">
        <f t="shared" si="63"/>
        <v>0</v>
      </c>
      <c r="CD85" s="729">
        <f t="shared" si="63"/>
        <v>0</v>
      </c>
      <c r="CE85" s="729">
        <f t="shared" si="64"/>
        <v>0</v>
      </c>
      <c r="CF85" s="729">
        <f t="shared" si="65"/>
        <v>0</v>
      </c>
      <c r="CG85" s="729">
        <f t="shared" si="66"/>
        <v>0</v>
      </c>
      <c r="CH85" s="729">
        <f t="shared" si="67"/>
        <v>0</v>
      </c>
      <c r="CI85" s="729">
        <f t="shared" si="68"/>
        <v>0</v>
      </c>
      <c r="CJ85" s="729">
        <f t="shared" si="69"/>
        <v>0</v>
      </c>
      <c r="CK85" s="729">
        <f t="shared" si="70"/>
        <v>0</v>
      </c>
      <c r="CL85" s="729">
        <f t="shared" si="71"/>
        <v>0</v>
      </c>
      <c r="CM85" s="729">
        <f t="shared" si="72"/>
        <v>0</v>
      </c>
      <c r="CN85" s="729">
        <f t="shared" si="73"/>
        <v>0</v>
      </c>
      <c r="CO85" s="729">
        <f t="shared" si="74"/>
        <v>0</v>
      </c>
      <c r="CP85" s="729">
        <f t="shared" si="75"/>
        <v>0</v>
      </c>
      <c r="CQ85" s="729">
        <f t="shared" si="76"/>
        <v>0</v>
      </c>
      <c r="CR85" s="729">
        <f t="shared" si="77"/>
        <v>0</v>
      </c>
      <c r="CS85" s="729">
        <f t="shared" si="78"/>
        <v>0</v>
      </c>
      <c r="CT85" s="729">
        <f t="shared" si="78"/>
        <v>0</v>
      </c>
      <c r="CU85" s="731">
        <f t="shared" si="79"/>
        <v>0</v>
      </c>
      <c r="CV85" s="692" t="str">
        <f t="shared" si="80"/>
        <v/>
      </c>
      <c r="CW85" s="659" t="str">
        <f t="shared" si="81"/>
        <v/>
      </c>
      <c r="CX85" s="659" t="str">
        <f t="shared" si="82"/>
        <v/>
      </c>
      <c r="CY85" s="659" t="str">
        <f t="shared" si="83"/>
        <v/>
      </c>
      <c r="CZ85" s="659" t="str">
        <f t="shared" si="84"/>
        <v/>
      </c>
      <c r="DA85" s="659" t="str">
        <f t="shared" si="85"/>
        <v/>
      </c>
      <c r="DB85" s="82" t="str">
        <f t="shared" si="86"/>
        <v/>
      </c>
      <c r="DC85" s="625" t="str">
        <f t="shared" si="50"/>
        <v/>
      </c>
      <c r="DD85" s="625" t="str">
        <f t="shared" si="87"/>
        <v>0</v>
      </c>
      <c r="DE85" s="620">
        <f t="shared" si="88"/>
        <v>0</v>
      </c>
      <c r="DF85" s="1051" t="s">
        <v>179</v>
      </c>
      <c r="DG85" s="1080">
        <v>235082</v>
      </c>
      <c r="DH85" s="625">
        <f t="shared" si="89"/>
        <v>0</v>
      </c>
      <c r="DI85" s="625">
        <f t="shared" si="90"/>
        <v>0</v>
      </c>
      <c r="DJ85" s="626" t="str">
        <f t="shared" si="91"/>
        <v>00</v>
      </c>
    </row>
    <row r="86" spans="1:114" ht="15" customHeight="1">
      <c r="A86" s="1238"/>
      <c r="B86" s="1238"/>
      <c r="C86" s="1238"/>
      <c r="D86" s="1238"/>
      <c r="E86" s="1238"/>
      <c r="F86" s="1238"/>
      <c r="G86" s="1238"/>
      <c r="H86" s="1238"/>
      <c r="I86" s="1238"/>
      <c r="J86" s="1238"/>
      <c r="K86" s="1238"/>
      <c r="L86" s="1238"/>
      <c r="M86" s="1238"/>
      <c r="N86" s="1238"/>
      <c r="O86" s="1238"/>
      <c r="P86" s="1235">
        <v>83</v>
      </c>
      <c r="Q86" s="1386"/>
      <c r="R86" s="1387"/>
      <c r="S86" s="1368"/>
      <c r="T86" s="1369"/>
      <c r="U86" s="1391"/>
      <c r="V86" s="1360"/>
      <c r="W86" s="1067"/>
      <c r="X86" s="1062"/>
      <c r="Y86" s="1063"/>
      <c r="Z86" s="1153"/>
      <c r="AA86" s="1153"/>
      <c r="AB86" s="1361"/>
      <c r="AC86" s="1352" t="str">
        <f t="shared" si="51"/>
        <v>00</v>
      </c>
      <c r="AD86" s="524" t="str">
        <f t="shared" si="92"/>
        <v/>
      </c>
      <c r="AE86" s="525" t="str">
        <f>IF(AD86="","",VLOOKUP(AD86,所属コード!$A$2:$E$189,2,FALSE))</f>
        <v/>
      </c>
      <c r="AF86" s="1164" t="str">
        <f>IF(AD86="","",VLOOKUP(AD86,所属コード!$A$2:$G$189,7,FALSE))</f>
        <v/>
      </c>
      <c r="AG86" s="1166"/>
      <c r="AH86" s="77"/>
      <c r="AI86" s="77"/>
      <c r="AJ86" s="77"/>
      <c r="AK86" s="15"/>
      <c r="AM86" s="617"/>
      <c r="AN86" s="1090" t="str">
        <f t="shared" si="52"/>
        <v/>
      </c>
      <c r="AO86" s="618" t="str">
        <f t="shared" si="53"/>
        <v/>
      </c>
      <c r="AP86" s="617"/>
      <c r="AQ86" s="617"/>
      <c r="AR86" s="617"/>
      <c r="AS86" s="617"/>
      <c r="AT86" s="617"/>
      <c r="AU86" s="617"/>
      <c r="AV86" s="620"/>
      <c r="AW86" s="727"/>
      <c r="AX86" s="728"/>
      <c r="AY86" s="728"/>
      <c r="AZ86" s="728"/>
      <c r="BA86" s="728"/>
      <c r="BB86" s="728"/>
      <c r="BC86" s="728"/>
      <c r="BD86" s="728"/>
      <c r="BE86" s="728"/>
      <c r="BF86" s="728"/>
      <c r="BG86" s="728"/>
      <c r="BH86" s="728"/>
      <c r="BI86" s="728"/>
      <c r="BJ86" s="728"/>
      <c r="BK86" s="728"/>
      <c r="BL86" s="742"/>
      <c r="BM86" s="747">
        <f t="shared" si="54"/>
        <v>0</v>
      </c>
      <c r="BN86" s="738">
        <f t="shared" si="47"/>
        <v>0</v>
      </c>
      <c r="BO86" s="729">
        <f t="shared" si="48"/>
        <v>0</v>
      </c>
      <c r="BP86" s="730">
        <f t="shared" si="49"/>
        <v>0</v>
      </c>
      <c r="BQ86" s="729">
        <f t="shared" si="49"/>
        <v>0</v>
      </c>
      <c r="BR86" s="729">
        <f t="shared" si="55"/>
        <v>0</v>
      </c>
      <c r="BS86" s="729">
        <f t="shared" si="56"/>
        <v>0</v>
      </c>
      <c r="BT86" s="729">
        <f t="shared" si="57"/>
        <v>0</v>
      </c>
      <c r="BU86" s="729">
        <f t="shared" si="58"/>
        <v>0</v>
      </c>
      <c r="BV86" s="729">
        <f t="shared" si="59"/>
        <v>0</v>
      </c>
      <c r="BW86" s="729">
        <f t="shared" si="60"/>
        <v>0</v>
      </c>
      <c r="BX86" s="729">
        <f t="shared" si="60"/>
        <v>0</v>
      </c>
      <c r="BY86" s="729">
        <f t="shared" si="61"/>
        <v>0</v>
      </c>
      <c r="BZ86" s="729">
        <f t="shared" si="61"/>
        <v>0</v>
      </c>
      <c r="CA86" s="729">
        <f t="shared" si="62"/>
        <v>0</v>
      </c>
      <c r="CB86" s="729">
        <f t="shared" si="63"/>
        <v>0</v>
      </c>
      <c r="CC86" s="729">
        <f t="shared" si="63"/>
        <v>0</v>
      </c>
      <c r="CD86" s="729">
        <f t="shared" si="63"/>
        <v>0</v>
      </c>
      <c r="CE86" s="729">
        <f t="shared" si="64"/>
        <v>0</v>
      </c>
      <c r="CF86" s="729">
        <f t="shared" si="65"/>
        <v>0</v>
      </c>
      <c r="CG86" s="729">
        <f t="shared" si="66"/>
        <v>0</v>
      </c>
      <c r="CH86" s="729">
        <f t="shared" si="67"/>
        <v>0</v>
      </c>
      <c r="CI86" s="729">
        <f t="shared" si="68"/>
        <v>0</v>
      </c>
      <c r="CJ86" s="729">
        <f t="shared" si="69"/>
        <v>0</v>
      </c>
      <c r="CK86" s="729">
        <f t="shared" si="70"/>
        <v>0</v>
      </c>
      <c r="CL86" s="729">
        <f t="shared" si="71"/>
        <v>0</v>
      </c>
      <c r="CM86" s="729">
        <f t="shared" si="72"/>
        <v>0</v>
      </c>
      <c r="CN86" s="729">
        <f t="shared" si="73"/>
        <v>0</v>
      </c>
      <c r="CO86" s="729">
        <f t="shared" si="74"/>
        <v>0</v>
      </c>
      <c r="CP86" s="729">
        <f t="shared" si="75"/>
        <v>0</v>
      </c>
      <c r="CQ86" s="729">
        <f t="shared" si="76"/>
        <v>0</v>
      </c>
      <c r="CR86" s="729">
        <f t="shared" si="77"/>
        <v>0</v>
      </c>
      <c r="CS86" s="729">
        <f t="shared" si="78"/>
        <v>0</v>
      </c>
      <c r="CT86" s="729">
        <f t="shared" si="78"/>
        <v>0</v>
      </c>
      <c r="CU86" s="731">
        <f t="shared" si="79"/>
        <v>0</v>
      </c>
      <c r="CV86" s="692" t="str">
        <f t="shared" si="80"/>
        <v/>
      </c>
      <c r="CW86" s="659" t="str">
        <f t="shared" si="81"/>
        <v/>
      </c>
      <c r="CX86" s="659" t="str">
        <f t="shared" si="82"/>
        <v/>
      </c>
      <c r="CY86" s="659" t="str">
        <f t="shared" si="83"/>
        <v/>
      </c>
      <c r="CZ86" s="659" t="str">
        <f t="shared" si="84"/>
        <v/>
      </c>
      <c r="DA86" s="659" t="str">
        <f t="shared" si="85"/>
        <v/>
      </c>
      <c r="DB86" s="82" t="str">
        <f t="shared" si="86"/>
        <v/>
      </c>
      <c r="DC86" s="625" t="str">
        <f t="shared" si="50"/>
        <v/>
      </c>
      <c r="DD86" s="625" t="str">
        <f t="shared" si="87"/>
        <v>0</v>
      </c>
      <c r="DE86" s="620">
        <f t="shared" si="88"/>
        <v>0</v>
      </c>
      <c r="DF86" s="1051" t="s">
        <v>37</v>
      </c>
      <c r="DG86" s="1080">
        <v>235083</v>
      </c>
      <c r="DH86" s="625">
        <f t="shared" si="89"/>
        <v>0</v>
      </c>
      <c r="DI86" s="625">
        <f t="shared" si="90"/>
        <v>0</v>
      </c>
      <c r="DJ86" s="626" t="str">
        <f t="shared" si="91"/>
        <v>00</v>
      </c>
    </row>
    <row r="87" spans="1:114" ht="15" customHeight="1">
      <c r="A87" s="1238"/>
      <c r="B87" s="1238"/>
      <c r="C87" s="1238"/>
      <c r="D87" s="1238"/>
      <c r="E87" s="1238"/>
      <c r="F87" s="1238"/>
      <c r="G87" s="1238"/>
      <c r="H87" s="1238"/>
      <c r="I87" s="1238"/>
      <c r="J87" s="1238"/>
      <c r="K87" s="1238"/>
      <c r="L87" s="1238"/>
      <c r="M87" s="1238"/>
      <c r="N87" s="1238"/>
      <c r="O87" s="1238"/>
      <c r="P87" s="1235">
        <v>84</v>
      </c>
      <c r="Q87" s="1386"/>
      <c r="R87" s="1387"/>
      <c r="S87" s="1368"/>
      <c r="T87" s="1369"/>
      <c r="U87" s="1391"/>
      <c r="V87" s="1360"/>
      <c r="W87" s="1067"/>
      <c r="X87" s="1062"/>
      <c r="Y87" s="1063"/>
      <c r="Z87" s="1153"/>
      <c r="AA87" s="1153"/>
      <c r="AB87" s="1361"/>
      <c r="AC87" s="1352" t="str">
        <f t="shared" si="51"/>
        <v>00</v>
      </c>
      <c r="AD87" s="524" t="str">
        <f t="shared" si="92"/>
        <v/>
      </c>
      <c r="AE87" s="525" t="str">
        <f>IF(AD87="","",VLOOKUP(AD87,所属コード!$A$2:$E$189,2,FALSE))</f>
        <v/>
      </c>
      <c r="AF87" s="1164" t="str">
        <f>IF(AD87="","",VLOOKUP(AD87,所属コード!$A$2:$G$189,7,FALSE))</f>
        <v/>
      </c>
      <c r="AG87" s="1166"/>
      <c r="AH87" s="77"/>
      <c r="AI87" s="77"/>
      <c r="AJ87" s="77"/>
      <c r="AK87" s="15"/>
      <c r="AM87" s="617"/>
      <c r="AN87" s="1090" t="str">
        <f t="shared" si="52"/>
        <v/>
      </c>
      <c r="AO87" s="618" t="str">
        <f t="shared" si="53"/>
        <v/>
      </c>
      <c r="AP87" s="617"/>
      <c r="AQ87" s="617"/>
      <c r="AR87" s="617"/>
      <c r="AS87" s="617"/>
      <c r="AT87" s="617"/>
      <c r="AU87" s="617"/>
      <c r="AV87" s="620"/>
      <c r="AW87" s="727"/>
      <c r="AX87" s="728"/>
      <c r="AY87" s="728"/>
      <c r="AZ87" s="728"/>
      <c r="BA87" s="728"/>
      <c r="BB87" s="728"/>
      <c r="BC87" s="728"/>
      <c r="BD87" s="728"/>
      <c r="BE87" s="728"/>
      <c r="BF87" s="728"/>
      <c r="BG87" s="728"/>
      <c r="BH87" s="728"/>
      <c r="BI87" s="728"/>
      <c r="BJ87" s="728"/>
      <c r="BK87" s="728"/>
      <c r="BL87" s="742"/>
      <c r="BM87" s="747">
        <f t="shared" si="54"/>
        <v>0</v>
      </c>
      <c r="BN87" s="738">
        <f t="shared" si="47"/>
        <v>0</v>
      </c>
      <c r="BO87" s="729">
        <f t="shared" si="48"/>
        <v>0</v>
      </c>
      <c r="BP87" s="730">
        <f t="shared" si="49"/>
        <v>0</v>
      </c>
      <c r="BQ87" s="729">
        <f t="shared" si="49"/>
        <v>0</v>
      </c>
      <c r="BR87" s="729">
        <f t="shared" si="55"/>
        <v>0</v>
      </c>
      <c r="BS87" s="729">
        <f t="shared" si="56"/>
        <v>0</v>
      </c>
      <c r="BT87" s="729">
        <f t="shared" si="57"/>
        <v>0</v>
      </c>
      <c r="BU87" s="729">
        <f t="shared" si="58"/>
        <v>0</v>
      </c>
      <c r="BV87" s="729">
        <f t="shared" si="59"/>
        <v>0</v>
      </c>
      <c r="BW87" s="729">
        <f t="shared" si="60"/>
        <v>0</v>
      </c>
      <c r="BX87" s="729">
        <f t="shared" si="60"/>
        <v>0</v>
      </c>
      <c r="BY87" s="729">
        <f t="shared" si="61"/>
        <v>0</v>
      </c>
      <c r="BZ87" s="729">
        <f t="shared" si="61"/>
        <v>0</v>
      </c>
      <c r="CA87" s="729">
        <f t="shared" si="62"/>
        <v>0</v>
      </c>
      <c r="CB87" s="729">
        <f t="shared" si="63"/>
        <v>0</v>
      </c>
      <c r="CC87" s="729">
        <f t="shared" si="63"/>
        <v>0</v>
      </c>
      <c r="CD87" s="729">
        <f t="shared" si="63"/>
        <v>0</v>
      </c>
      <c r="CE87" s="729">
        <f t="shared" si="64"/>
        <v>0</v>
      </c>
      <c r="CF87" s="729">
        <f t="shared" si="65"/>
        <v>0</v>
      </c>
      <c r="CG87" s="729">
        <f t="shared" si="66"/>
        <v>0</v>
      </c>
      <c r="CH87" s="729">
        <f t="shared" si="67"/>
        <v>0</v>
      </c>
      <c r="CI87" s="729">
        <f t="shared" si="68"/>
        <v>0</v>
      </c>
      <c r="CJ87" s="729">
        <f t="shared" si="69"/>
        <v>0</v>
      </c>
      <c r="CK87" s="729">
        <f t="shared" si="70"/>
        <v>0</v>
      </c>
      <c r="CL87" s="729">
        <f t="shared" si="71"/>
        <v>0</v>
      </c>
      <c r="CM87" s="729">
        <f t="shared" si="72"/>
        <v>0</v>
      </c>
      <c r="CN87" s="729">
        <f t="shared" si="73"/>
        <v>0</v>
      </c>
      <c r="CO87" s="729">
        <f t="shared" si="74"/>
        <v>0</v>
      </c>
      <c r="CP87" s="729">
        <f t="shared" si="75"/>
        <v>0</v>
      </c>
      <c r="CQ87" s="729">
        <f t="shared" si="76"/>
        <v>0</v>
      </c>
      <c r="CR87" s="729">
        <f t="shared" si="77"/>
        <v>0</v>
      </c>
      <c r="CS87" s="729">
        <f t="shared" si="78"/>
        <v>0</v>
      </c>
      <c r="CT87" s="729">
        <f t="shared" si="78"/>
        <v>0</v>
      </c>
      <c r="CU87" s="731">
        <f t="shared" si="79"/>
        <v>0</v>
      </c>
      <c r="CV87" s="692" t="str">
        <f t="shared" si="80"/>
        <v/>
      </c>
      <c r="CW87" s="659" t="str">
        <f t="shared" si="81"/>
        <v/>
      </c>
      <c r="CX87" s="659" t="str">
        <f t="shared" si="82"/>
        <v/>
      </c>
      <c r="CY87" s="659" t="str">
        <f t="shared" si="83"/>
        <v/>
      </c>
      <c r="CZ87" s="659" t="str">
        <f t="shared" si="84"/>
        <v/>
      </c>
      <c r="DA87" s="659" t="str">
        <f t="shared" si="85"/>
        <v/>
      </c>
      <c r="DB87" s="82" t="str">
        <f t="shared" si="86"/>
        <v/>
      </c>
      <c r="DC87" s="625" t="str">
        <f t="shared" si="50"/>
        <v/>
      </c>
      <c r="DD87" s="625" t="str">
        <f t="shared" si="87"/>
        <v>0</v>
      </c>
      <c r="DE87" s="620">
        <f t="shared" si="88"/>
        <v>0</v>
      </c>
      <c r="DF87" s="1051" t="s">
        <v>72</v>
      </c>
      <c r="DG87" s="1080">
        <v>235084</v>
      </c>
      <c r="DH87" s="625">
        <f t="shared" si="89"/>
        <v>0</v>
      </c>
      <c r="DI87" s="625">
        <f t="shared" si="90"/>
        <v>0</v>
      </c>
      <c r="DJ87" s="626" t="str">
        <f t="shared" si="91"/>
        <v>00</v>
      </c>
    </row>
    <row r="88" spans="1:114" ht="15" customHeight="1">
      <c r="A88" s="1238"/>
      <c r="B88" s="1238"/>
      <c r="C88" s="1238"/>
      <c r="D88" s="1238"/>
      <c r="E88" s="1238"/>
      <c r="F88" s="1238"/>
      <c r="G88" s="1238"/>
      <c r="H88" s="1238"/>
      <c r="I88" s="1238"/>
      <c r="J88" s="1238"/>
      <c r="K88" s="1238"/>
      <c r="L88" s="1238"/>
      <c r="M88" s="1238"/>
      <c r="N88" s="1238"/>
      <c r="O88" s="1238"/>
      <c r="P88" s="1235">
        <v>85</v>
      </c>
      <c r="Q88" s="1386"/>
      <c r="R88" s="1387"/>
      <c r="S88" s="1368"/>
      <c r="T88" s="1369"/>
      <c r="U88" s="1391"/>
      <c r="V88" s="1360"/>
      <c r="W88" s="1067"/>
      <c r="X88" s="1062"/>
      <c r="Y88" s="1063"/>
      <c r="Z88" s="1153"/>
      <c r="AA88" s="1153"/>
      <c r="AB88" s="1361"/>
      <c r="AC88" s="1352" t="str">
        <f t="shared" si="51"/>
        <v>00</v>
      </c>
      <c r="AD88" s="524" t="str">
        <f t="shared" si="92"/>
        <v/>
      </c>
      <c r="AE88" s="525" t="str">
        <f>IF(AD88="","",VLOOKUP(AD88,所属コード!$A$2:$E$189,2,FALSE))</f>
        <v/>
      </c>
      <c r="AF88" s="1164" t="str">
        <f>IF(AD88="","",VLOOKUP(AD88,所属コード!$A$2:$G$189,7,FALSE))</f>
        <v/>
      </c>
      <c r="AG88" s="1166"/>
      <c r="AH88" s="77"/>
      <c r="AI88" s="77"/>
      <c r="AJ88" s="77"/>
      <c r="AK88" s="15"/>
      <c r="AM88" s="617"/>
      <c r="AN88" s="1090" t="str">
        <f t="shared" si="52"/>
        <v/>
      </c>
      <c r="AO88" s="618" t="str">
        <f t="shared" si="53"/>
        <v/>
      </c>
      <c r="AP88" s="617"/>
      <c r="AQ88" s="617"/>
      <c r="AR88" s="617"/>
      <c r="AS88" s="617"/>
      <c r="AT88" s="617"/>
      <c r="AU88" s="617"/>
      <c r="AV88" s="620"/>
      <c r="AW88" s="727"/>
      <c r="AX88" s="728"/>
      <c r="AY88" s="728"/>
      <c r="AZ88" s="728"/>
      <c r="BA88" s="728"/>
      <c r="BB88" s="728"/>
      <c r="BC88" s="728"/>
      <c r="BD88" s="728"/>
      <c r="BE88" s="728"/>
      <c r="BF88" s="728"/>
      <c r="BG88" s="728"/>
      <c r="BH88" s="728"/>
      <c r="BI88" s="728"/>
      <c r="BJ88" s="728"/>
      <c r="BK88" s="728"/>
      <c r="BL88" s="742"/>
      <c r="BM88" s="747">
        <f t="shared" si="54"/>
        <v>0</v>
      </c>
      <c r="BN88" s="738">
        <f t="shared" si="47"/>
        <v>0</v>
      </c>
      <c r="BO88" s="729">
        <f t="shared" si="48"/>
        <v>0</v>
      </c>
      <c r="BP88" s="730">
        <f t="shared" si="49"/>
        <v>0</v>
      </c>
      <c r="BQ88" s="729">
        <f t="shared" si="49"/>
        <v>0</v>
      </c>
      <c r="BR88" s="729">
        <f t="shared" si="55"/>
        <v>0</v>
      </c>
      <c r="BS88" s="729">
        <f t="shared" si="56"/>
        <v>0</v>
      </c>
      <c r="BT88" s="729">
        <f t="shared" si="57"/>
        <v>0</v>
      </c>
      <c r="BU88" s="729">
        <f t="shared" si="58"/>
        <v>0</v>
      </c>
      <c r="BV88" s="729">
        <f t="shared" si="59"/>
        <v>0</v>
      </c>
      <c r="BW88" s="729">
        <f t="shared" si="60"/>
        <v>0</v>
      </c>
      <c r="BX88" s="729">
        <f t="shared" si="60"/>
        <v>0</v>
      </c>
      <c r="BY88" s="729">
        <f t="shared" si="61"/>
        <v>0</v>
      </c>
      <c r="BZ88" s="729">
        <f t="shared" si="61"/>
        <v>0</v>
      </c>
      <c r="CA88" s="729">
        <f t="shared" si="62"/>
        <v>0</v>
      </c>
      <c r="CB88" s="729">
        <f t="shared" si="63"/>
        <v>0</v>
      </c>
      <c r="CC88" s="729">
        <f t="shared" si="63"/>
        <v>0</v>
      </c>
      <c r="CD88" s="729">
        <f t="shared" si="63"/>
        <v>0</v>
      </c>
      <c r="CE88" s="729">
        <f t="shared" si="64"/>
        <v>0</v>
      </c>
      <c r="CF88" s="729">
        <f t="shared" si="65"/>
        <v>0</v>
      </c>
      <c r="CG88" s="729">
        <f t="shared" si="66"/>
        <v>0</v>
      </c>
      <c r="CH88" s="729">
        <f t="shared" si="67"/>
        <v>0</v>
      </c>
      <c r="CI88" s="729">
        <f t="shared" si="68"/>
        <v>0</v>
      </c>
      <c r="CJ88" s="729">
        <f t="shared" si="69"/>
        <v>0</v>
      </c>
      <c r="CK88" s="729">
        <f t="shared" si="70"/>
        <v>0</v>
      </c>
      <c r="CL88" s="729">
        <f t="shared" si="71"/>
        <v>0</v>
      </c>
      <c r="CM88" s="729">
        <f t="shared" si="72"/>
        <v>0</v>
      </c>
      <c r="CN88" s="729">
        <f t="shared" si="73"/>
        <v>0</v>
      </c>
      <c r="CO88" s="729">
        <f t="shared" si="74"/>
        <v>0</v>
      </c>
      <c r="CP88" s="729">
        <f t="shared" si="75"/>
        <v>0</v>
      </c>
      <c r="CQ88" s="729">
        <f t="shared" si="76"/>
        <v>0</v>
      </c>
      <c r="CR88" s="729">
        <f t="shared" si="77"/>
        <v>0</v>
      </c>
      <c r="CS88" s="729">
        <f t="shared" si="78"/>
        <v>0</v>
      </c>
      <c r="CT88" s="729">
        <f t="shared" si="78"/>
        <v>0</v>
      </c>
      <c r="CU88" s="731">
        <f t="shared" si="79"/>
        <v>0</v>
      </c>
      <c r="CV88" s="692" t="str">
        <f t="shared" si="80"/>
        <v/>
      </c>
      <c r="CW88" s="659" t="str">
        <f t="shared" si="81"/>
        <v/>
      </c>
      <c r="CX88" s="659" t="str">
        <f t="shared" si="82"/>
        <v/>
      </c>
      <c r="CY88" s="659" t="str">
        <f t="shared" si="83"/>
        <v/>
      </c>
      <c r="CZ88" s="659" t="str">
        <f t="shared" si="84"/>
        <v/>
      </c>
      <c r="DA88" s="659" t="str">
        <f t="shared" si="85"/>
        <v/>
      </c>
      <c r="DB88" s="82" t="str">
        <f t="shared" si="86"/>
        <v/>
      </c>
      <c r="DC88" s="625" t="str">
        <f t="shared" si="50"/>
        <v/>
      </c>
      <c r="DD88" s="625" t="str">
        <f t="shared" si="87"/>
        <v>0</v>
      </c>
      <c r="DE88" s="620">
        <f t="shared" si="88"/>
        <v>0</v>
      </c>
      <c r="DF88" s="1051" t="s">
        <v>156</v>
      </c>
      <c r="DG88" s="1080">
        <v>235085</v>
      </c>
      <c r="DH88" s="625">
        <f t="shared" si="89"/>
        <v>0</v>
      </c>
      <c r="DI88" s="625">
        <f t="shared" si="90"/>
        <v>0</v>
      </c>
      <c r="DJ88" s="626" t="str">
        <f t="shared" si="91"/>
        <v>00</v>
      </c>
    </row>
    <row r="89" spans="1:114" ht="15" customHeight="1">
      <c r="A89" s="1238"/>
      <c r="B89" s="1238"/>
      <c r="C89" s="1238"/>
      <c r="D89" s="1238"/>
      <c r="E89" s="1238"/>
      <c r="F89" s="1238"/>
      <c r="G89" s="1238"/>
      <c r="H89" s="1238"/>
      <c r="I89" s="1238"/>
      <c r="J89" s="1238"/>
      <c r="K89" s="1238"/>
      <c r="L89" s="1238"/>
      <c r="M89" s="1238"/>
      <c r="N89" s="1238"/>
      <c r="O89" s="1238"/>
      <c r="P89" s="1235">
        <v>86</v>
      </c>
      <c r="Q89" s="1386"/>
      <c r="R89" s="1387"/>
      <c r="S89" s="1368"/>
      <c r="T89" s="1369"/>
      <c r="U89" s="1391"/>
      <c r="V89" s="1360"/>
      <c r="W89" s="1067"/>
      <c r="X89" s="1062"/>
      <c r="Y89" s="1063"/>
      <c r="Z89" s="1153"/>
      <c r="AA89" s="1153"/>
      <c r="AB89" s="1361"/>
      <c r="AC89" s="1352" t="str">
        <f t="shared" si="51"/>
        <v>00</v>
      </c>
      <c r="AD89" s="524" t="str">
        <f t="shared" si="92"/>
        <v/>
      </c>
      <c r="AE89" s="525" t="str">
        <f>IF(AD89="","",VLOOKUP(AD89,所属コード!$A$2:$E$189,2,FALSE))</f>
        <v/>
      </c>
      <c r="AF89" s="1164" t="str">
        <f>IF(AD89="","",VLOOKUP(AD89,所属コード!$A$2:$G$189,7,FALSE))</f>
        <v/>
      </c>
      <c r="AG89" s="1166"/>
      <c r="AH89" s="77"/>
      <c r="AI89" s="77"/>
      <c r="AJ89" s="77"/>
      <c r="AK89" s="15"/>
      <c r="AM89" s="617"/>
      <c r="AN89" s="1090" t="str">
        <f t="shared" si="52"/>
        <v/>
      </c>
      <c r="AO89" s="618" t="str">
        <f t="shared" si="53"/>
        <v/>
      </c>
      <c r="AP89" s="617"/>
      <c r="AQ89" s="617"/>
      <c r="AR89" s="617"/>
      <c r="AS89" s="617"/>
      <c r="AT89" s="617"/>
      <c r="AU89" s="617"/>
      <c r="AV89" s="620"/>
      <c r="AW89" s="727"/>
      <c r="AX89" s="728"/>
      <c r="AY89" s="728"/>
      <c r="AZ89" s="728"/>
      <c r="BA89" s="728"/>
      <c r="BB89" s="728"/>
      <c r="BC89" s="728"/>
      <c r="BD89" s="728"/>
      <c r="BE89" s="728"/>
      <c r="BF89" s="728"/>
      <c r="BG89" s="728"/>
      <c r="BH89" s="728"/>
      <c r="BI89" s="728"/>
      <c r="BJ89" s="728"/>
      <c r="BK89" s="728"/>
      <c r="BL89" s="742"/>
      <c r="BM89" s="747">
        <f t="shared" si="54"/>
        <v>0</v>
      </c>
      <c r="BN89" s="738">
        <f t="shared" si="47"/>
        <v>0</v>
      </c>
      <c r="BO89" s="729">
        <f t="shared" si="48"/>
        <v>0</v>
      </c>
      <c r="BP89" s="730">
        <f t="shared" si="49"/>
        <v>0</v>
      </c>
      <c r="BQ89" s="729">
        <f t="shared" si="49"/>
        <v>0</v>
      </c>
      <c r="BR89" s="729">
        <f t="shared" si="55"/>
        <v>0</v>
      </c>
      <c r="BS89" s="729">
        <f t="shared" si="56"/>
        <v>0</v>
      </c>
      <c r="BT89" s="729">
        <f t="shared" si="57"/>
        <v>0</v>
      </c>
      <c r="BU89" s="729">
        <f t="shared" si="58"/>
        <v>0</v>
      </c>
      <c r="BV89" s="729">
        <f t="shared" si="59"/>
        <v>0</v>
      </c>
      <c r="BW89" s="729">
        <f t="shared" si="60"/>
        <v>0</v>
      </c>
      <c r="BX89" s="729">
        <f t="shared" si="60"/>
        <v>0</v>
      </c>
      <c r="BY89" s="729">
        <f t="shared" si="61"/>
        <v>0</v>
      </c>
      <c r="BZ89" s="729">
        <f t="shared" si="61"/>
        <v>0</v>
      </c>
      <c r="CA89" s="729">
        <f t="shared" si="62"/>
        <v>0</v>
      </c>
      <c r="CB89" s="729">
        <f t="shared" si="63"/>
        <v>0</v>
      </c>
      <c r="CC89" s="729">
        <f t="shared" si="63"/>
        <v>0</v>
      </c>
      <c r="CD89" s="729">
        <f t="shared" si="63"/>
        <v>0</v>
      </c>
      <c r="CE89" s="729">
        <f t="shared" si="64"/>
        <v>0</v>
      </c>
      <c r="CF89" s="729">
        <f t="shared" si="65"/>
        <v>0</v>
      </c>
      <c r="CG89" s="729">
        <f t="shared" si="66"/>
        <v>0</v>
      </c>
      <c r="CH89" s="729">
        <f t="shared" si="67"/>
        <v>0</v>
      </c>
      <c r="CI89" s="729">
        <f t="shared" si="68"/>
        <v>0</v>
      </c>
      <c r="CJ89" s="729">
        <f t="shared" si="69"/>
        <v>0</v>
      </c>
      <c r="CK89" s="729">
        <f t="shared" si="70"/>
        <v>0</v>
      </c>
      <c r="CL89" s="729">
        <f t="shared" si="71"/>
        <v>0</v>
      </c>
      <c r="CM89" s="729">
        <f t="shared" si="72"/>
        <v>0</v>
      </c>
      <c r="CN89" s="729">
        <f t="shared" si="73"/>
        <v>0</v>
      </c>
      <c r="CO89" s="729">
        <f t="shared" si="74"/>
        <v>0</v>
      </c>
      <c r="CP89" s="729">
        <f t="shared" si="75"/>
        <v>0</v>
      </c>
      <c r="CQ89" s="729">
        <f t="shared" si="76"/>
        <v>0</v>
      </c>
      <c r="CR89" s="729">
        <f t="shared" si="77"/>
        <v>0</v>
      </c>
      <c r="CS89" s="729">
        <f t="shared" si="78"/>
        <v>0</v>
      </c>
      <c r="CT89" s="729">
        <f t="shared" si="78"/>
        <v>0</v>
      </c>
      <c r="CU89" s="731">
        <f t="shared" si="79"/>
        <v>0</v>
      </c>
      <c r="CV89" s="692" t="str">
        <f t="shared" si="80"/>
        <v/>
      </c>
      <c r="CW89" s="659" t="str">
        <f t="shared" si="81"/>
        <v/>
      </c>
      <c r="CX89" s="659" t="str">
        <f t="shared" si="82"/>
        <v/>
      </c>
      <c r="CY89" s="659" t="str">
        <f t="shared" si="83"/>
        <v/>
      </c>
      <c r="CZ89" s="659" t="str">
        <f t="shared" si="84"/>
        <v/>
      </c>
      <c r="DA89" s="659" t="str">
        <f t="shared" si="85"/>
        <v/>
      </c>
      <c r="DB89" s="82" t="str">
        <f t="shared" si="86"/>
        <v/>
      </c>
      <c r="DC89" s="625" t="str">
        <f t="shared" si="50"/>
        <v/>
      </c>
      <c r="DD89" s="625" t="str">
        <f t="shared" si="87"/>
        <v>0</v>
      </c>
      <c r="DE89" s="620">
        <f t="shared" si="88"/>
        <v>0</v>
      </c>
      <c r="DF89" s="1051" t="s">
        <v>73</v>
      </c>
      <c r="DG89" s="1080">
        <v>235086</v>
      </c>
      <c r="DH89" s="625">
        <f t="shared" si="89"/>
        <v>0</v>
      </c>
      <c r="DI89" s="625">
        <f t="shared" si="90"/>
        <v>0</v>
      </c>
      <c r="DJ89" s="626" t="str">
        <f t="shared" si="91"/>
        <v>00</v>
      </c>
    </row>
    <row r="90" spans="1:114" ht="15" customHeight="1">
      <c r="A90" s="1238"/>
      <c r="B90" s="1238"/>
      <c r="C90" s="1238"/>
      <c r="D90" s="1238"/>
      <c r="E90" s="1238"/>
      <c r="F90" s="1238"/>
      <c r="G90" s="1238"/>
      <c r="H90" s="1238"/>
      <c r="I90" s="1238"/>
      <c r="J90" s="1238"/>
      <c r="K90" s="1238"/>
      <c r="L90" s="1238"/>
      <c r="M90" s="1238"/>
      <c r="N90" s="1238"/>
      <c r="O90" s="1238"/>
      <c r="P90" s="1235">
        <v>87</v>
      </c>
      <c r="Q90" s="1386"/>
      <c r="R90" s="1387"/>
      <c r="S90" s="1368"/>
      <c r="T90" s="1369"/>
      <c r="U90" s="1391"/>
      <c r="V90" s="1360"/>
      <c r="W90" s="1067"/>
      <c r="X90" s="1062"/>
      <c r="Y90" s="1063"/>
      <c r="Z90" s="1153"/>
      <c r="AA90" s="1153"/>
      <c r="AB90" s="1361"/>
      <c r="AC90" s="1352" t="str">
        <f t="shared" si="51"/>
        <v>00</v>
      </c>
      <c r="AD90" s="524" t="str">
        <f t="shared" si="92"/>
        <v/>
      </c>
      <c r="AE90" s="525" t="str">
        <f>IF(AD90="","",VLOOKUP(AD90,所属コード!$A$2:$E$189,2,FALSE))</f>
        <v/>
      </c>
      <c r="AF90" s="1164" t="str">
        <f>IF(AD90="","",VLOOKUP(AD90,所属コード!$A$2:$G$189,7,FALSE))</f>
        <v/>
      </c>
      <c r="AG90" s="1166"/>
      <c r="AH90" s="77"/>
      <c r="AI90" s="77"/>
      <c r="AJ90" s="77"/>
      <c r="AK90" s="15"/>
      <c r="AM90" s="617"/>
      <c r="AN90" s="1090" t="str">
        <f t="shared" si="52"/>
        <v/>
      </c>
      <c r="AO90" s="618" t="str">
        <f t="shared" si="53"/>
        <v/>
      </c>
      <c r="AP90" s="617"/>
      <c r="AQ90" s="617"/>
      <c r="AR90" s="617"/>
      <c r="AS90" s="617"/>
      <c r="AT90" s="617"/>
      <c r="AU90" s="617"/>
      <c r="AV90" s="620"/>
      <c r="AW90" s="727"/>
      <c r="AX90" s="728"/>
      <c r="AY90" s="728"/>
      <c r="AZ90" s="728"/>
      <c r="BA90" s="728"/>
      <c r="BB90" s="728"/>
      <c r="BC90" s="728"/>
      <c r="BD90" s="728"/>
      <c r="BE90" s="728"/>
      <c r="BF90" s="728"/>
      <c r="BG90" s="728"/>
      <c r="BH90" s="728"/>
      <c r="BI90" s="728"/>
      <c r="BJ90" s="728"/>
      <c r="BK90" s="728"/>
      <c r="BL90" s="742"/>
      <c r="BM90" s="747">
        <f t="shared" si="54"/>
        <v>0</v>
      </c>
      <c r="BN90" s="738">
        <f t="shared" si="47"/>
        <v>0</v>
      </c>
      <c r="BO90" s="729">
        <f t="shared" si="48"/>
        <v>0</v>
      </c>
      <c r="BP90" s="730">
        <f t="shared" si="49"/>
        <v>0</v>
      </c>
      <c r="BQ90" s="729">
        <f t="shared" si="49"/>
        <v>0</v>
      </c>
      <c r="BR90" s="729">
        <f t="shared" si="55"/>
        <v>0</v>
      </c>
      <c r="BS90" s="729">
        <f t="shared" si="56"/>
        <v>0</v>
      </c>
      <c r="BT90" s="729">
        <f t="shared" si="57"/>
        <v>0</v>
      </c>
      <c r="BU90" s="729">
        <f t="shared" si="58"/>
        <v>0</v>
      </c>
      <c r="BV90" s="729">
        <f t="shared" si="59"/>
        <v>0</v>
      </c>
      <c r="BW90" s="729">
        <f t="shared" si="60"/>
        <v>0</v>
      </c>
      <c r="BX90" s="729">
        <f t="shared" si="60"/>
        <v>0</v>
      </c>
      <c r="BY90" s="729">
        <f t="shared" si="61"/>
        <v>0</v>
      </c>
      <c r="BZ90" s="729">
        <f t="shared" si="61"/>
        <v>0</v>
      </c>
      <c r="CA90" s="729">
        <f t="shared" si="62"/>
        <v>0</v>
      </c>
      <c r="CB90" s="729">
        <f t="shared" si="63"/>
        <v>0</v>
      </c>
      <c r="CC90" s="729">
        <f t="shared" si="63"/>
        <v>0</v>
      </c>
      <c r="CD90" s="729">
        <f t="shared" si="63"/>
        <v>0</v>
      </c>
      <c r="CE90" s="729">
        <f t="shared" si="64"/>
        <v>0</v>
      </c>
      <c r="CF90" s="729">
        <f t="shared" si="65"/>
        <v>0</v>
      </c>
      <c r="CG90" s="729">
        <f t="shared" si="66"/>
        <v>0</v>
      </c>
      <c r="CH90" s="729">
        <f t="shared" si="67"/>
        <v>0</v>
      </c>
      <c r="CI90" s="729">
        <f t="shared" si="68"/>
        <v>0</v>
      </c>
      <c r="CJ90" s="729">
        <f t="shared" si="69"/>
        <v>0</v>
      </c>
      <c r="CK90" s="729">
        <f t="shared" si="70"/>
        <v>0</v>
      </c>
      <c r="CL90" s="729">
        <f t="shared" si="71"/>
        <v>0</v>
      </c>
      <c r="CM90" s="729">
        <f t="shared" si="72"/>
        <v>0</v>
      </c>
      <c r="CN90" s="729">
        <f t="shared" si="73"/>
        <v>0</v>
      </c>
      <c r="CO90" s="729">
        <f t="shared" si="74"/>
        <v>0</v>
      </c>
      <c r="CP90" s="729">
        <f t="shared" si="75"/>
        <v>0</v>
      </c>
      <c r="CQ90" s="729">
        <f t="shared" si="76"/>
        <v>0</v>
      </c>
      <c r="CR90" s="729">
        <f t="shared" si="77"/>
        <v>0</v>
      </c>
      <c r="CS90" s="729">
        <f t="shared" si="78"/>
        <v>0</v>
      </c>
      <c r="CT90" s="729">
        <f t="shared" si="78"/>
        <v>0</v>
      </c>
      <c r="CU90" s="731">
        <f t="shared" si="79"/>
        <v>0</v>
      </c>
      <c r="CV90" s="692" t="str">
        <f t="shared" si="80"/>
        <v/>
      </c>
      <c r="CW90" s="659" t="str">
        <f t="shared" si="81"/>
        <v/>
      </c>
      <c r="CX90" s="659" t="str">
        <f t="shared" si="82"/>
        <v/>
      </c>
      <c r="CY90" s="659" t="str">
        <f t="shared" si="83"/>
        <v/>
      </c>
      <c r="CZ90" s="659" t="str">
        <f t="shared" si="84"/>
        <v/>
      </c>
      <c r="DA90" s="659" t="str">
        <f t="shared" si="85"/>
        <v/>
      </c>
      <c r="DB90" s="82" t="str">
        <f t="shared" si="86"/>
        <v/>
      </c>
      <c r="DC90" s="625" t="str">
        <f t="shared" si="50"/>
        <v/>
      </c>
      <c r="DD90" s="625" t="str">
        <f t="shared" si="87"/>
        <v>0</v>
      </c>
      <c r="DE90" s="620">
        <f t="shared" si="88"/>
        <v>0</v>
      </c>
      <c r="DF90" s="1051" t="s">
        <v>74</v>
      </c>
      <c r="DG90" s="1080">
        <v>235087</v>
      </c>
      <c r="DH90" s="625">
        <f t="shared" si="89"/>
        <v>0</v>
      </c>
      <c r="DI90" s="625">
        <f t="shared" si="90"/>
        <v>0</v>
      </c>
      <c r="DJ90" s="626" t="str">
        <f t="shared" si="91"/>
        <v>00</v>
      </c>
    </row>
    <row r="91" spans="1:114" ht="15" customHeight="1">
      <c r="A91" s="1238"/>
      <c r="B91" s="1238"/>
      <c r="C91" s="1238"/>
      <c r="D91" s="1238"/>
      <c r="E91" s="1238"/>
      <c r="F91" s="1238"/>
      <c r="G91" s="1238"/>
      <c r="H91" s="1238"/>
      <c r="I91" s="1238"/>
      <c r="J91" s="1238"/>
      <c r="K91" s="1238"/>
      <c r="L91" s="1238"/>
      <c r="M91" s="1238"/>
      <c r="N91" s="1238"/>
      <c r="O91" s="1238"/>
      <c r="P91" s="1235">
        <v>88</v>
      </c>
      <c r="Q91" s="1386"/>
      <c r="R91" s="1387"/>
      <c r="S91" s="1368"/>
      <c r="T91" s="1369"/>
      <c r="U91" s="1391"/>
      <c r="V91" s="1360"/>
      <c r="W91" s="1067"/>
      <c r="X91" s="1062"/>
      <c r="Y91" s="1063"/>
      <c r="Z91" s="1153"/>
      <c r="AA91" s="1153"/>
      <c r="AB91" s="1361"/>
      <c r="AC91" s="1352" t="str">
        <f t="shared" si="51"/>
        <v>00</v>
      </c>
      <c r="AD91" s="524" t="str">
        <f t="shared" si="92"/>
        <v/>
      </c>
      <c r="AE91" s="525" t="str">
        <f>IF(AD91="","",VLOOKUP(AD91,所属コード!$A$2:$E$189,2,FALSE))</f>
        <v/>
      </c>
      <c r="AF91" s="1164" t="str">
        <f>IF(AD91="","",VLOOKUP(AD91,所属コード!$A$2:$G$189,7,FALSE))</f>
        <v/>
      </c>
      <c r="AG91" s="1166"/>
      <c r="AH91" s="77"/>
      <c r="AI91" s="77"/>
      <c r="AJ91" s="77"/>
      <c r="AK91" s="15"/>
      <c r="AM91" s="617"/>
      <c r="AN91" s="1090" t="str">
        <f t="shared" si="52"/>
        <v/>
      </c>
      <c r="AO91" s="618" t="str">
        <f t="shared" si="53"/>
        <v/>
      </c>
      <c r="AP91" s="617"/>
      <c r="AQ91" s="617"/>
      <c r="AR91" s="617"/>
      <c r="AS91" s="617"/>
      <c r="AT91" s="617"/>
      <c r="AU91" s="617"/>
      <c r="AV91" s="620"/>
      <c r="AW91" s="727"/>
      <c r="AX91" s="728"/>
      <c r="AY91" s="728"/>
      <c r="AZ91" s="728"/>
      <c r="BA91" s="728"/>
      <c r="BB91" s="728"/>
      <c r="BC91" s="728"/>
      <c r="BD91" s="728"/>
      <c r="BE91" s="728"/>
      <c r="BF91" s="728"/>
      <c r="BG91" s="728"/>
      <c r="BH91" s="728"/>
      <c r="BI91" s="728"/>
      <c r="BJ91" s="728"/>
      <c r="BK91" s="728"/>
      <c r="BL91" s="742"/>
      <c r="BM91" s="747">
        <f t="shared" si="54"/>
        <v>0</v>
      </c>
      <c r="BN91" s="738">
        <f t="shared" si="47"/>
        <v>0</v>
      </c>
      <c r="BO91" s="729">
        <f t="shared" si="48"/>
        <v>0</v>
      </c>
      <c r="BP91" s="730">
        <f t="shared" si="49"/>
        <v>0</v>
      </c>
      <c r="BQ91" s="729">
        <f t="shared" si="49"/>
        <v>0</v>
      </c>
      <c r="BR91" s="729">
        <f t="shared" si="55"/>
        <v>0</v>
      </c>
      <c r="BS91" s="729">
        <f t="shared" si="56"/>
        <v>0</v>
      </c>
      <c r="BT91" s="729">
        <f t="shared" si="57"/>
        <v>0</v>
      </c>
      <c r="BU91" s="729">
        <f t="shared" si="58"/>
        <v>0</v>
      </c>
      <c r="BV91" s="729">
        <f t="shared" si="59"/>
        <v>0</v>
      </c>
      <c r="BW91" s="729">
        <f t="shared" si="60"/>
        <v>0</v>
      </c>
      <c r="BX91" s="729">
        <f t="shared" si="60"/>
        <v>0</v>
      </c>
      <c r="BY91" s="729">
        <f t="shared" si="61"/>
        <v>0</v>
      </c>
      <c r="BZ91" s="729">
        <f t="shared" si="61"/>
        <v>0</v>
      </c>
      <c r="CA91" s="729">
        <f t="shared" si="62"/>
        <v>0</v>
      </c>
      <c r="CB91" s="729">
        <f t="shared" si="63"/>
        <v>0</v>
      </c>
      <c r="CC91" s="729">
        <f t="shared" si="63"/>
        <v>0</v>
      </c>
      <c r="CD91" s="729">
        <f t="shared" si="63"/>
        <v>0</v>
      </c>
      <c r="CE91" s="729">
        <f t="shared" si="64"/>
        <v>0</v>
      </c>
      <c r="CF91" s="729">
        <f t="shared" si="65"/>
        <v>0</v>
      </c>
      <c r="CG91" s="729">
        <f t="shared" si="66"/>
        <v>0</v>
      </c>
      <c r="CH91" s="729">
        <f t="shared" si="67"/>
        <v>0</v>
      </c>
      <c r="CI91" s="729">
        <f t="shared" si="68"/>
        <v>0</v>
      </c>
      <c r="CJ91" s="729">
        <f t="shared" si="69"/>
        <v>0</v>
      </c>
      <c r="CK91" s="729">
        <f t="shared" si="70"/>
        <v>0</v>
      </c>
      <c r="CL91" s="729">
        <f t="shared" si="71"/>
        <v>0</v>
      </c>
      <c r="CM91" s="729">
        <f t="shared" si="72"/>
        <v>0</v>
      </c>
      <c r="CN91" s="729">
        <f t="shared" si="73"/>
        <v>0</v>
      </c>
      <c r="CO91" s="729">
        <f t="shared" si="74"/>
        <v>0</v>
      </c>
      <c r="CP91" s="729">
        <f t="shared" si="75"/>
        <v>0</v>
      </c>
      <c r="CQ91" s="729">
        <f t="shared" si="76"/>
        <v>0</v>
      </c>
      <c r="CR91" s="729">
        <f t="shared" si="77"/>
        <v>0</v>
      </c>
      <c r="CS91" s="729">
        <f t="shared" si="78"/>
        <v>0</v>
      </c>
      <c r="CT91" s="729">
        <f t="shared" si="78"/>
        <v>0</v>
      </c>
      <c r="CU91" s="731">
        <f t="shared" si="79"/>
        <v>0</v>
      </c>
      <c r="CV91" s="692" t="str">
        <f t="shared" si="80"/>
        <v/>
      </c>
      <c r="CW91" s="659" t="str">
        <f t="shared" si="81"/>
        <v/>
      </c>
      <c r="CX91" s="659" t="str">
        <f t="shared" si="82"/>
        <v/>
      </c>
      <c r="CY91" s="659" t="str">
        <f t="shared" si="83"/>
        <v/>
      </c>
      <c r="CZ91" s="659" t="str">
        <f t="shared" si="84"/>
        <v/>
      </c>
      <c r="DA91" s="659" t="str">
        <f t="shared" si="85"/>
        <v/>
      </c>
      <c r="DB91" s="82" t="str">
        <f t="shared" si="86"/>
        <v/>
      </c>
      <c r="DC91" s="625" t="str">
        <f t="shared" si="50"/>
        <v/>
      </c>
      <c r="DD91" s="625" t="str">
        <f t="shared" si="87"/>
        <v>0</v>
      </c>
      <c r="DE91" s="620">
        <f t="shared" si="88"/>
        <v>0</v>
      </c>
      <c r="DF91" s="1051" t="s">
        <v>75</v>
      </c>
      <c r="DG91" s="1080">
        <v>235088</v>
      </c>
      <c r="DH91" s="625">
        <f t="shared" si="89"/>
        <v>0</v>
      </c>
      <c r="DI91" s="625">
        <f t="shared" si="90"/>
        <v>0</v>
      </c>
      <c r="DJ91" s="626" t="str">
        <f t="shared" si="91"/>
        <v>00</v>
      </c>
    </row>
    <row r="92" spans="1:114" ht="15" customHeight="1">
      <c r="A92" s="1238"/>
      <c r="B92" s="1238"/>
      <c r="C92" s="1238"/>
      <c r="D92" s="1238"/>
      <c r="E92" s="1238"/>
      <c r="F92" s="1238"/>
      <c r="G92" s="1238"/>
      <c r="H92" s="1238"/>
      <c r="I92" s="1238"/>
      <c r="J92" s="1238"/>
      <c r="K92" s="1238"/>
      <c r="L92" s="1238"/>
      <c r="M92" s="1238"/>
      <c r="N92" s="1238"/>
      <c r="O92" s="1238"/>
      <c r="P92" s="1235">
        <v>89</v>
      </c>
      <c r="Q92" s="1386"/>
      <c r="R92" s="1387"/>
      <c r="S92" s="1368"/>
      <c r="T92" s="1369"/>
      <c r="U92" s="1391"/>
      <c r="V92" s="1360"/>
      <c r="W92" s="1067"/>
      <c r="X92" s="1062"/>
      <c r="Y92" s="1063"/>
      <c r="Z92" s="1153"/>
      <c r="AA92" s="1153"/>
      <c r="AB92" s="1361"/>
      <c r="AC92" s="1352" t="str">
        <f t="shared" si="51"/>
        <v>00</v>
      </c>
      <c r="AD92" s="524" t="str">
        <f t="shared" si="92"/>
        <v/>
      </c>
      <c r="AE92" s="525" t="str">
        <f>IF(AD92="","",VLOOKUP(AD92,所属コード!$A$2:$E$189,2,FALSE))</f>
        <v/>
      </c>
      <c r="AF92" s="1164" t="str">
        <f>IF(AD92="","",VLOOKUP(AD92,所属コード!$A$2:$G$189,7,FALSE))</f>
        <v/>
      </c>
      <c r="AG92" s="1166"/>
      <c r="AH92" s="77"/>
      <c r="AI92" s="77"/>
      <c r="AJ92" s="77"/>
      <c r="AK92" s="15"/>
      <c r="AM92" s="617"/>
      <c r="AN92" s="1090" t="str">
        <f t="shared" si="52"/>
        <v/>
      </c>
      <c r="AO92" s="618" t="str">
        <f t="shared" si="53"/>
        <v/>
      </c>
      <c r="AP92" s="617"/>
      <c r="AQ92" s="617"/>
      <c r="AR92" s="617"/>
      <c r="AS92" s="617"/>
      <c r="AT92" s="617"/>
      <c r="AU92" s="617"/>
      <c r="AV92" s="620"/>
      <c r="AW92" s="727"/>
      <c r="AX92" s="728"/>
      <c r="AY92" s="728"/>
      <c r="AZ92" s="728"/>
      <c r="BA92" s="728"/>
      <c r="BB92" s="728"/>
      <c r="BC92" s="728"/>
      <c r="BD92" s="728"/>
      <c r="BE92" s="728"/>
      <c r="BF92" s="728"/>
      <c r="BG92" s="728"/>
      <c r="BH92" s="728"/>
      <c r="BI92" s="728"/>
      <c r="BJ92" s="728"/>
      <c r="BK92" s="728"/>
      <c r="BL92" s="742"/>
      <c r="BM92" s="747">
        <f t="shared" si="54"/>
        <v>0</v>
      </c>
      <c r="BN92" s="738">
        <f t="shared" si="47"/>
        <v>0</v>
      </c>
      <c r="BO92" s="729">
        <f t="shared" si="48"/>
        <v>0</v>
      </c>
      <c r="BP92" s="730">
        <f t="shared" si="49"/>
        <v>0</v>
      </c>
      <c r="BQ92" s="729">
        <f t="shared" si="49"/>
        <v>0</v>
      </c>
      <c r="BR92" s="729">
        <f t="shared" si="55"/>
        <v>0</v>
      </c>
      <c r="BS92" s="729">
        <f t="shared" si="56"/>
        <v>0</v>
      </c>
      <c r="BT92" s="729">
        <f t="shared" si="57"/>
        <v>0</v>
      </c>
      <c r="BU92" s="729">
        <f t="shared" si="58"/>
        <v>0</v>
      </c>
      <c r="BV92" s="729">
        <f t="shared" si="59"/>
        <v>0</v>
      </c>
      <c r="BW92" s="729">
        <f t="shared" si="60"/>
        <v>0</v>
      </c>
      <c r="BX92" s="729">
        <f t="shared" si="60"/>
        <v>0</v>
      </c>
      <c r="BY92" s="729">
        <f t="shared" si="61"/>
        <v>0</v>
      </c>
      <c r="BZ92" s="729">
        <f t="shared" si="61"/>
        <v>0</v>
      </c>
      <c r="CA92" s="729">
        <f t="shared" si="62"/>
        <v>0</v>
      </c>
      <c r="CB92" s="729">
        <f t="shared" si="63"/>
        <v>0</v>
      </c>
      <c r="CC92" s="729">
        <f t="shared" si="63"/>
        <v>0</v>
      </c>
      <c r="CD92" s="729">
        <f t="shared" si="63"/>
        <v>0</v>
      </c>
      <c r="CE92" s="729">
        <f t="shared" si="64"/>
        <v>0</v>
      </c>
      <c r="CF92" s="729">
        <f t="shared" si="65"/>
        <v>0</v>
      </c>
      <c r="CG92" s="729">
        <f t="shared" si="66"/>
        <v>0</v>
      </c>
      <c r="CH92" s="729">
        <f t="shared" si="67"/>
        <v>0</v>
      </c>
      <c r="CI92" s="729">
        <f t="shared" si="68"/>
        <v>0</v>
      </c>
      <c r="CJ92" s="729">
        <f t="shared" si="69"/>
        <v>0</v>
      </c>
      <c r="CK92" s="729">
        <f t="shared" si="70"/>
        <v>0</v>
      </c>
      <c r="CL92" s="729">
        <f t="shared" si="71"/>
        <v>0</v>
      </c>
      <c r="CM92" s="729">
        <f t="shared" si="72"/>
        <v>0</v>
      </c>
      <c r="CN92" s="729">
        <f t="shared" si="73"/>
        <v>0</v>
      </c>
      <c r="CO92" s="729">
        <f t="shared" si="74"/>
        <v>0</v>
      </c>
      <c r="CP92" s="729">
        <f t="shared" si="75"/>
        <v>0</v>
      </c>
      <c r="CQ92" s="729">
        <f t="shared" si="76"/>
        <v>0</v>
      </c>
      <c r="CR92" s="729">
        <f t="shared" si="77"/>
        <v>0</v>
      </c>
      <c r="CS92" s="729">
        <f t="shared" si="78"/>
        <v>0</v>
      </c>
      <c r="CT92" s="729">
        <f t="shared" si="78"/>
        <v>0</v>
      </c>
      <c r="CU92" s="731">
        <f t="shared" si="79"/>
        <v>0</v>
      </c>
      <c r="CV92" s="692" t="str">
        <f t="shared" si="80"/>
        <v/>
      </c>
      <c r="CW92" s="659" t="str">
        <f t="shared" si="81"/>
        <v/>
      </c>
      <c r="CX92" s="659" t="str">
        <f t="shared" si="82"/>
        <v/>
      </c>
      <c r="CY92" s="659" t="str">
        <f t="shared" si="83"/>
        <v/>
      </c>
      <c r="CZ92" s="659" t="str">
        <f t="shared" si="84"/>
        <v/>
      </c>
      <c r="DA92" s="659" t="str">
        <f t="shared" si="85"/>
        <v/>
      </c>
      <c r="DB92" s="82" t="str">
        <f t="shared" si="86"/>
        <v/>
      </c>
      <c r="DC92" s="625" t="str">
        <f t="shared" si="50"/>
        <v/>
      </c>
      <c r="DD92" s="625" t="str">
        <f t="shared" si="87"/>
        <v>0</v>
      </c>
      <c r="DE92" s="620">
        <f t="shared" si="88"/>
        <v>0</v>
      </c>
      <c r="DF92" s="1051" t="s">
        <v>287</v>
      </c>
      <c r="DG92" s="1080">
        <v>235089</v>
      </c>
      <c r="DH92" s="625">
        <f t="shared" si="89"/>
        <v>0</v>
      </c>
      <c r="DI92" s="625">
        <f t="shared" si="90"/>
        <v>0</v>
      </c>
      <c r="DJ92" s="626" t="str">
        <f t="shared" si="91"/>
        <v>00</v>
      </c>
    </row>
    <row r="93" spans="1:114" ht="15" customHeight="1">
      <c r="A93" s="1238"/>
      <c r="B93" s="1238"/>
      <c r="C93" s="1238"/>
      <c r="D93" s="1238"/>
      <c r="E93" s="1238"/>
      <c r="F93" s="1238"/>
      <c r="G93" s="1238"/>
      <c r="H93" s="1238"/>
      <c r="I93" s="1238"/>
      <c r="J93" s="1238"/>
      <c r="K93" s="1238"/>
      <c r="L93" s="1238"/>
      <c r="M93" s="1238"/>
      <c r="N93" s="1238"/>
      <c r="O93" s="1238"/>
      <c r="P93" s="1235">
        <v>90</v>
      </c>
      <c r="Q93" s="1386"/>
      <c r="R93" s="1387"/>
      <c r="S93" s="1368"/>
      <c r="T93" s="1369"/>
      <c r="U93" s="1391"/>
      <c r="V93" s="1360"/>
      <c r="W93" s="1067"/>
      <c r="X93" s="1062"/>
      <c r="Y93" s="1063"/>
      <c r="Z93" s="1153"/>
      <c r="AA93" s="1153"/>
      <c r="AB93" s="1361"/>
      <c r="AC93" s="1352" t="str">
        <f t="shared" si="51"/>
        <v>00</v>
      </c>
      <c r="AD93" s="524" t="str">
        <f t="shared" si="92"/>
        <v/>
      </c>
      <c r="AE93" s="525" t="str">
        <f>IF(AD93="","",VLOOKUP(AD93,所属コード!$A$2:$E$189,2,FALSE))</f>
        <v/>
      </c>
      <c r="AF93" s="1164" t="str">
        <f>IF(AD93="","",VLOOKUP(AD93,所属コード!$A$2:$G$189,7,FALSE))</f>
        <v/>
      </c>
      <c r="AG93" s="1166"/>
      <c r="AH93" s="77"/>
      <c r="AI93" s="77"/>
      <c r="AJ93" s="77"/>
      <c r="AK93" s="15"/>
      <c r="AM93" s="617"/>
      <c r="AN93" s="1090" t="str">
        <f t="shared" si="52"/>
        <v/>
      </c>
      <c r="AO93" s="618" t="str">
        <f t="shared" si="53"/>
        <v/>
      </c>
      <c r="AP93" s="617"/>
      <c r="AQ93" s="617"/>
      <c r="AR93" s="617"/>
      <c r="AS93" s="617"/>
      <c r="AT93" s="617"/>
      <c r="AU93" s="617"/>
      <c r="AV93" s="620"/>
      <c r="AW93" s="727"/>
      <c r="AX93" s="728"/>
      <c r="AY93" s="728"/>
      <c r="AZ93" s="728"/>
      <c r="BA93" s="728"/>
      <c r="BB93" s="728"/>
      <c r="BC93" s="728"/>
      <c r="BD93" s="728"/>
      <c r="BE93" s="728"/>
      <c r="BF93" s="728"/>
      <c r="BG93" s="728"/>
      <c r="BH93" s="728"/>
      <c r="BI93" s="728"/>
      <c r="BJ93" s="728"/>
      <c r="BK93" s="728"/>
      <c r="BL93" s="742"/>
      <c r="BM93" s="747">
        <f t="shared" si="54"/>
        <v>0</v>
      </c>
      <c r="BN93" s="738">
        <f t="shared" si="47"/>
        <v>0</v>
      </c>
      <c r="BO93" s="729">
        <f t="shared" si="48"/>
        <v>0</v>
      </c>
      <c r="BP93" s="730">
        <f t="shared" si="49"/>
        <v>0</v>
      </c>
      <c r="BQ93" s="729">
        <f t="shared" si="49"/>
        <v>0</v>
      </c>
      <c r="BR93" s="729">
        <f t="shared" si="55"/>
        <v>0</v>
      </c>
      <c r="BS93" s="729">
        <f t="shared" si="56"/>
        <v>0</v>
      </c>
      <c r="BT93" s="729">
        <f t="shared" si="57"/>
        <v>0</v>
      </c>
      <c r="BU93" s="729">
        <f t="shared" si="58"/>
        <v>0</v>
      </c>
      <c r="BV93" s="729">
        <f t="shared" si="59"/>
        <v>0</v>
      </c>
      <c r="BW93" s="729">
        <f t="shared" si="60"/>
        <v>0</v>
      </c>
      <c r="BX93" s="729">
        <f t="shared" si="60"/>
        <v>0</v>
      </c>
      <c r="BY93" s="729">
        <f t="shared" si="61"/>
        <v>0</v>
      </c>
      <c r="BZ93" s="729">
        <f t="shared" si="61"/>
        <v>0</v>
      </c>
      <c r="CA93" s="729">
        <f t="shared" si="62"/>
        <v>0</v>
      </c>
      <c r="CB93" s="729">
        <f t="shared" si="63"/>
        <v>0</v>
      </c>
      <c r="CC93" s="729">
        <f t="shared" si="63"/>
        <v>0</v>
      </c>
      <c r="CD93" s="729">
        <f t="shared" si="63"/>
        <v>0</v>
      </c>
      <c r="CE93" s="729">
        <f t="shared" si="64"/>
        <v>0</v>
      </c>
      <c r="CF93" s="729">
        <f t="shared" si="65"/>
        <v>0</v>
      </c>
      <c r="CG93" s="729">
        <f t="shared" si="66"/>
        <v>0</v>
      </c>
      <c r="CH93" s="729">
        <f t="shared" si="67"/>
        <v>0</v>
      </c>
      <c r="CI93" s="729">
        <f t="shared" si="68"/>
        <v>0</v>
      </c>
      <c r="CJ93" s="729">
        <f t="shared" si="69"/>
        <v>0</v>
      </c>
      <c r="CK93" s="729">
        <f t="shared" si="70"/>
        <v>0</v>
      </c>
      <c r="CL93" s="729">
        <f t="shared" si="71"/>
        <v>0</v>
      </c>
      <c r="CM93" s="729">
        <f t="shared" si="72"/>
        <v>0</v>
      </c>
      <c r="CN93" s="729">
        <f t="shared" si="73"/>
        <v>0</v>
      </c>
      <c r="CO93" s="729">
        <f t="shared" si="74"/>
        <v>0</v>
      </c>
      <c r="CP93" s="729">
        <f t="shared" si="75"/>
        <v>0</v>
      </c>
      <c r="CQ93" s="729">
        <f t="shared" si="76"/>
        <v>0</v>
      </c>
      <c r="CR93" s="729">
        <f t="shared" si="77"/>
        <v>0</v>
      </c>
      <c r="CS93" s="729">
        <f t="shared" si="78"/>
        <v>0</v>
      </c>
      <c r="CT93" s="729">
        <f t="shared" si="78"/>
        <v>0</v>
      </c>
      <c r="CU93" s="731">
        <f t="shared" si="79"/>
        <v>0</v>
      </c>
      <c r="CV93" s="692" t="str">
        <f t="shared" si="80"/>
        <v/>
      </c>
      <c r="CW93" s="659" t="str">
        <f t="shared" si="81"/>
        <v/>
      </c>
      <c r="CX93" s="659" t="str">
        <f t="shared" si="82"/>
        <v/>
      </c>
      <c r="CY93" s="659" t="str">
        <f t="shared" si="83"/>
        <v/>
      </c>
      <c r="CZ93" s="659" t="str">
        <f t="shared" si="84"/>
        <v/>
      </c>
      <c r="DA93" s="659" t="str">
        <f t="shared" si="85"/>
        <v/>
      </c>
      <c r="DB93" s="82" t="str">
        <f t="shared" si="86"/>
        <v/>
      </c>
      <c r="DC93" s="625" t="str">
        <f t="shared" si="50"/>
        <v/>
      </c>
      <c r="DD93" s="625" t="str">
        <f t="shared" si="87"/>
        <v>0</v>
      </c>
      <c r="DE93" s="620">
        <f t="shared" si="88"/>
        <v>0</v>
      </c>
      <c r="DF93" s="1051" t="s">
        <v>288</v>
      </c>
      <c r="DG93" s="1080">
        <v>235090</v>
      </c>
      <c r="DH93" s="625">
        <f t="shared" si="89"/>
        <v>0</v>
      </c>
      <c r="DI93" s="625">
        <f t="shared" si="90"/>
        <v>0</v>
      </c>
      <c r="DJ93" s="626" t="str">
        <f t="shared" si="91"/>
        <v>00</v>
      </c>
    </row>
    <row r="94" spans="1:114" ht="15" customHeight="1">
      <c r="A94" s="1238"/>
      <c r="B94" s="1238"/>
      <c r="C94" s="1238"/>
      <c r="D94" s="1238"/>
      <c r="E94" s="1238"/>
      <c r="F94" s="1238"/>
      <c r="G94" s="1238"/>
      <c r="H94" s="1238"/>
      <c r="I94" s="1238"/>
      <c r="J94" s="1238"/>
      <c r="K94" s="1238"/>
      <c r="L94" s="1238"/>
      <c r="M94" s="1238"/>
      <c r="N94" s="1238"/>
      <c r="O94" s="1238"/>
      <c r="P94" s="1235">
        <v>91</v>
      </c>
      <c r="Q94" s="1386"/>
      <c r="R94" s="1387"/>
      <c r="S94" s="1368"/>
      <c r="T94" s="1369"/>
      <c r="U94" s="1391"/>
      <c r="V94" s="1360"/>
      <c r="W94" s="1067"/>
      <c r="X94" s="1062"/>
      <c r="Y94" s="1063"/>
      <c r="Z94" s="1153"/>
      <c r="AA94" s="1153"/>
      <c r="AB94" s="1361"/>
      <c r="AC94" s="1352" t="str">
        <f t="shared" si="51"/>
        <v>00</v>
      </c>
      <c r="AD94" s="524" t="str">
        <f t="shared" si="92"/>
        <v/>
      </c>
      <c r="AE94" s="525" t="str">
        <f>IF(AD94="","",VLOOKUP(AD94,所属コード!$A$2:$E$189,2,FALSE))</f>
        <v/>
      </c>
      <c r="AF94" s="1164" t="str">
        <f>IF(AD94="","",VLOOKUP(AD94,所属コード!$A$2:$G$189,7,FALSE))</f>
        <v/>
      </c>
      <c r="AG94" s="1166"/>
      <c r="AH94" s="77"/>
      <c r="AI94" s="77"/>
      <c r="AJ94" s="77"/>
      <c r="AK94" s="15"/>
      <c r="AM94" s="617"/>
      <c r="AN94" s="1090" t="str">
        <f t="shared" si="52"/>
        <v/>
      </c>
      <c r="AO94" s="618" t="str">
        <f t="shared" si="53"/>
        <v/>
      </c>
      <c r="AP94" s="617"/>
      <c r="AQ94" s="617"/>
      <c r="AR94" s="617"/>
      <c r="AS94" s="617"/>
      <c r="AT94" s="617"/>
      <c r="AU94" s="617"/>
      <c r="AV94" s="620"/>
      <c r="AW94" s="727"/>
      <c r="AX94" s="728"/>
      <c r="AY94" s="728"/>
      <c r="AZ94" s="728"/>
      <c r="BA94" s="728"/>
      <c r="BB94" s="728"/>
      <c r="BC94" s="728"/>
      <c r="BD94" s="728"/>
      <c r="BE94" s="728"/>
      <c r="BF94" s="728"/>
      <c r="BG94" s="728"/>
      <c r="BH94" s="728"/>
      <c r="BI94" s="728"/>
      <c r="BJ94" s="728"/>
      <c r="BK94" s="728"/>
      <c r="BL94" s="742"/>
      <c r="BM94" s="747">
        <f t="shared" si="54"/>
        <v>0</v>
      </c>
      <c r="BN94" s="738">
        <f t="shared" si="47"/>
        <v>0</v>
      </c>
      <c r="BO94" s="729">
        <f t="shared" si="48"/>
        <v>0</v>
      </c>
      <c r="BP94" s="730">
        <f t="shared" si="49"/>
        <v>0</v>
      </c>
      <c r="BQ94" s="729">
        <f t="shared" si="49"/>
        <v>0</v>
      </c>
      <c r="BR94" s="729">
        <f t="shared" si="55"/>
        <v>0</v>
      </c>
      <c r="BS94" s="729">
        <f t="shared" si="56"/>
        <v>0</v>
      </c>
      <c r="BT94" s="729">
        <f t="shared" si="57"/>
        <v>0</v>
      </c>
      <c r="BU94" s="729">
        <f t="shared" si="58"/>
        <v>0</v>
      </c>
      <c r="BV94" s="729">
        <f t="shared" si="59"/>
        <v>0</v>
      </c>
      <c r="BW94" s="729">
        <f t="shared" si="60"/>
        <v>0</v>
      </c>
      <c r="BX94" s="729">
        <f t="shared" si="60"/>
        <v>0</v>
      </c>
      <c r="BY94" s="729">
        <f t="shared" si="61"/>
        <v>0</v>
      </c>
      <c r="BZ94" s="729">
        <f t="shared" si="61"/>
        <v>0</v>
      </c>
      <c r="CA94" s="729">
        <f t="shared" si="62"/>
        <v>0</v>
      </c>
      <c r="CB94" s="729">
        <f t="shared" si="63"/>
        <v>0</v>
      </c>
      <c r="CC94" s="729">
        <f t="shared" si="63"/>
        <v>0</v>
      </c>
      <c r="CD94" s="729">
        <f t="shared" si="63"/>
        <v>0</v>
      </c>
      <c r="CE94" s="729">
        <f t="shared" si="64"/>
        <v>0</v>
      </c>
      <c r="CF94" s="729">
        <f t="shared" si="65"/>
        <v>0</v>
      </c>
      <c r="CG94" s="729">
        <f t="shared" si="66"/>
        <v>0</v>
      </c>
      <c r="CH94" s="729">
        <f t="shared" si="67"/>
        <v>0</v>
      </c>
      <c r="CI94" s="729">
        <f t="shared" si="68"/>
        <v>0</v>
      </c>
      <c r="CJ94" s="729">
        <f t="shared" si="69"/>
        <v>0</v>
      </c>
      <c r="CK94" s="729">
        <f t="shared" si="70"/>
        <v>0</v>
      </c>
      <c r="CL94" s="729">
        <f t="shared" si="71"/>
        <v>0</v>
      </c>
      <c r="CM94" s="729">
        <f t="shared" si="72"/>
        <v>0</v>
      </c>
      <c r="CN94" s="729">
        <f t="shared" si="73"/>
        <v>0</v>
      </c>
      <c r="CO94" s="729">
        <f t="shared" si="74"/>
        <v>0</v>
      </c>
      <c r="CP94" s="729">
        <f t="shared" si="75"/>
        <v>0</v>
      </c>
      <c r="CQ94" s="729">
        <f t="shared" si="76"/>
        <v>0</v>
      </c>
      <c r="CR94" s="729">
        <f t="shared" si="77"/>
        <v>0</v>
      </c>
      <c r="CS94" s="729">
        <f t="shared" si="78"/>
        <v>0</v>
      </c>
      <c r="CT94" s="729">
        <f t="shared" si="78"/>
        <v>0</v>
      </c>
      <c r="CU94" s="731">
        <f t="shared" si="79"/>
        <v>0</v>
      </c>
      <c r="CV94" s="692" t="str">
        <f t="shared" si="80"/>
        <v/>
      </c>
      <c r="CW94" s="659" t="str">
        <f t="shared" si="81"/>
        <v/>
      </c>
      <c r="CX94" s="659" t="str">
        <f t="shared" si="82"/>
        <v/>
      </c>
      <c r="CY94" s="659" t="str">
        <f t="shared" si="83"/>
        <v/>
      </c>
      <c r="CZ94" s="659" t="str">
        <f t="shared" si="84"/>
        <v/>
      </c>
      <c r="DA94" s="659" t="str">
        <f t="shared" si="85"/>
        <v/>
      </c>
      <c r="DB94" s="82" t="str">
        <f t="shared" si="86"/>
        <v/>
      </c>
      <c r="DC94" s="625" t="str">
        <f t="shared" si="50"/>
        <v/>
      </c>
      <c r="DD94" s="625" t="str">
        <f t="shared" si="87"/>
        <v>0</v>
      </c>
      <c r="DE94" s="620">
        <f t="shared" si="88"/>
        <v>0</v>
      </c>
      <c r="DF94" s="1051" t="s">
        <v>76</v>
      </c>
      <c r="DG94" s="1080">
        <v>235091</v>
      </c>
      <c r="DH94" s="625">
        <f t="shared" si="89"/>
        <v>0</v>
      </c>
      <c r="DI94" s="625">
        <f t="shared" si="90"/>
        <v>0</v>
      </c>
      <c r="DJ94" s="626" t="str">
        <f t="shared" si="91"/>
        <v>00</v>
      </c>
    </row>
    <row r="95" spans="1:114" ht="15" customHeight="1">
      <c r="A95" s="1238"/>
      <c r="B95" s="1238"/>
      <c r="C95" s="1238"/>
      <c r="D95" s="1238"/>
      <c r="E95" s="1238"/>
      <c r="F95" s="1238"/>
      <c r="G95" s="1238"/>
      <c r="H95" s="1238"/>
      <c r="I95" s="1238"/>
      <c r="J95" s="1238"/>
      <c r="K95" s="1238"/>
      <c r="L95" s="1238"/>
      <c r="M95" s="1238"/>
      <c r="N95" s="1238"/>
      <c r="O95" s="1238"/>
      <c r="P95" s="1235">
        <v>92</v>
      </c>
      <c r="Q95" s="1386"/>
      <c r="R95" s="1387"/>
      <c r="S95" s="1368"/>
      <c r="T95" s="1369"/>
      <c r="U95" s="1391"/>
      <c r="V95" s="1360"/>
      <c r="W95" s="1067"/>
      <c r="X95" s="1062"/>
      <c r="Y95" s="1063"/>
      <c r="Z95" s="1153"/>
      <c r="AA95" s="1153"/>
      <c r="AB95" s="1361"/>
      <c r="AC95" s="1352" t="str">
        <f t="shared" si="51"/>
        <v>00</v>
      </c>
      <c r="AD95" s="524" t="str">
        <f t="shared" si="92"/>
        <v/>
      </c>
      <c r="AE95" s="525" t="str">
        <f>IF(AD95="","",VLOOKUP(AD95,所属コード!$A$2:$E$189,2,FALSE))</f>
        <v/>
      </c>
      <c r="AF95" s="1164" t="str">
        <f>IF(AD95="","",VLOOKUP(AD95,所属コード!$A$2:$G$189,7,FALSE))</f>
        <v/>
      </c>
      <c r="AG95" s="1166"/>
      <c r="AH95" s="77"/>
      <c r="AI95" s="77"/>
      <c r="AJ95" s="77"/>
      <c r="AK95" s="15"/>
      <c r="AM95" s="617"/>
      <c r="AN95" s="1090" t="str">
        <f t="shared" si="52"/>
        <v/>
      </c>
      <c r="AO95" s="618" t="str">
        <f t="shared" si="53"/>
        <v/>
      </c>
      <c r="AP95" s="617"/>
      <c r="AQ95" s="617"/>
      <c r="AR95" s="617"/>
      <c r="AS95" s="617"/>
      <c r="AT95" s="617"/>
      <c r="AU95" s="617"/>
      <c r="AV95" s="620"/>
      <c r="AW95" s="727"/>
      <c r="AX95" s="728"/>
      <c r="AY95" s="728"/>
      <c r="AZ95" s="728"/>
      <c r="BA95" s="728"/>
      <c r="BB95" s="728"/>
      <c r="BC95" s="728"/>
      <c r="BD95" s="728"/>
      <c r="BE95" s="728"/>
      <c r="BF95" s="728"/>
      <c r="BG95" s="728"/>
      <c r="BH95" s="728"/>
      <c r="BI95" s="728"/>
      <c r="BJ95" s="728"/>
      <c r="BK95" s="728"/>
      <c r="BL95" s="742"/>
      <c r="BM95" s="747">
        <f t="shared" si="54"/>
        <v>0</v>
      </c>
      <c r="BN95" s="738">
        <f t="shared" si="47"/>
        <v>0</v>
      </c>
      <c r="BO95" s="729">
        <f t="shared" si="48"/>
        <v>0</v>
      </c>
      <c r="BP95" s="730">
        <f t="shared" si="49"/>
        <v>0</v>
      </c>
      <c r="BQ95" s="729">
        <f t="shared" si="49"/>
        <v>0</v>
      </c>
      <c r="BR95" s="729">
        <f t="shared" si="55"/>
        <v>0</v>
      </c>
      <c r="BS95" s="729">
        <f t="shared" si="56"/>
        <v>0</v>
      </c>
      <c r="BT95" s="729">
        <f t="shared" si="57"/>
        <v>0</v>
      </c>
      <c r="BU95" s="729">
        <f t="shared" si="58"/>
        <v>0</v>
      </c>
      <c r="BV95" s="729">
        <f t="shared" si="59"/>
        <v>0</v>
      </c>
      <c r="BW95" s="729">
        <f t="shared" si="60"/>
        <v>0</v>
      </c>
      <c r="BX95" s="729">
        <f t="shared" si="60"/>
        <v>0</v>
      </c>
      <c r="BY95" s="729">
        <f t="shared" si="61"/>
        <v>0</v>
      </c>
      <c r="BZ95" s="729">
        <f t="shared" si="61"/>
        <v>0</v>
      </c>
      <c r="CA95" s="729">
        <f t="shared" si="62"/>
        <v>0</v>
      </c>
      <c r="CB95" s="729">
        <f t="shared" si="63"/>
        <v>0</v>
      </c>
      <c r="CC95" s="729">
        <f t="shared" si="63"/>
        <v>0</v>
      </c>
      <c r="CD95" s="729">
        <f t="shared" si="63"/>
        <v>0</v>
      </c>
      <c r="CE95" s="729">
        <f t="shared" si="64"/>
        <v>0</v>
      </c>
      <c r="CF95" s="729">
        <f t="shared" si="65"/>
        <v>0</v>
      </c>
      <c r="CG95" s="729">
        <f t="shared" si="66"/>
        <v>0</v>
      </c>
      <c r="CH95" s="729">
        <f t="shared" si="67"/>
        <v>0</v>
      </c>
      <c r="CI95" s="729">
        <f t="shared" si="68"/>
        <v>0</v>
      </c>
      <c r="CJ95" s="729">
        <f t="shared" si="69"/>
        <v>0</v>
      </c>
      <c r="CK95" s="729">
        <f t="shared" si="70"/>
        <v>0</v>
      </c>
      <c r="CL95" s="729">
        <f t="shared" si="71"/>
        <v>0</v>
      </c>
      <c r="CM95" s="729">
        <f t="shared" si="72"/>
        <v>0</v>
      </c>
      <c r="CN95" s="729">
        <f t="shared" si="73"/>
        <v>0</v>
      </c>
      <c r="CO95" s="729">
        <f t="shared" si="74"/>
        <v>0</v>
      </c>
      <c r="CP95" s="729">
        <f t="shared" si="75"/>
        <v>0</v>
      </c>
      <c r="CQ95" s="729">
        <f t="shared" si="76"/>
        <v>0</v>
      </c>
      <c r="CR95" s="729">
        <f t="shared" si="77"/>
        <v>0</v>
      </c>
      <c r="CS95" s="729">
        <f t="shared" si="78"/>
        <v>0</v>
      </c>
      <c r="CT95" s="729">
        <f t="shared" si="78"/>
        <v>0</v>
      </c>
      <c r="CU95" s="731">
        <f t="shared" si="79"/>
        <v>0</v>
      </c>
      <c r="CV95" s="692" t="str">
        <f t="shared" si="80"/>
        <v/>
      </c>
      <c r="CW95" s="659" t="str">
        <f t="shared" si="81"/>
        <v/>
      </c>
      <c r="CX95" s="659" t="str">
        <f t="shared" si="82"/>
        <v/>
      </c>
      <c r="CY95" s="659" t="str">
        <f t="shared" si="83"/>
        <v/>
      </c>
      <c r="CZ95" s="659" t="str">
        <f t="shared" si="84"/>
        <v/>
      </c>
      <c r="DA95" s="659" t="str">
        <f t="shared" si="85"/>
        <v/>
      </c>
      <c r="DB95" s="82" t="str">
        <f t="shared" si="86"/>
        <v/>
      </c>
      <c r="DC95" s="625" t="str">
        <f t="shared" si="50"/>
        <v/>
      </c>
      <c r="DD95" s="625" t="str">
        <f t="shared" si="87"/>
        <v>0</v>
      </c>
      <c r="DE95" s="620">
        <f t="shared" si="88"/>
        <v>0</v>
      </c>
      <c r="DF95" s="1051" t="s">
        <v>752</v>
      </c>
      <c r="DG95" s="1080">
        <v>235092</v>
      </c>
      <c r="DH95" s="625">
        <f t="shared" si="89"/>
        <v>0</v>
      </c>
      <c r="DI95" s="625">
        <f t="shared" si="90"/>
        <v>0</v>
      </c>
      <c r="DJ95" s="626" t="str">
        <f t="shared" si="91"/>
        <v>00</v>
      </c>
    </row>
    <row r="96" spans="1:114" ht="15" customHeight="1">
      <c r="A96" s="1238"/>
      <c r="B96" s="1238"/>
      <c r="C96" s="1238"/>
      <c r="D96" s="1238"/>
      <c r="E96" s="1238"/>
      <c r="F96" s="1238"/>
      <c r="G96" s="1238"/>
      <c r="H96" s="1238"/>
      <c r="I96" s="1238"/>
      <c r="J96" s="1238"/>
      <c r="K96" s="1238"/>
      <c r="L96" s="1238"/>
      <c r="M96" s="1238"/>
      <c r="N96" s="1238"/>
      <c r="O96" s="1238"/>
      <c r="P96" s="1235">
        <v>93</v>
      </c>
      <c r="Q96" s="1386"/>
      <c r="R96" s="1387"/>
      <c r="S96" s="1368"/>
      <c r="T96" s="1369"/>
      <c r="U96" s="1391"/>
      <c r="V96" s="1360"/>
      <c r="W96" s="1067"/>
      <c r="X96" s="1062"/>
      <c r="Y96" s="1063"/>
      <c r="Z96" s="1153"/>
      <c r="AA96" s="1153"/>
      <c r="AB96" s="1361"/>
      <c r="AC96" s="1352" t="str">
        <f t="shared" si="51"/>
        <v>00</v>
      </c>
      <c r="AD96" s="524" t="str">
        <f t="shared" si="92"/>
        <v/>
      </c>
      <c r="AE96" s="525" t="str">
        <f>IF(AD96="","",VLOOKUP(AD96,所属コード!$A$2:$E$189,2,FALSE))</f>
        <v/>
      </c>
      <c r="AF96" s="1164" t="str">
        <f>IF(AD96="","",VLOOKUP(AD96,所属コード!$A$2:$G$189,7,FALSE))</f>
        <v/>
      </c>
      <c r="AG96" s="1166"/>
      <c r="AH96" s="77"/>
      <c r="AI96" s="77"/>
      <c r="AJ96" s="77"/>
      <c r="AK96" s="15"/>
      <c r="AM96" s="617"/>
      <c r="AN96" s="1090" t="str">
        <f t="shared" si="52"/>
        <v/>
      </c>
      <c r="AO96" s="618" t="str">
        <f t="shared" si="53"/>
        <v/>
      </c>
      <c r="AP96" s="617"/>
      <c r="AQ96" s="617"/>
      <c r="AR96" s="617"/>
      <c r="AS96" s="617"/>
      <c r="AT96" s="617"/>
      <c r="AU96" s="617"/>
      <c r="AV96" s="620"/>
      <c r="AW96" s="727"/>
      <c r="AX96" s="728"/>
      <c r="AY96" s="728"/>
      <c r="AZ96" s="728"/>
      <c r="BA96" s="728"/>
      <c r="BB96" s="728"/>
      <c r="BC96" s="728"/>
      <c r="BD96" s="728"/>
      <c r="BE96" s="728"/>
      <c r="BF96" s="728"/>
      <c r="BG96" s="728"/>
      <c r="BH96" s="728"/>
      <c r="BI96" s="728"/>
      <c r="BJ96" s="728"/>
      <c r="BK96" s="728"/>
      <c r="BL96" s="742"/>
      <c r="BM96" s="747">
        <f t="shared" si="54"/>
        <v>0</v>
      </c>
      <c r="BN96" s="738">
        <f t="shared" si="47"/>
        <v>0</v>
      </c>
      <c r="BO96" s="729">
        <f t="shared" si="48"/>
        <v>0</v>
      </c>
      <c r="BP96" s="730">
        <f t="shared" si="49"/>
        <v>0</v>
      </c>
      <c r="BQ96" s="729">
        <f t="shared" si="49"/>
        <v>0</v>
      </c>
      <c r="BR96" s="729">
        <f t="shared" si="55"/>
        <v>0</v>
      </c>
      <c r="BS96" s="729">
        <f t="shared" si="56"/>
        <v>0</v>
      </c>
      <c r="BT96" s="729">
        <f t="shared" si="57"/>
        <v>0</v>
      </c>
      <c r="BU96" s="729">
        <f t="shared" si="58"/>
        <v>0</v>
      </c>
      <c r="BV96" s="729">
        <f t="shared" si="59"/>
        <v>0</v>
      </c>
      <c r="BW96" s="729">
        <f t="shared" si="60"/>
        <v>0</v>
      </c>
      <c r="BX96" s="729">
        <f t="shared" si="60"/>
        <v>0</v>
      </c>
      <c r="BY96" s="729">
        <f t="shared" si="61"/>
        <v>0</v>
      </c>
      <c r="BZ96" s="729">
        <f t="shared" si="61"/>
        <v>0</v>
      </c>
      <c r="CA96" s="729">
        <f t="shared" si="62"/>
        <v>0</v>
      </c>
      <c r="CB96" s="729">
        <f t="shared" si="63"/>
        <v>0</v>
      </c>
      <c r="CC96" s="729">
        <f t="shared" si="63"/>
        <v>0</v>
      </c>
      <c r="CD96" s="729">
        <f t="shared" si="63"/>
        <v>0</v>
      </c>
      <c r="CE96" s="729">
        <f t="shared" si="64"/>
        <v>0</v>
      </c>
      <c r="CF96" s="729">
        <f t="shared" si="65"/>
        <v>0</v>
      </c>
      <c r="CG96" s="729">
        <f t="shared" si="66"/>
        <v>0</v>
      </c>
      <c r="CH96" s="729">
        <f t="shared" si="67"/>
        <v>0</v>
      </c>
      <c r="CI96" s="729">
        <f t="shared" si="68"/>
        <v>0</v>
      </c>
      <c r="CJ96" s="729">
        <f t="shared" si="69"/>
        <v>0</v>
      </c>
      <c r="CK96" s="729">
        <f t="shared" si="70"/>
        <v>0</v>
      </c>
      <c r="CL96" s="729">
        <f t="shared" si="71"/>
        <v>0</v>
      </c>
      <c r="CM96" s="729">
        <f t="shared" si="72"/>
        <v>0</v>
      </c>
      <c r="CN96" s="729">
        <f t="shared" si="73"/>
        <v>0</v>
      </c>
      <c r="CO96" s="729">
        <f t="shared" si="74"/>
        <v>0</v>
      </c>
      <c r="CP96" s="729">
        <f t="shared" si="75"/>
        <v>0</v>
      </c>
      <c r="CQ96" s="729">
        <f t="shared" si="76"/>
        <v>0</v>
      </c>
      <c r="CR96" s="729">
        <f t="shared" si="77"/>
        <v>0</v>
      </c>
      <c r="CS96" s="729">
        <f t="shared" si="78"/>
        <v>0</v>
      </c>
      <c r="CT96" s="729">
        <f t="shared" si="78"/>
        <v>0</v>
      </c>
      <c r="CU96" s="731">
        <f t="shared" si="79"/>
        <v>0</v>
      </c>
      <c r="CV96" s="692" t="str">
        <f t="shared" si="80"/>
        <v/>
      </c>
      <c r="CW96" s="659" t="str">
        <f t="shared" si="81"/>
        <v/>
      </c>
      <c r="CX96" s="659" t="str">
        <f t="shared" si="82"/>
        <v/>
      </c>
      <c r="CY96" s="659" t="str">
        <f t="shared" si="83"/>
        <v/>
      </c>
      <c r="CZ96" s="659" t="str">
        <f t="shared" si="84"/>
        <v/>
      </c>
      <c r="DA96" s="659" t="str">
        <f t="shared" si="85"/>
        <v/>
      </c>
      <c r="DB96" s="82" t="str">
        <f t="shared" si="86"/>
        <v/>
      </c>
      <c r="DC96" s="625" t="str">
        <f t="shared" si="50"/>
        <v/>
      </c>
      <c r="DD96" s="625" t="str">
        <f t="shared" si="87"/>
        <v>0</v>
      </c>
      <c r="DE96" s="620">
        <f t="shared" si="88"/>
        <v>0</v>
      </c>
      <c r="DF96" s="1051" t="s">
        <v>166</v>
      </c>
      <c r="DG96" s="1080">
        <v>235093</v>
      </c>
      <c r="DH96" s="625">
        <f t="shared" si="89"/>
        <v>0</v>
      </c>
      <c r="DI96" s="625">
        <f t="shared" si="90"/>
        <v>0</v>
      </c>
      <c r="DJ96" s="626" t="str">
        <f t="shared" si="91"/>
        <v>00</v>
      </c>
    </row>
    <row r="97" spans="1:114" ht="15" customHeight="1">
      <c r="A97" s="1238"/>
      <c r="B97" s="1238"/>
      <c r="C97" s="1238"/>
      <c r="D97" s="1238"/>
      <c r="E97" s="1238"/>
      <c r="F97" s="1238"/>
      <c r="G97" s="1238"/>
      <c r="H97" s="1238"/>
      <c r="I97" s="1238"/>
      <c r="J97" s="1238"/>
      <c r="K97" s="1238"/>
      <c r="L97" s="1238"/>
      <c r="M97" s="1238"/>
      <c r="N97" s="1238"/>
      <c r="O97" s="1238"/>
      <c r="P97" s="1235">
        <v>94</v>
      </c>
      <c r="Q97" s="1386"/>
      <c r="R97" s="1387"/>
      <c r="S97" s="1368"/>
      <c r="T97" s="1369"/>
      <c r="U97" s="1391"/>
      <c r="V97" s="1360"/>
      <c r="W97" s="1067"/>
      <c r="X97" s="1062"/>
      <c r="Y97" s="1063"/>
      <c r="Z97" s="1153"/>
      <c r="AA97" s="1153"/>
      <c r="AB97" s="1361"/>
      <c r="AC97" s="1352" t="str">
        <f t="shared" si="51"/>
        <v>00</v>
      </c>
      <c r="AD97" s="524" t="str">
        <f t="shared" si="92"/>
        <v/>
      </c>
      <c r="AE97" s="525" t="str">
        <f>IF(AD97="","",VLOOKUP(AD97,所属コード!$A$2:$E$189,2,FALSE))</f>
        <v/>
      </c>
      <c r="AF97" s="1164" t="str">
        <f>IF(AD97="","",VLOOKUP(AD97,所属コード!$A$2:$G$189,7,FALSE))</f>
        <v/>
      </c>
      <c r="AG97" s="1166"/>
      <c r="AH97" s="77"/>
      <c r="AI97" s="77"/>
      <c r="AJ97" s="77"/>
      <c r="AK97" s="15"/>
      <c r="AM97" s="617"/>
      <c r="AN97" s="1090" t="str">
        <f t="shared" si="52"/>
        <v/>
      </c>
      <c r="AO97" s="618" t="str">
        <f t="shared" si="53"/>
        <v/>
      </c>
      <c r="AP97" s="617"/>
      <c r="AQ97" s="617"/>
      <c r="AR97" s="617"/>
      <c r="AS97" s="617"/>
      <c r="AT97" s="617"/>
      <c r="AU97" s="617"/>
      <c r="AV97" s="620"/>
      <c r="AW97" s="727"/>
      <c r="AX97" s="728"/>
      <c r="AY97" s="728"/>
      <c r="AZ97" s="728"/>
      <c r="BA97" s="728"/>
      <c r="BB97" s="728"/>
      <c r="BC97" s="728"/>
      <c r="BD97" s="728"/>
      <c r="BE97" s="728"/>
      <c r="BF97" s="728"/>
      <c r="BG97" s="728"/>
      <c r="BH97" s="728"/>
      <c r="BI97" s="728"/>
      <c r="BJ97" s="728"/>
      <c r="BK97" s="728"/>
      <c r="BL97" s="742"/>
      <c r="BM97" s="747">
        <f t="shared" si="54"/>
        <v>0</v>
      </c>
      <c r="BN97" s="738">
        <f t="shared" si="47"/>
        <v>0</v>
      </c>
      <c r="BO97" s="729">
        <f t="shared" si="48"/>
        <v>0</v>
      </c>
      <c r="BP97" s="730">
        <f t="shared" si="49"/>
        <v>0</v>
      </c>
      <c r="BQ97" s="729">
        <f t="shared" si="49"/>
        <v>0</v>
      </c>
      <c r="BR97" s="729">
        <f t="shared" si="55"/>
        <v>0</v>
      </c>
      <c r="BS97" s="729">
        <f t="shared" si="56"/>
        <v>0</v>
      </c>
      <c r="BT97" s="729">
        <f t="shared" si="57"/>
        <v>0</v>
      </c>
      <c r="BU97" s="729">
        <f t="shared" si="58"/>
        <v>0</v>
      </c>
      <c r="BV97" s="729">
        <f t="shared" si="59"/>
        <v>0</v>
      </c>
      <c r="BW97" s="729">
        <f t="shared" si="60"/>
        <v>0</v>
      </c>
      <c r="BX97" s="729">
        <f t="shared" si="60"/>
        <v>0</v>
      </c>
      <c r="BY97" s="729">
        <f t="shared" si="61"/>
        <v>0</v>
      </c>
      <c r="BZ97" s="729">
        <f t="shared" si="61"/>
        <v>0</v>
      </c>
      <c r="CA97" s="729">
        <f t="shared" si="62"/>
        <v>0</v>
      </c>
      <c r="CB97" s="729">
        <f t="shared" si="63"/>
        <v>0</v>
      </c>
      <c r="CC97" s="729">
        <f t="shared" si="63"/>
        <v>0</v>
      </c>
      <c r="CD97" s="729">
        <f t="shared" si="63"/>
        <v>0</v>
      </c>
      <c r="CE97" s="729">
        <f t="shared" si="64"/>
        <v>0</v>
      </c>
      <c r="CF97" s="729">
        <f t="shared" si="65"/>
        <v>0</v>
      </c>
      <c r="CG97" s="729">
        <f t="shared" si="66"/>
        <v>0</v>
      </c>
      <c r="CH97" s="729">
        <f t="shared" si="67"/>
        <v>0</v>
      </c>
      <c r="CI97" s="729">
        <f t="shared" si="68"/>
        <v>0</v>
      </c>
      <c r="CJ97" s="729">
        <f t="shared" si="69"/>
        <v>0</v>
      </c>
      <c r="CK97" s="729">
        <f t="shared" si="70"/>
        <v>0</v>
      </c>
      <c r="CL97" s="729">
        <f t="shared" si="71"/>
        <v>0</v>
      </c>
      <c r="CM97" s="729">
        <f t="shared" si="72"/>
        <v>0</v>
      </c>
      <c r="CN97" s="729">
        <f t="shared" si="73"/>
        <v>0</v>
      </c>
      <c r="CO97" s="729">
        <f t="shared" si="74"/>
        <v>0</v>
      </c>
      <c r="CP97" s="729">
        <f t="shared" si="75"/>
        <v>0</v>
      </c>
      <c r="CQ97" s="729">
        <f t="shared" si="76"/>
        <v>0</v>
      </c>
      <c r="CR97" s="729">
        <f t="shared" si="77"/>
        <v>0</v>
      </c>
      <c r="CS97" s="729">
        <f t="shared" si="78"/>
        <v>0</v>
      </c>
      <c r="CT97" s="729">
        <f t="shared" si="78"/>
        <v>0</v>
      </c>
      <c r="CU97" s="731">
        <f t="shared" si="79"/>
        <v>0</v>
      </c>
      <c r="CV97" s="692" t="str">
        <f t="shared" si="80"/>
        <v/>
      </c>
      <c r="CW97" s="659" t="str">
        <f t="shared" si="81"/>
        <v/>
      </c>
      <c r="CX97" s="659" t="str">
        <f t="shared" si="82"/>
        <v/>
      </c>
      <c r="CY97" s="659" t="str">
        <f t="shared" si="83"/>
        <v/>
      </c>
      <c r="CZ97" s="659" t="str">
        <f t="shared" si="84"/>
        <v/>
      </c>
      <c r="DA97" s="659" t="str">
        <f t="shared" si="85"/>
        <v/>
      </c>
      <c r="DB97" s="82" t="str">
        <f t="shared" si="86"/>
        <v/>
      </c>
      <c r="DC97" s="625" t="str">
        <f t="shared" si="50"/>
        <v/>
      </c>
      <c r="DD97" s="625" t="str">
        <f t="shared" si="87"/>
        <v>0</v>
      </c>
      <c r="DE97" s="620">
        <f t="shared" si="88"/>
        <v>0</v>
      </c>
      <c r="DF97" s="1051" t="s">
        <v>172</v>
      </c>
      <c r="DG97" s="1080">
        <v>235094</v>
      </c>
      <c r="DH97" s="625">
        <f t="shared" si="89"/>
        <v>0</v>
      </c>
      <c r="DI97" s="625">
        <f t="shared" si="90"/>
        <v>0</v>
      </c>
      <c r="DJ97" s="626" t="str">
        <f t="shared" si="91"/>
        <v>00</v>
      </c>
    </row>
    <row r="98" spans="1:114" ht="15" customHeight="1">
      <c r="A98" s="1238"/>
      <c r="B98" s="1238"/>
      <c r="C98" s="1238"/>
      <c r="D98" s="1238"/>
      <c r="E98" s="1238"/>
      <c r="F98" s="1238"/>
      <c r="G98" s="1238"/>
      <c r="H98" s="1238"/>
      <c r="I98" s="1238"/>
      <c r="J98" s="1238"/>
      <c r="K98" s="1238"/>
      <c r="L98" s="1238"/>
      <c r="M98" s="1238"/>
      <c r="N98" s="1238"/>
      <c r="O98" s="1238"/>
      <c r="P98" s="1235">
        <v>95</v>
      </c>
      <c r="Q98" s="1386"/>
      <c r="R98" s="1387"/>
      <c r="S98" s="1368"/>
      <c r="T98" s="1369"/>
      <c r="U98" s="1391"/>
      <c r="V98" s="1360"/>
      <c r="W98" s="1067"/>
      <c r="X98" s="1062"/>
      <c r="Y98" s="1063"/>
      <c r="Z98" s="1153"/>
      <c r="AA98" s="1153"/>
      <c r="AB98" s="1361"/>
      <c r="AC98" s="1352" t="str">
        <f t="shared" si="51"/>
        <v>00</v>
      </c>
      <c r="AD98" s="524" t="str">
        <f t="shared" si="92"/>
        <v/>
      </c>
      <c r="AE98" s="525" t="str">
        <f>IF(AD98="","",VLOOKUP(AD98,所属コード!$A$2:$E$189,2,FALSE))</f>
        <v/>
      </c>
      <c r="AF98" s="1164" t="str">
        <f>IF(AD98="","",VLOOKUP(AD98,所属コード!$A$2:$G$189,7,FALSE))</f>
        <v/>
      </c>
      <c r="AG98" s="1166"/>
      <c r="AH98" s="77"/>
      <c r="AI98" s="77"/>
      <c r="AJ98" s="77"/>
      <c r="AK98" s="15"/>
      <c r="AM98" s="617"/>
      <c r="AN98" s="1090" t="str">
        <f t="shared" si="52"/>
        <v/>
      </c>
      <c r="AO98" s="618" t="str">
        <f t="shared" si="53"/>
        <v/>
      </c>
      <c r="AP98" s="617"/>
      <c r="AQ98" s="617"/>
      <c r="AR98" s="617"/>
      <c r="AS98" s="617"/>
      <c r="AT98" s="617"/>
      <c r="AU98" s="617"/>
      <c r="AV98" s="620"/>
      <c r="AW98" s="727"/>
      <c r="AX98" s="728"/>
      <c r="AY98" s="728"/>
      <c r="AZ98" s="728"/>
      <c r="BA98" s="728"/>
      <c r="BB98" s="728"/>
      <c r="BC98" s="728"/>
      <c r="BD98" s="728"/>
      <c r="BE98" s="728"/>
      <c r="BF98" s="728"/>
      <c r="BG98" s="728"/>
      <c r="BH98" s="728"/>
      <c r="BI98" s="728"/>
      <c r="BJ98" s="728"/>
      <c r="BK98" s="728"/>
      <c r="BL98" s="742"/>
      <c r="BM98" s="747">
        <f t="shared" si="54"/>
        <v>0</v>
      </c>
      <c r="BN98" s="738">
        <f t="shared" si="47"/>
        <v>0</v>
      </c>
      <c r="BO98" s="729">
        <f t="shared" si="48"/>
        <v>0</v>
      </c>
      <c r="BP98" s="730">
        <f t="shared" si="49"/>
        <v>0</v>
      </c>
      <c r="BQ98" s="729">
        <f t="shared" si="49"/>
        <v>0</v>
      </c>
      <c r="BR98" s="729">
        <f t="shared" si="55"/>
        <v>0</v>
      </c>
      <c r="BS98" s="729">
        <f t="shared" si="56"/>
        <v>0</v>
      </c>
      <c r="BT98" s="729">
        <f t="shared" si="57"/>
        <v>0</v>
      </c>
      <c r="BU98" s="729">
        <f t="shared" si="58"/>
        <v>0</v>
      </c>
      <c r="BV98" s="729">
        <f t="shared" si="59"/>
        <v>0</v>
      </c>
      <c r="BW98" s="729">
        <f t="shared" si="60"/>
        <v>0</v>
      </c>
      <c r="BX98" s="729">
        <f t="shared" si="60"/>
        <v>0</v>
      </c>
      <c r="BY98" s="729">
        <f t="shared" si="61"/>
        <v>0</v>
      </c>
      <c r="BZ98" s="729">
        <f t="shared" si="61"/>
        <v>0</v>
      </c>
      <c r="CA98" s="729">
        <f t="shared" si="62"/>
        <v>0</v>
      </c>
      <c r="CB98" s="729">
        <f t="shared" si="63"/>
        <v>0</v>
      </c>
      <c r="CC98" s="729">
        <f t="shared" si="63"/>
        <v>0</v>
      </c>
      <c r="CD98" s="729">
        <f t="shared" si="63"/>
        <v>0</v>
      </c>
      <c r="CE98" s="729">
        <f t="shared" si="64"/>
        <v>0</v>
      </c>
      <c r="CF98" s="729">
        <f t="shared" si="65"/>
        <v>0</v>
      </c>
      <c r="CG98" s="729">
        <f t="shared" si="66"/>
        <v>0</v>
      </c>
      <c r="CH98" s="729">
        <f t="shared" si="67"/>
        <v>0</v>
      </c>
      <c r="CI98" s="729">
        <f t="shared" si="68"/>
        <v>0</v>
      </c>
      <c r="CJ98" s="729">
        <f t="shared" si="69"/>
        <v>0</v>
      </c>
      <c r="CK98" s="729">
        <f t="shared" si="70"/>
        <v>0</v>
      </c>
      <c r="CL98" s="729">
        <f t="shared" si="71"/>
        <v>0</v>
      </c>
      <c r="CM98" s="729">
        <f t="shared" si="72"/>
        <v>0</v>
      </c>
      <c r="CN98" s="729">
        <f t="shared" si="73"/>
        <v>0</v>
      </c>
      <c r="CO98" s="729">
        <f t="shared" si="74"/>
        <v>0</v>
      </c>
      <c r="CP98" s="729">
        <f t="shared" si="75"/>
        <v>0</v>
      </c>
      <c r="CQ98" s="729">
        <f t="shared" si="76"/>
        <v>0</v>
      </c>
      <c r="CR98" s="729">
        <f t="shared" si="77"/>
        <v>0</v>
      </c>
      <c r="CS98" s="729">
        <f t="shared" si="78"/>
        <v>0</v>
      </c>
      <c r="CT98" s="729">
        <f t="shared" si="78"/>
        <v>0</v>
      </c>
      <c r="CU98" s="731">
        <f t="shared" si="79"/>
        <v>0</v>
      </c>
      <c r="CV98" s="692" t="str">
        <f t="shared" si="80"/>
        <v/>
      </c>
      <c r="CW98" s="659" t="str">
        <f t="shared" si="81"/>
        <v/>
      </c>
      <c r="CX98" s="659" t="str">
        <f t="shared" si="82"/>
        <v/>
      </c>
      <c r="CY98" s="659" t="str">
        <f t="shared" si="83"/>
        <v/>
      </c>
      <c r="CZ98" s="659" t="str">
        <f t="shared" si="84"/>
        <v/>
      </c>
      <c r="DA98" s="659" t="str">
        <f t="shared" si="85"/>
        <v/>
      </c>
      <c r="DB98" s="82" t="str">
        <f t="shared" si="86"/>
        <v/>
      </c>
      <c r="DC98" s="625" t="str">
        <f t="shared" si="50"/>
        <v/>
      </c>
      <c r="DD98" s="625" t="str">
        <f t="shared" si="87"/>
        <v>0</v>
      </c>
      <c r="DE98" s="620">
        <f t="shared" si="88"/>
        <v>0</v>
      </c>
      <c r="DF98" s="1051" t="s">
        <v>77</v>
      </c>
      <c r="DG98" s="1080">
        <v>235095</v>
      </c>
      <c r="DH98" s="625">
        <f t="shared" si="89"/>
        <v>0</v>
      </c>
      <c r="DI98" s="625">
        <f t="shared" si="90"/>
        <v>0</v>
      </c>
      <c r="DJ98" s="626" t="str">
        <f t="shared" si="91"/>
        <v>00</v>
      </c>
    </row>
    <row r="99" spans="1:114" ht="15" customHeight="1">
      <c r="A99" s="1238"/>
      <c r="B99" s="1238"/>
      <c r="C99" s="1238"/>
      <c r="D99" s="1238"/>
      <c r="E99" s="1238"/>
      <c r="F99" s="1238"/>
      <c r="G99" s="1238"/>
      <c r="H99" s="1238"/>
      <c r="I99" s="1238"/>
      <c r="J99" s="1238"/>
      <c r="K99" s="1238"/>
      <c r="L99" s="1238"/>
      <c r="M99" s="1238"/>
      <c r="N99" s="1238"/>
      <c r="O99" s="1238"/>
      <c r="P99" s="1235">
        <v>96</v>
      </c>
      <c r="Q99" s="1386"/>
      <c r="R99" s="1387"/>
      <c r="S99" s="1368"/>
      <c r="T99" s="1369"/>
      <c r="U99" s="1391"/>
      <c r="V99" s="1360"/>
      <c r="W99" s="1067"/>
      <c r="X99" s="1062"/>
      <c r="Y99" s="1063"/>
      <c r="Z99" s="1153"/>
      <c r="AA99" s="1153"/>
      <c r="AB99" s="1361"/>
      <c r="AC99" s="1352" t="str">
        <f t="shared" si="51"/>
        <v>00</v>
      </c>
      <c r="AD99" s="524" t="str">
        <f t="shared" si="92"/>
        <v/>
      </c>
      <c r="AE99" s="525" t="str">
        <f>IF(AD99="","",VLOOKUP(AD99,所属コード!$A$2:$E$189,2,FALSE))</f>
        <v/>
      </c>
      <c r="AF99" s="1164" t="str">
        <f>IF(AD99="","",VLOOKUP(AD99,所属コード!$A$2:$G$189,7,FALSE))</f>
        <v/>
      </c>
      <c r="AG99" s="1166"/>
      <c r="AH99" s="77"/>
      <c r="AI99" s="77"/>
      <c r="AJ99" s="77"/>
      <c r="AK99" s="15"/>
      <c r="AM99" s="617"/>
      <c r="AN99" s="1090" t="str">
        <f t="shared" si="52"/>
        <v/>
      </c>
      <c r="AO99" s="618" t="str">
        <f t="shared" si="53"/>
        <v/>
      </c>
      <c r="AP99" s="617"/>
      <c r="AQ99" s="617"/>
      <c r="AR99" s="617"/>
      <c r="AS99" s="617"/>
      <c r="AT99" s="617"/>
      <c r="AU99" s="617"/>
      <c r="AV99" s="620"/>
      <c r="AW99" s="727"/>
      <c r="AX99" s="728"/>
      <c r="AY99" s="728"/>
      <c r="AZ99" s="728"/>
      <c r="BA99" s="728"/>
      <c r="BB99" s="728"/>
      <c r="BC99" s="728"/>
      <c r="BD99" s="728"/>
      <c r="BE99" s="728"/>
      <c r="BF99" s="728"/>
      <c r="BG99" s="728"/>
      <c r="BH99" s="728"/>
      <c r="BI99" s="728"/>
      <c r="BJ99" s="728"/>
      <c r="BK99" s="728"/>
      <c r="BL99" s="742"/>
      <c r="BM99" s="747">
        <f t="shared" si="54"/>
        <v>0</v>
      </c>
      <c r="BN99" s="738">
        <f t="shared" si="47"/>
        <v>0</v>
      </c>
      <c r="BO99" s="729">
        <f t="shared" si="48"/>
        <v>0</v>
      </c>
      <c r="BP99" s="730">
        <f t="shared" si="49"/>
        <v>0</v>
      </c>
      <c r="BQ99" s="729">
        <f t="shared" si="49"/>
        <v>0</v>
      </c>
      <c r="BR99" s="729">
        <f t="shared" si="55"/>
        <v>0</v>
      </c>
      <c r="BS99" s="729">
        <f t="shared" si="56"/>
        <v>0</v>
      </c>
      <c r="BT99" s="729">
        <f t="shared" si="57"/>
        <v>0</v>
      </c>
      <c r="BU99" s="729">
        <f t="shared" si="58"/>
        <v>0</v>
      </c>
      <c r="BV99" s="729">
        <f t="shared" si="59"/>
        <v>0</v>
      </c>
      <c r="BW99" s="729">
        <f t="shared" si="60"/>
        <v>0</v>
      </c>
      <c r="BX99" s="729">
        <f t="shared" si="60"/>
        <v>0</v>
      </c>
      <c r="BY99" s="729">
        <f t="shared" si="61"/>
        <v>0</v>
      </c>
      <c r="BZ99" s="729">
        <f t="shared" si="61"/>
        <v>0</v>
      </c>
      <c r="CA99" s="729">
        <f t="shared" si="62"/>
        <v>0</v>
      </c>
      <c r="CB99" s="729">
        <f t="shared" si="63"/>
        <v>0</v>
      </c>
      <c r="CC99" s="729">
        <f t="shared" si="63"/>
        <v>0</v>
      </c>
      <c r="CD99" s="729">
        <f t="shared" si="63"/>
        <v>0</v>
      </c>
      <c r="CE99" s="729">
        <f t="shared" si="64"/>
        <v>0</v>
      </c>
      <c r="CF99" s="729">
        <f t="shared" si="65"/>
        <v>0</v>
      </c>
      <c r="CG99" s="729">
        <f t="shared" si="66"/>
        <v>0</v>
      </c>
      <c r="CH99" s="729">
        <f t="shared" si="67"/>
        <v>0</v>
      </c>
      <c r="CI99" s="729">
        <f t="shared" si="68"/>
        <v>0</v>
      </c>
      <c r="CJ99" s="729">
        <f t="shared" si="69"/>
        <v>0</v>
      </c>
      <c r="CK99" s="729">
        <f t="shared" si="70"/>
        <v>0</v>
      </c>
      <c r="CL99" s="729">
        <f t="shared" si="71"/>
        <v>0</v>
      </c>
      <c r="CM99" s="729">
        <f t="shared" si="72"/>
        <v>0</v>
      </c>
      <c r="CN99" s="729">
        <f t="shared" si="73"/>
        <v>0</v>
      </c>
      <c r="CO99" s="729">
        <f t="shared" si="74"/>
        <v>0</v>
      </c>
      <c r="CP99" s="729">
        <f t="shared" si="75"/>
        <v>0</v>
      </c>
      <c r="CQ99" s="729">
        <f t="shared" si="76"/>
        <v>0</v>
      </c>
      <c r="CR99" s="729">
        <f t="shared" si="77"/>
        <v>0</v>
      </c>
      <c r="CS99" s="729">
        <f t="shared" si="78"/>
        <v>0</v>
      </c>
      <c r="CT99" s="729">
        <f t="shared" si="78"/>
        <v>0</v>
      </c>
      <c r="CU99" s="731">
        <f t="shared" si="79"/>
        <v>0</v>
      </c>
      <c r="CV99" s="692" t="str">
        <f t="shared" si="80"/>
        <v/>
      </c>
      <c r="CW99" s="659" t="str">
        <f t="shared" si="81"/>
        <v/>
      </c>
      <c r="CX99" s="659" t="str">
        <f t="shared" si="82"/>
        <v/>
      </c>
      <c r="CY99" s="659" t="str">
        <f t="shared" si="83"/>
        <v/>
      </c>
      <c r="CZ99" s="659" t="str">
        <f t="shared" si="84"/>
        <v/>
      </c>
      <c r="DA99" s="659" t="str">
        <f t="shared" si="85"/>
        <v/>
      </c>
      <c r="DB99" s="82" t="str">
        <f t="shared" si="86"/>
        <v/>
      </c>
      <c r="DC99" s="625" t="str">
        <f t="shared" si="50"/>
        <v/>
      </c>
      <c r="DD99" s="625" t="str">
        <f t="shared" si="87"/>
        <v>0</v>
      </c>
      <c r="DE99" s="620">
        <f t="shared" si="88"/>
        <v>0</v>
      </c>
      <c r="DF99" s="1051" t="s">
        <v>78</v>
      </c>
      <c r="DG99" s="1080">
        <v>235096</v>
      </c>
      <c r="DH99" s="625">
        <f t="shared" si="89"/>
        <v>0</v>
      </c>
      <c r="DI99" s="625">
        <f t="shared" si="90"/>
        <v>0</v>
      </c>
      <c r="DJ99" s="626" t="str">
        <f t="shared" si="91"/>
        <v>00</v>
      </c>
    </row>
    <row r="100" spans="1:114" ht="15" customHeight="1">
      <c r="A100" s="1238"/>
      <c r="B100" s="1238"/>
      <c r="C100" s="1238"/>
      <c r="D100" s="1238"/>
      <c r="E100" s="1238"/>
      <c r="F100" s="1238"/>
      <c r="G100" s="1238"/>
      <c r="H100" s="1238"/>
      <c r="I100" s="1238"/>
      <c r="J100" s="1238"/>
      <c r="K100" s="1238"/>
      <c r="L100" s="1238"/>
      <c r="M100" s="1238"/>
      <c r="N100" s="1238"/>
      <c r="O100" s="1238"/>
      <c r="P100" s="1235">
        <v>97</v>
      </c>
      <c r="Q100" s="1386"/>
      <c r="R100" s="1387"/>
      <c r="S100" s="1368"/>
      <c r="T100" s="1369"/>
      <c r="U100" s="1391"/>
      <c r="V100" s="1360"/>
      <c r="W100" s="1067"/>
      <c r="X100" s="1062"/>
      <c r="Y100" s="1063"/>
      <c r="Z100" s="1153"/>
      <c r="AA100" s="1153"/>
      <c r="AB100" s="1361"/>
      <c r="AC100" s="1352" t="str">
        <f t="shared" si="51"/>
        <v>00</v>
      </c>
      <c r="AD100" s="524" t="str">
        <f t="shared" si="92"/>
        <v/>
      </c>
      <c r="AE100" s="525" t="str">
        <f>IF(AD100="","",VLOOKUP(AD100,所属コード!$A$2:$E$189,2,FALSE))</f>
        <v/>
      </c>
      <c r="AF100" s="1164" t="str">
        <f>IF(AD100="","",VLOOKUP(AD100,所属コード!$A$2:$G$189,7,FALSE))</f>
        <v/>
      </c>
      <c r="AG100" s="1166"/>
      <c r="AH100" s="77"/>
      <c r="AI100" s="77"/>
      <c r="AJ100" s="77"/>
      <c r="AK100" s="15"/>
      <c r="AM100" s="617"/>
      <c r="AN100" s="1090" t="str">
        <f t="shared" si="52"/>
        <v/>
      </c>
      <c r="AO100" s="618" t="str">
        <f t="shared" si="53"/>
        <v/>
      </c>
      <c r="AP100" s="617"/>
      <c r="AQ100" s="617"/>
      <c r="AR100" s="617"/>
      <c r="AS100" s="617"/>
      <c r="AT100" s="617"/>
      <c r="AU100" s="617"/>
      <c r="AV100" s="620"/>
      <c r="AW100" s="727"/>
      <c r="AX100" s="728"/>
      <c r="AY100" s="728"/>
      <c r="AZ100" s="728"/>
      <c r="BA100" s="728"/>
      <c r="BB100" s="728"/>
      <c r="BC100" s="728"/>
      <c r="BD100" s="728"/>
      <c r="BE100" s="728"/>
      <c r="BF100" s="728"/>
      <c r="BG100" s="728"/>
      <c r="BH100" s="728"/>
      <c r="BI100" s="728"/>
      <c r="BJ100" s="728"/>
      <c r="BK100" s="728"/>
      <c r="BL100" s="742"/>
      <c r="BM100" s="747">
        <f t="shared" si="54"/>
        <v>0</v>
      </c>
      <c r="BN100" s="738">
        <f t="shared" si="47"/>
        <v>0</v>
      </c>
      <c r="BO100" s="729">
        <f t="shared" si="48"/>
        <v>0</v>
      </c>
      <c r="BP100" s="730">
        <f t="shared" ref="BP100:BQ113" si="93">BD100</f>
        <v>0</v>
      </c>
      <c r="BQ100" s="729">
        <f t="shared" si="93"/>
        <v>0</v>
      </c>
      <c r="BR100" s="729">
        <f t="shared" si="55"/>
        <v>0</v>
      </c>
      <c r="BS100" s="729">
        <f t="shared" si="56"/>
        <v>0</v>
      </c>
      <c r="BT100" s="729">
        <f t="shared" si="57"/>
        <v>0</v>
      </c>
      <c r="BU100" s="729">
        <f t="shared" si="58"/>
        <v>0</v>
      </c>
      <c r="BV100" s="729">
        <f t="shared" si="59"/>
        <v>0</v>
      </c>
      <c r="BW100" s="729">
        <f t="shared" si="60"/>
        <v>0</v>
      </c>
      <c r="BX100" s="729">
        <f t="shared" si="60"/>
        <v>0</v>
      </c>
      <c r="BY100" s="729">
        <f t="shared" si="61"/>
        <v>0</v>
      </c>
      <c r="BZ100" s="729">
        <f t="shared" si="61"/>
        <v>0</v>
      </c>
      <c r="CA100" s="729">
        <f t="shared" si="62"/>
        <v>0</v>
      </c>
      <c r="CB100" s="729">
        <f t="shared" si="63"/>
        <v>0</v>
      </c>
      <c r="CC100" s="729">
        <f t="shared" si="63"/>
        <v>0</v>
      </c>
      <c r="CD100" s="729">
        <f t="shared" si="63"/>
        <v>0</v>
      </c>
      <c r="CE100" s="729">
        <f t="shared" si="64"/>
        <v>0</v>
      </c>
      <c r="CF100" s="729">
        <f t="shared" si="65"/>
        <v>0</v>
      </c>
      <c r="CG100" s="729">
        <f t="shared" si="66"/>
        <v>0</v>
      </c>
      <c r="CH100" s="729">
        <f t="shared" si="67"/>
        <v>0</v>
      </c>
      <c r="CI100" s="729">
        <f t="shared" si="68"/>
        <v>0</v>
      </c>
      <c r="CJ100" s="729">
        <f t="shared" si="69"/>
        <v>0</v>
      </c>
      <c r="CK100" s="729">
        <f t="shared" si="70"/>
        <v>0</v>
      </c>
      <c r="CL100" s="729">
        <f t="shared" si="71"/>
        <v>0</v>
      </c>
      <c r="CM100" s="729">
        <f t="shared" si="72"/>
        <v>0</v>
      </c>
      <c r="CN100" s="729">
        <f t="shared" si="73"/>
        <v>0</v>
      </c>
      <c r="CO100" s="729">
        <f t="shared" si="74"/>
        <v>0</v>
      </c>
      <c r="CP100" s="729">
        <f t="shared" si="75"/>
        <v>0</v>
      </c>
      <c r="CQ100" s="729">
        <f t="shared" si="76"/>
        <v>0</v>
      </c>
      <c r="CR100" s="729">
        <f t="shared" si="77"/>
        <v>0</v>
      </c>
      <c r="CS100" s="729">
        <f t="shared" si="78"/>
        <v>0</v>
      </c>
      <c r="CT100" s="729">
        <f t="shared" si="78"/>
        <v>0</v>
      </c>
      <c r="CU100" s="731">
        <f t="shared" si="79"/>
        <v>0</v>
      </c>
      <c r="CV100" s="692" t="str">
        <f t="shared" si="80"/>
        <v/>
      </c>
      <c r="CW100" s="659" t="str">
        <f t="shared" si="81"/>
        <v/>
      </c>
      <c r="CX100" s="659" t="str">
        <f t="shared" si="82"/>
        <v/>
      </c>
      <c r="CY100" s="659" t="str">
        <f t="shared" si="83"/>
        <v/>
      </c>
      <c r="CZ100" s="659" t="str">
        <f t="shared" si="84"/>
        <v/>
      </c>
      <c r="DA100" s="659" t="str">
        <f t="shared" si="85"/>
        <v/>
      </c>
      <c r="DB100" s="82" t="str">
        <f t="shared" si="86"/>
        <v/>
      </c>
      <c r="DC100" s="625" t="str">
        <f t="shared" si="50"/>
        <v/>
      </c>
      <c r="DD100" s="625" t="str">
        <f t="shared" si="87"/>
        <v>0</v>
      </c>
      <c r="DE100" s="620">
        <f t="shared" si="88"/>
        <v>0</v>
      </c>
      <c r="DF100" s="1051" t="s">
        <v>188</v>
      </c>
      <c r="DG100" s="1080">
        <v>235097</v>
      </c>
      <c r="DH100" s="625">
        <f t="shared" si="89"/>
        <v>0</v>
      </c>
      <c r="DI100" s="625">
        <f t="shared" si="90"/>
        <v>0</v>
      </c>
      <c r="DJ100" s="626" t="str">
        <f t="shared" si="91"/>
        <v>00</v>
      </c>
    </row>
    <row r="101" spans="1:114" ht="15" customHeight="1">
      <c r="A101" s="1238"/>
      <c r="B101" s="1238"/>
      <c r="C101" s="1238"/>
      <c r="D101" s="1238"/>
      <c r="E101" s="1238"/>
      <c r="F101" s="1238"/>
      <c r="G101" s="1238"/>
      <c r="H101" s="1238"/>
      <c r="I101" s="1238"/>
      <c r="J101" s="1238"/>
      <c r="K101" s="1238"/>
      <c r="L101" s="1238"/>
      <c r="M101" s="1238"/>
      <c r="N101" s="1238"/>
      <c r="O101" s="1238"/>
      <c r="P101" s="1235">
        <v>98</v>
      </c>
      <c r="Q101" s="1386"/>
      <c r="R101" s="1387"/>
      <c r="S101" s="1368"/>
      <c r="T101" s="1369"/>
      <c r="U101" s="1391"/>
      <c r="V101" s="1360"/>
      <c r="W101" s="1067"/>
      <c r="X101" s="1062"/>
      <c r="Y101" s="1063"/>
      <c r="Z101" s="1153"/>
      <c r="AA101" s="1153"/>
      <c r="AB101" s="1361"/>
      <c r="AC101" s="1352" t="str">
        <f t="shared" si="51"/>
        <v>00</v>
      </c>
      <c r="AD101" s="524" t="str">
        <f t="shared" si="92"/>
        <v/>
      </c>
      <c r="AE101" s="525" t="str">
        <f>IF(AD101="","",VLOOKUP(AD101,所属コード!$A$2:$E$189,2,FALSE))</f>
        <v/>
      </c>
      <c r="AF101" s="1164" t="str">
        <f>IF(AD101="","",VLOOKUP(AD101,所属コード!$A$2:$G$189,7,FALSE))</f>
        <v/>
      </c>
      <c r="AG101" s="1166"/>
      <c r="AH101" s="77"/>
      <c r="AI101" s="77"/>
      <c r="AJ101" s="77"/>
      <c r="AK101" s="15"/>
      <c r="AM101" s="617"/>
      <c r="AN101" s="1090" t="str">
        <f t="shared" si="52"/>
        <v/>
      </c>
      <c r="AO101" s="618" t="str">
        <f t="shared" si="53"/>
        <v/>
      </c>
      <c r="AP101" s="617"/>
      <c r="AQ101" s="617"/>
      <c r="AR101" s="617"/>
      <c r="AS101" s="617"/>
      <c r="AT101" s="617"/>
      <c r="AU101" s="617"/>
      <c r="AV101" s="620"/>
      <c r="AW101" s="727"/>
      <c r="AX101" s="728"/>
      <c r="AY101" s="728"/>
      <c r="AZ101" s="728"/>
      <c r="BA101" s="728"/>
      <c r="BB101" s="728"/>
      <c r="BC101" s="728"/>
      <c r="BD101" s="728"/>
      <c r="BE101" s="728"/>
      <c r="BF101" s="728"/>
      <c r="BG101" s="728"/>
      <c r="BH101" s="728"/>
      <c r="BI101" s="728"/>
      <c r="BJ101" s="728"/>
      <c r="BK101" s="728"/>
      <c r="BL101" s="742"/>
      <c r="BM101" s="747">
        <f t="shared" si="54"/>
        <v>0</v>
      </c>
      <c r="BN101" s="738">
        <f t="shared" si="47"/>
        <v>0</v>
      </c>
      <c r="BO101" s="729">
        <f t="shared" si="48"/>
        <v>0</v>
      </c>
      <c r="BP101" s="730">
        <f t="shared" si="93"/>
        <v>0</v>
      </c>
      <c r="BQ101" s="729">
        <f t="shared" si="93"/>
        <v>0</v>
      </c>
      <c r="BR101" s="729">
        <f t="shared" si="55"/>
        <v>0</v>
      </c>
      <c r="BS101" s="729">
        <f t="shared" si="56"/>
        <v>0</v>
      </c>
      <c r="BT101" s="729">
        <f t="shared" si="57"/>
        <v>0</v>
      </c>
      <c r="BU101" s="729">
        <f t="shared" si="58"/>
        <v>0</v>
      </c>
      <c r="BV101" s="729">
        <f t="shared" si="59"/>
        <v>0</v>
      </c>
      <c r="BW101" s="729">
        <f t="shared" si="60"/>
        <v>0</v>
      </c>
      <c r="BX101" s="729">
        <f t="shared" si="60"/>
        <v>0</v>
      </c>
      <c r="BY101" s="729">
        <f t="shared" si="61"/>
        <v>0</v>
      </c>
      <c r="BZ101" s="729">
        <f t="shared" si="61"/>
        <v>0</v>
      </c>
      <c r="CA101" s="729">
        <f t="shared" si="62"/>
        <v>0</v>
      </c>
      <c r="CB101" s="729">
        <f t="shared" si="63"/>
        <v>0</v>
      </c>
      <c r="CC101" s="729">
        <f t="shared" si="63"/>
        <v>0</v>
      </c>
      <c r="CD101" s="729">
        <f t="shared" si="63"/>
        <v>0</v>
      </c>
      <c r="CE101" s="729">
        <f t="shared" si="64"/>
        <v>0</v>
      </c>
      <c r="CF101" s="729">
        <f t="shared" si="65"/>
        <v>0</v>
      </c>
      <c r="CG101" s="729">
        <f t="shared" si="66"/>
        <v>0</v>
      </c>
      <c r="CH101" s="729">
        <f t="shared" si="67"/>
        <v>0</v>
      </c>
      <c r="CI101" s="729">
        <f t="shared" si="68"/>
        <v>0</v>
      </c>
      <c r="CJ101" s="729">
        <f t="shared" si="69"/>
        <v>0</v>
      </c>
      <c r="CK101" s="729">
        <f t="shared" si="70"/>
        <v>0</v>
      </c>
      <c r="CL101" s="729">
        <f t="shared" si="71"/>
        <v>0</v>
      </c>
      <c r="CM101" s="729">
        <f t="shared" si="72"/>
        <v>0</v>
      </c>
      <c r="CN101" s="729">
        <f t="shared" si="73"/>
        <v>0</v>
      </c>
      <c r="CO101" s="729">
        <f t="shared" si="74"/>
        <v>0</v>
      </c>
      <c r="CP101" s="729">
        <f t="shared" si="75"/>
        <v>0</v>
      </c>
      <c r="CQ101" s="729">
        <f t="shared" si="76"/>
        <v>0</v>
      </c>
      <c r="CR101" s="729">
        <f t="shared" si="77"/>
        <v>0</v>
      </c>
      <c r="CS101" s="729">
        <f t="shared" si="78"/>
        <v>0</v>
      </c>
      <c r="CT101" s="729">
        <f t="shared" si="78"/>
        <v>0</v>
      </c>
      <c r="CU101" s="731">
        <f t="shared" si="79"/>
        <v>0</v>
      </c>
      <c r="CV101" s="692" t="str">
        <f t="shared" si="80"/>
        <v/>
      </c>
      <c r="CW101" s="659" t="str">
        <f t="shared" si="81"/>
        <v/>
      </c>
      <c r="CX101" s="659" t="str">
        <f t="shared" si="82"/>
        <v/>
      </c>
      <c r="CY101" s="659" t="str">
        <f t="shared" si="83"/>
        <v/>
      </c>
      <c r="CZ101" s="659" t="str">
        <f t="shared" si="84"/>
        <v/>
      </c>
      <c r="DA101" s="659" t="str">
        <f t="shared" si="85"/>
        <v/>
      </c>
      <c r="DB101" s="82" t="str">
        <f t="shared" si="86"/>
        <v/>
      </c>
      <c r="DC101" s="625" t="str">
        <f t="shared" si="50"/>
        <v/>
      </c>
      <c r="DD101" s="625" t="str">
        <f t="shared" si="87"/>
        <v>0</v>
      </c>
      <c r="DE101" s="620">
        <f t="shared" si="88"/>
        <v>0</v>
      </c>
      <c r="DF101" s="1051" t="s">
        <v>155</v>
      </c>
      <c r="DG101" s="1080">
        <v>235098</v>
      </c>
      <c r="DH101" s="625">
        <f t="shared" si="89"/>
        <v>0</v>
      </c>
      <c r="DI101" s="625">
        <f t="shared" si="90"/>
        <v>0</v>
      </c>
      <c r="DJ101" s="626" t="str">
        <f t="shared" si="91"/>
        <v>00</v>
      </c>
    </row>
    <row r="102" spans="1:114" ht="15" customHeight="1">
      <c r="A102" s="1238"/>
      <c r="B102" s="1238"/>
      <c r="C102" s="1238"/>
      <c r="D102" s="1238"/>
      <c r="E102" s="1238"/>
      <c r="F102" s="1238"/>
      <c r="G102" s="1238"/>
      <c r="H102" s="1238"/>
      <c r="I102" s="1238"/>
      <c r="J102" s="1238"/>
      <c r="K102" s="1238"/>
      <c r="L102" s="1238"/>
      <c r="M102" s="1238"/>
      <c r="N102" s="1238"/>
      <c r="O102" s="1238"/>
      <c r="P102" s="1235">
        <v>99</v>
      </c>
      <c r="Q102" s="1386"/>
      <c r="R102" s="1387"/>
      <c r="S102" s="1368"/>
      <c r="T102" s="1369"/>
      <c r="U102" s="1391"/>
      <c r="V102" s="1360"/>
      <c r="W102" s="1067"/>
      <c r="X102" s="1062"/>
      <c r="Y102" s="1063"/>
      <c r="Z102" s="1153"/>
      <c r="AA102" s="1153"/>
      <c r="AB102" s="1361"/>
      <c r="AC102" s="1352" t="str">
        <f t="shared" si="51"/>
        <v>00</v>
      </c>
      <c r="AD102" s="524" t="str">
        <f t="shared" si="92"/>
        <v/>
      </c>
      <c r="AE102" s="525" t="str">
        <f>IF(AD102="","",VLOOKUP(AD102,所属コード!$A$2:$E$189,2,FALSE))</f>
        <v/>
      </c>
      <c r="AF102" s="1164" t="str">
        <f>IF(AD102="","",VLOOKUP(AD102,所属コード!$A$2:$G$189,7,FALSE))</f>
        <v/>
      </c>
      <c r="AG102" s="1166"/>
      <c r="AH102" s="77"/>
      <c r="AI102" s="77"/>
      <c r="AJ102" s="77"/>
      <c r="AK102" s="15"/>
      <c r="AM102" s="617"/>
      <c r="AN102" s="1090" t="str">
        <f t="shared" si="52"/>
        <v/>
      </c>
      <c r="AO102" s="618" t="str">
        <f t="shared" si="53"/>
        <v/>
      </c>
      <c r="AP102" s="617"/>
      <c r="AQ102" s="617"/>
      <c r="AR102" s="617"/>
      <c r="AS102" s="617"/>
      <c r="AT102" s="617"/>
      <c r="AU102" s="617"/>
      <c r="AV102" s="620"/>
      <c r="AW102" s="727"/>
      <c r="AX102" s="728"/>
      <c r="AY102" s="728"/>
      <c r="AZ102" s="728"/>
      <c r="BA102" s="728"/>
      <c r="BB102" s="728"/>
      <c r="BC102" s="728"/>
      <c r="BD102" s="728"/>
      <c r="BE102" s="728"/>
      <c r="BF102" s="728"/>
      <c r="BG102" s="728"/>
      <c r="BH102" s="728"/>
      <c r="BI102" s="728"/>
      <c r="BJ102" s="728"/>
      <c r="BK102" s="728"/>
      <c r="BL102" s="742"/>
      <c r="BM102" s="747">
        <f t="shared" si="54"/>
        <v>0</v>
      </c>
      <c r="BN102" s="738">
        <f t="shared" si="47"/>
        <v>0</v>
      </c>
      <c r="BO102" s="729">
        <f t="shared" si="48"/>
        <v>0</v>
      </c>
      <c r="BP102" s="730">
        <f t="shared" si="93"/>
        <v>0</v>
      </c>
      <c r="BQ102" s="729">
        <f t="shared" si="93"/>
        <v>0</v>
      </c>
      <c r="BR102" s="729">
        <f t="shared" si="55"/>
        <v>0</v>
      </c>
      <c r="BS102" s="729">
        <f t="shared" si="56"/>
        <v>0</v>
      </c>
      <c r="BT102" s="729">
        <f t="shared" si="57"/>
        <v>0</v>
      </c>
      <c r="BU102" s="729">
        <f t="shared" si="58"/>
        <v>0</v>
      </c>
      <c r="BV102" s="729">
        <f t="shared" si="59"/>
        <v>0</v>
      </c>
      <c r="BW102" s="729">
        <f t="shared" si="60"/>
        <v>0</v>
      </c>
      <c r="BX102" s="729">
        <f t="shared" si="60"/>
        <v>0</v>
      </c>
      <c r="BY102" s="729">
        <f t="shared" si="61"/>
        <v>0</v>
      </c>
      <c r="BZ102" s="729">
        <f t="shared" si="61"/>
        <v>0</v>
      </c>
      <c r="CA102" s="729">
        <f t="shared" si="62"/>
        <v>0</v>
      </c>
      <c r="CB102" s="729">
        <f t="shared" si="63"/>
        <v>0</v>
      </c>
      <c r="CC102" s="729">
        <f t="shared" si="63"/>
        <v>0</v>
      </c>
      <c r="CD102" s="729">
        <f t="shared" si="63"/>
        <v>0</v>
      </c>
      <c r="CE102" s="729">
        <f t="shared" si="64"/>
        <v>0</v>
      </c>
      <c r="CF102" s="729">
        <f t="shared" si="65"/>
        <v>0</v>
      </c>
      <c r="CG102" s="729">
        <f t="shared" si="66"/>
        <v>0</v>
      </c>
      <c r="CH102" s="729">
        <f t="shared" si="67"/>
        <v>0</v>
      </c>
      <c r="CI102" s="729">
        <f t="shared" si="68"/>
        <v>0</v>
      </c>
      <c r="CJ102" s="729">
        <f t="shared" si="69"/>
        <v>0</v>
      </c>
      <c r="CK102" s="729">
        <f t="shared" si="70"/>
        <v>0</v>
      </c>
      <c r="CL102" s="729">
        <f t="shared" si="71"/>
        <v>0</v>
      </c>
      <c r="CM102" s="729">
        <f t="shared" si="72"/>
        <v>0</v>
      </c>
      <c r="CN102" s="729">
        <f t="shared" si="73"/>
        <v>0</v>
      </c>
      <c r="CO102" s="729">
        <f t="shared" si="74"/>
        <v>0</v>
      </c>
      <c r="CP102" s="729">
        <f t="shared" si="75"/>
        <v>0</v>
      </c>
      <c r="CQ102" s="729">
        <f t="shared" si="76"/>
        <v>0</v>
      </c>
      <c r="CR102" s="729">
        <f t="shared" si="77"/>
        <v>0</v>
      </c>
      <c r="CS102" s="729">
        <f t="shared" si="78"/>
        <v>0</v>
      </c>
      <c r="CT102" s="729">
        <f t="shared" si="78"/>
        <v>0</v>
      </c>
      <c r="CU102" s="731">
        <f t="shared" si="79"/>
        <v>0</v>
      </c>
      <c r="CV102" s="692" t="str">
        <f t="shared" si="80"/>
        <v/>
      </c>
      <c r="CW102" s="659" t="str">
        <f t="shared" si="81"/>
        <v/>
      </c>
      <c r="CX102" s="659" t="str">
        <f t="shared" si="82"/>
        <v/>
      </c>
      <c r="CY102" s="659" t="str">
        <f t="shared" si="83"/>
        <v/>
      </c>
      <c r="CZ102" s="659" t="str">
        <f t="shared" si="84"/>
        <v/>
      </c>
      <c r="DA102" s="659" t="str">
        <f t="shared" si="85"/>
        <v/>
      </c>
      <c r="DB102" s="82" t="str">
        <f t="shared" si="86"/>
        <v/>
      </c>
      <c r="DC102" s="625" t="str">
        <f t="shared" si="50"/>
        <v/>
      </c>
      <c r="DD102" s="625" t="str">
        <f t="shared" si="87"/>
        <v>0</v>
      </c>
      <c r="DE102" s="620">
        <f t="shared" si="88"/>
        <v>0</v>
      </c>
      <c r="DF102" s="1051" t="s">
        <v>79</v>
      </c>
      <c r="DG102" s="1080">
        <v>235099</v>
      </c>
      <c r="DH102" s="625">
        <f t="shared" si="89"/>
        <v>0</v>
      </c>
      <c r="DI102" s="625">
        <f t="shared" si="90"/>
        <v>0</v>
      </c>
      <c r="DJ102" s="626" t="str">
        <f t="shared" si="91"/>
        <v>00</v>
      </c>
    </row>
    <row r="103" spans="1:114" ht="15" customHeight="1">
      <c r="A103" s="1238"/>
      <c r="B103" s="1238"/>
      <c r="C103" s="1238"/>
      <c r="D103" s="1238"/>
      <c r="E103" s="1238"/>
      <c r="F103" s="1238"/>
      <c r="G103" s="1238"/>
      <c r="H103" s="1238"/>
      <c r="I103" s="1238"/>
      <c r="J103" s="1238"/>
      <c r="K103" s="1238"/>
      <c r="L103" s="1238"/>
      <c r="M103" s="1238"/>
      <c r="N103" s="1238"/>
      <c r="O103" s="1238"/>
      <c r="P103" s="1235">
        <v>100</v>
      </c>
      <c r="Q103" s="1386"/>
      <c r="R103" s="1387"/>
      <c r="S103" s="1368"/>
      <c r="T103" s="1369"/>
      <c r="U103" s="1391"/>
      <c r="V103" s="1360"/>
      <c r="W103" s="1067"/>
      <c r="X103" s="1062"/>
      <c r="Y103" s="1063"/>
      <c r="Z103" s="1153"/>
      <c r="AA103" s="1153"/>
      <c r="AB103" s="1361"/>
      <c r="AC103" s="1352" t="str">
        <f t="shared" si="51"/>
        <v>00</v>
      </c>
      <c r="AD103" s="524" t="str">
        <f t="shared" si="92"/>
        <v/>
      </c>
      <c r="AE103" s="525" t="str">
        <f>IF(AD103="","",VLOOKUP(AD103,所属コード!$A$2:$E$189,2,FALSE))</f>
        <v/>
      </c>
      <c r="AF103" s="1164" t="str">
        <f>IF(AD103="","",VLOOKUP(AD103,所属コード!$A$2:$G$189,7,FALSE))</f>
        <v/>
      </c>
      <c r="AG103" s="1166"/>
      <c r="AH103" s="77"/>
      <c r="AI103" s="77"/>
      <c r="AJ103" s="77"/>
      <c r="AK103" s="15"/>
      <c r="AM103" s="617"/>
      <c r="AN103" s="1090" t="str">
        <f t="shared" si="52"/>
        <v/>
      </c>
      <c r="AO103" s="618" t="str">
        <f t="shared" si="53"/>
        <v/>
      </c>
      <c r="AP103" s="617"/>
      <c r="AQ103" s="617"/>
      <c r="AR103" s="617"/>
      <c r="AS103" s="617"/>
      <c r="AT103" s="617"/>
      <c r="AU103" s="617"/>
      <c r="AV103" s="620"/>
      <c r="AW103" s="727"/>
      <c r="AX103" s="728"/>
      <c r="AY103" s="728"/>
      <c r="AZ103" s="728"/>
      <c r="BA103" s="728"/>
      <c r="BB103" s="728"/>
      <c r="BC103" s="728"/>
      <c r="BD103" s="728"/>
      <c r="BE103" s="728"/>
      <c r="BF103" s="728"/>
      <c r="BG103" s="728"/>
      <c r="BH103" s="728"/>
      <c r="BI103" s="728"/>
      <c r="BJ103" s="728"/>
      <c r="BK103" s="728"/>
      <c r="BL103" s="742"/>
      <c r="BM103" s="747">
        <f t="shared" si="54"/>
        <v>0</v>
      </c>
      <c r="BN103" s="738">
        <f t="shared" si="47"/>
        <v>0</v>
      </c>
      <c r="BO103" s="729">
        <f t="shared" si="48"/>
        <v>0</v>
      </c>
      <c r="BP103" s="730">
        <f t="shared" si="93"/>
        <v>0</v>
      </c>
      <c r="BQ103" s="729">
        <f t="shared" si="93"/>
        <v>0</v>
      </c>
      <c r="BR103" s="729">
        <f t="shared" si="55"/>
        <v>0</v>
      </c>
      <c r="BS103" s="729">
        <f t="shared" si="56"/>
        <v>0</v>
      </c>
      <c r="BT103" s="729">
        <f t="shared" si="57"/>
        <v>0</v>
      </c>
      <c r="BU103" s="729">
        <f t="shared" si="58"/>
        <v>0</v>
      </c>
      <c r="BV103" s="729">
        <f t="shared" si="59"/>
        <v>0</v>
      </c>
      <c r="BW103" s="729">
        <f t="shared" si="60"/>
        <v>0</v>
      </c>
      <c r="BX103" s="729">
        <f t="shared" si="60"/>
        <v>0</v>
      </c>
      <c r="BY103" s="729">
        <f t="shared" si="61"/>
        <v>0</v>
      </c>
      <c r="BZ103" s="729">
        <f t="shared" si="61"/>
        <v>0</v>
      </c>
      <c r="CA103" s="729">
        <f t="shared" si="62"/>
        <v>0</v>
      </c>
      <c r="CB103" s="729">
        <f t="shared" si="63"/>
        <v>0</v>
      </c>
      <c r="CC103" s="729">
        <f t="shared" si="63"/>
        <v>0</v>
      </c>
      <c r="CD103" s="729">
        <f t="shared" si="63"/>
        <v>0</v>
      </c>
      <c r="CE103" s="729">
        <f t="shared" si="64"/>
        <v>0</v>
      </c>
      <c r="CF103" s="729">
        <f t="shared" si="65"/>
        <v>0</v>
      </c>
      <c r="CG103" s="729">
        <f t="shared" si="66"/>
        <v>0</v>
      </c>
      <c r="CH103" s="729">
        <f t="shared" si="67"/>
        <v>0</v>
      </c>
      <c r="CI103" s="729">
        <f t="shared" si="68"/>
        <v>0</v>
      </c>
      <c r="CJ103" s="729">
        <f t="shared" si="69"/>
        <v>0</v>
      </c>
      <c r="CK103" s="729">
        <f t="shared" si="70"/>
        <v>0</v>
      </c>
      <c r="CL103" s="729">
        <f t="shared" si="71"/>
        <v>0</v>
      </c>
      <c r="CM103" s="729">
        <f t="shared" si="72"/>
        <v>0</v>
      </c>
      <c r="CN103" s="729">
        <f t="shared" si="73"/>
        <v>0</v>
      </c>
      <c r="CO103" s="729">
        <f t="shared" si="74"/>
        <v>0</v>
      </c>
      <c r="CP103" s="729">
        <f t="shared" si="75"/>
        <v>0</v>
      </c>
      <c r="CQ103" s="729">
        <f t="shared" si="76"/>
        <v>0</v>
      </c>
      <c r="CR103" s="729">
        <f t="shared" si="77"/>
        <v>0</v>
      </c>
      <c r="CS103" s="729">
        <f t="shared" si="78"/>
        <v>0</v>
      </c>
      <c r="CT103" s="729">
        <f t="shared" si="78"/>
        <v>0</v>
      </c>
      <c r="CU103" s="731">
        <f t="shared" si="79"/>
        <v>0</v>
      </c>
      <c r="CV103" s="692" t="str">
        <f t="shared" si="80"/>
        <v/>
      </c>
      <c r="CW103" s="659" t="str">
        <f t="shared" si="81"/>
        <v/>
      </c>
      <c r="CX103" s="659" t="str">
        <f t="shared" si="82"/>
        <v/>
      </c>
      <c r="CY103" s="659" t="str">
        <f t="shared" si="83"/>
        <v/>
      </c>
      <c r="CZ103" s="659" t="str">
        <f t="shared" si="84"/>
        <v/>
      </c>
      <c r="DA103" s="659" t="str">
        <f t="shared" si="85"/>
        <v/>
      </c>
      <c r="DB103" s="82" t="str">
        <f t="shared" si="86"/>
        <v/>
      </c>
      <c r="DC103" s="625" t="str">
        <f t="shared" si="50"/>
        <v/>
      </c>
      <c r="DD103" s="625" t="str">
        <f t="shared" si="87"/>
        <v>0</v>
      </c>
      <c r="DE103" s="620">
        <f t="shared" si="88"/>
        <v>0</v>
      </c>
      <c r="DF103" s="1051" t="s">
        <v>80</v>
      </c>
      <c r="DG103" s="1080">
        <v>235100</v>
      </c>
      <c r="DH103" s="625">
        <f t="shared" si="89"/>
        <v>0</v>
      </c>
      <c r="DI103" s="625">
        <f t="shared" si="90"/>
        <v>0</v>
      </c>
      <c r="DJ103" s="626" t="str">
        <f t="shared" si="91"/>
        <v>00</v>
      </c>
    </row>
    <row r="104" spans="1:114" ht="15" customHeight="1">
      <c r="A104" s="1238"/>
      <c r="B104" s="1238"/>
      <c r="C104" s="1238"/>
      <c r="D104" s="1238"/>
      <c r="E104" s="1238"/>
      <c r="F104" s="1238"/>
      <c r="G104" s="1238"/>
      <c r="H104" s="1238"/>
      <c r="I104" s="1238"/>
      <c r="J104" s="1238"/>
      <c r="K104" s="1238"/>
      <c r="L104" s="1238"/>
      <c r="M104" s="1238"/>
      <c r="N104" s="1238"/>
      <c r="O104" s="1238"/>
      <c r="P104" s="1235">
        <v>101</v>
      </c>
      <c r="Q104" s="1386"/>
      <c r="R104" s="1387"/>
      <c r="S104" s="1368"/>
      <c r="T104" s="1369"/>
      <c r="U104" s="1391"/>
      <c r="V104" s="1360"/>
      <c r="W104" s="1067"/>
      <c r="X104" s="1062"/>
      <c r="Y104" s="1063"/>
      <c r="Z104" s="1153"/>
      <c r="AA104" s="1153"/>
      <c r="AB104" s="1361"/>
      <c r="AC104" s="1352" t="str">
        <f t="shared" si="51"/>
        <v>00</v>
      </c>
      <c r="AD104" s="524" t="str">
        <f t="shared" si="92"/>
        <v/>
      </c>
      <c r="AE104" s="525" t="str">
        <f>IF(AD104="","",VLOOKUP(AD104,所属コード!$A$2:$E$189,2,FALSE))</f>
        <v/>
      </c>
      <c r="AF104" s="1164" t="str">
        <f>IF(AD104="","",VLOOKUP(AD104,所属コード!$A$2:$G$189,7,FALSE))</f>
        <v/>
      </c>
      <c r="AG104" s="1166"/>
      <c r="AH104" s="77"/>
      <c r="AI104" s="77"/>
      <c r="AJ104" s="77"/>
      <c r="AK104" s="15"/>
      <c r="AM104" s="617"/>
      <c r="AN104" s="1090" t="str">
        <f t="shared" si="52"/>
        <v/>
      </c>
      <c r="AO104" s="618" t="str">
        <f t="shared" si="53"/>
        <v/>
      </c>
      <c r="AP104" s="617"/>
      <c r="AQ104" s="617"/>
      <c r="AR104" s="617"/>
      <c r="AS104" s="617"/>
      <c r="AT104" s="617"/>
      <c r="AU104" s="617"/>
      <c r="AV104" s="620"/>
      <c r="AW104" s="727"/>
      <c r="AX104" s="728"/>
      <c r="AY104" s="728"/>
      <c r="AZ104" s="728"/>
      <c r="BA104" s="728"/>
      <c r="BB104" s="728"/>
      <c r="BC104" s="728"/>
      <c r="BD104" s="728"/>
      <c r="BE104" s="728"/>
      <c r="BF104" s="728"/>
      <c r="BG104" s="728"/>
      <c r="BH104" s="728"/>
      <c r="BI104" s="728"/>
      <c r="BJ104" s="728"/>
      <c r="BK104" s="728"/>
      <c r="BL104" s="742"/>
      <c r="BM104" s="747">
        <f t="shared" si="54"/>
        <v>0</v>
      </c>
      <c r="BN104" s="738">
        <f t="shared" si="47"/>
        <v>0</v>
      </c>
      <c r="BO104" s="729">
        <f t="shared" si="48"/>
        <v>0</v>
      </c>
      <c r="BP104" s="730">
        <f t="shared" si="93"/>
        <v>0</v>
      </c>
      <c r="BQ104" s="729">
        <f t="shared" si="93"/>
        <v>0</v>
      </c>
      <c r="BR104" s="729">
        <f t="shared" si="55"/>
        <v>0</v>
      </c>
      <c r="BS104" s="729">
        <f t="shared" si="56"/>
        <v>0</v>
      </c>
      <c r="BT104" s="729">
        <f t="shared" si="57"/>
        <v>0</v>
      </c>
      <c r="BU104" s="729">
        <f t="shared" si="58"/>
        <v>0</v>
      </c>
      <c r="BV104" s="729">
        <f t="shared" si="59"/>
        <v>0</v>
      </c>
      <c r="BW104" s="729">
        <f t="shared" si="60"/>
        <v>0</v>
      </c>
      <c r="BX104" s="729">
        <f t="shared" si="60"/>
        <v>0</v>
      </c>
      <c r="BY104" s="729">
        <f t="shared" si="61"/>
        <v>0</v>
      </c>
      <c r="BZ104" s="729">
        <f t="shared" si="61"/>
        <v>0</v>
      </c>
      <c r="CA104" s="729">
        <f t="shared" si="62"/>
        <v>0</v>
      </c>
      <c r="CB104" s="729">
        <f t="shared" si="63"/>
        <v>0</v>
      </c>
      <c r="CC104" s="729">
        <f t="shared" si="63"/>
        <v>0</v>
      </c>
      <c r="CD104" s="729">
        <f t="shared" si="63"/>
        <v>0</v>
      </c>
      <c r="CE104" s="729">
        <f t="shared" si="64"/>
        <v>0</v>
      </c>
      <c r="CF104" s="729">
        <f t="shared" si="65"/>
        <v>0</v>
      </c>
      <c r="CG104" s="729">
        <f t="shared" si="66"/>
        <v>0</v>
      </c>
      <c r="CH104" s="729">
        <f t="shared" si="67"/>
        <v>0</v>
      </c>
      <c r="CI104" s="729">
        <f t="shared" si="68"/>
        <v>0</v>
      </c>
      <c r="CJ104" s="729">
        <f t="shared" si="69"/>
        <v>0</v>
      </c>
      <c r="CK104" s="729">
        <f t="shared" si="70"/>
        <v>0</v>
      </c>
      <c r="CL104" s="729">
        <f t="shared" si="71"/>
        <v>0</v>
      </c>
      <c r="CM104" s="729">
        <f t="shared" si="72"/>
        <v>0</v>
      </c>
      <c r="CN104" s="729">
        <f t="shared" si="73"/>
        <v>0</v>
      </c>
      <c r="CO104" s="729">
        <f t="shared" si="74"/>
        <v>0</v>
      </c>
      <c r="CP104" s="729">
        <f t="shared" si="75"/>
        <v>0</v>
      </c>
      <c r="CQ104" s="729">
        <f t="shared" si="76"/>
        <v>0</v>
      </c>
      <c r="CR104" s="729">
        <f t="shared" si="77"/>
        <v>0</v>
      </c>
      <c r="CS104" s="729">
        <f t="shared" si="78"/>
        <v>0</v>
      </c>
      <c r="CT104" s="729">
        <f t="shared" si="78"/>
        <v>0</v>
      </c>
      <c r="CU104" s="731">
        <f t="shared" si="79"/>
        <v>0</v>
      </c>
      <c r="CV104" s="692" t="str">
        <f t="shared" si="80"/>
        <v/>
      </c>
      <c r="CW104" s="659" t="str">
        <f t="shared" si="81"/>
        <v/>
      </c>
      <c r="CX104" s="659" t="str">
        <f t="shared" si="82"/>
        <v/>
      </c>
      <c r="CY104" s="659" t="str">
        <f t="shared" si="83"/>
        <v/>
      </c>
      <c r="CZ104" s="659" t="str">
        <f t="shared" si="84"/>
        <v/>
      </c>
      <c r="DA104" s="659" t="str">
        <f t="shared" si="85"/>
        <v/>
      </c>
      <c r="DB104" s="82" t="str">
        <f t="shared" si="86"/>
        <v/>
      </c>
      <c r="DC104" s="625" t="str">
        <f t="shared" si="50"/>
        <v/>
      </c>
      <c r="DD104" s="625" t="str">
        <f t="shared" si="87"/>
        <v>0</v>
      </c>
      <c r="DE104" s="620">
        <f t="shared" si="88"/>
        <v>0</v>
      </c>
      <c r="DF104" s="1051" t="s">
        <v>81</v>
      </c>
      <c r="DG104" s="1080">
        <v>235101</v>
      </c>
      <c r="DH104" s="625">
        <f t="shared" si="89"/>
        <v>0</v>
      </c>
      <c r="DI104" s="625">
        <f t="shared" si="90"/>
        <v>0</v>
      </c>
      <c r="DJ104" s="626" t="str">
        <f t="shared" si="91"/>
        <v>00</v>
      </c>
    </row>
    <row r="105" spans="1:114" ht="15" customHeight="1">
      <c r="A105" s="1238"/>
      <c r="B105" s="1238"/>
      <c r="C105" s="1238"/>
      <c r="D105" s="1238"/>
      <c r="E105" s="1238"/>
      <c r="F105" s="1238"/>
      <c r="G105" s="1238"/>
      <c r="H105" s="1238"/>
      <c r="I105" s="1238"/>
      <c r="J105" s="1238"/>
      <c r="K105" s="1238"/>
      <c r="L105" s="1238"/>
      <c r="M105" s="1238"/>
      <c r="N105" s="1238"/>
      <c r="O105" s="1238"/>
      <c r="P105" s="1235">
        <v>102</v>
      </c>
      <c r="Q105" s="1386"/>
      <c r="R105" s="1387"/>
      <c r="S105" s="1368"/>
      <c r="T105" s="1369"/>
      <c r="U105" s="1391"/>
      <c r="V105" s="1360"/>
      <c r="W105" s="1067"/>
      <c r="X105" s="1062"/>
      <c r="Y105" s="1063"/>
      <c r="Z105" s="1153"/>
      <c r="AA105" s="1153"/>
      <c r="AB105" s="1361"/>
      <c r="AC105" s="1352" t="str">
        <f t="shared" si="51"/>
        <v>00</v>
      </c>
      <c r="AD105" s="524" t="str">
        <f t="shared" si="92"/>
        <v/>
      </c>
      <c r="AE105" s="525" t="str">
        <f>IF(AD105="","",VLOOKUP(AD105,所属コード!$A$2:$E$189,2,FALSE))</f>
        <v/>
      </c>
      <c r="AF105" s="1164" t="str">
        <f>IF(AD105="","",VLOOKUP(AD105,所属コード!$A$2:$G$189,7,FALSE))</f>
        <v/>
      </c>
      <c r="AG105" s="1166"/>
      <c r="AH105" s="77"/>
      <c r="AI105" s="77"/>
      <c r="AJ105" s="77"/>
      <c r="AK105" s="15"/>
      <c r="AM105" s="617"/>
      <c r="AN105" s="1090" t="str">
        <f t="shared" si="52"/>
        <v/>
      </c>
      <c r="AO105" s="618" t="str">
        <f t="shared" si="53"/>
        <v/>
      </c>
      <c r="AP105" s="617"/>
      <c r="AQ105" s="617"/>
      <c r="AR105" s="617"/>
      <c r="AS105" s="617"/>
      <c r="AT105" s="617"/>
      <c r="AU105" s="617"/>
      <c r="AV105" s="620"/>
      <c r="AW105" s="727"/>
      <c r="AX105" s="728"/>
      <c r="AY105" s="728"/>
      <c r="AZ105" s="728"/>
      <c r="BA105" s="728"/>
      <c r="BB105" s="728"/>
      <c r="BC105" s="728"/>
      <c r="BD105" s="728"/>
      <c r="BE105" s="728"/>
      <c r="BF105" s="728"/>
      <c r="BG105" s="728"/>
      <c r="BH105" s="728"/>
      <c r="BI105" s="728"/>
      <c r="BJ105" s="728"/>
      <c r="BK105" s="728"/>
      <c r="BL105" s="742"/>
      <c r="BM105" s="747">
        <f t="shared" si="54"/>
        <v>0</v>
      </c>
      <c r="BN105" s="738">
        <f t="shared" si="47"/>
        <v>0</v>
      </c>
      <c r="BO105" s="729">
        <f t="shared" si="48"/>
        <v>0</v>
      </c>
      <c r="BP105" s="730">
        <f t="shared" si="93"/>
        <v>0</v>
      </c>
      <c r="BQ105" s="729">
        <f t="shared" si="93"/>
        <v>0</v>
      </c>
      <c r="BR105" s="729">
        <f t="shared" si="55"/>
        <v>0</v>
      </c>
      <c r="BS105" s="729">
        <f t="shared" si="56"/>
        <v>0</v>
      </c>
      <c r="BT105" s="729">
        <f t="shared" si="57"/>
        <v>0</v>
      </c>
      <c r="BU105" s="729">
        <f t="shared" si="58"/>
        <v>0</v>
      </c>
      <c r="BV105" s="729">
        <f t="shared" si="59"/>
        <v>0</v>
      </c>
      <c r="BW105" s="729">
        <f t="shared" si="60"/>
        <v>0</v>
      </c>
      <c r="BX105" s="729">
        <f t="shared" si="60"/>
        <v>0</v>
      </c>
      <c r="BY105" s="729">
        <f t="shared" si="61"/>
        <v>0</v>
      </c>
      <c r="BZ105" s="729">
        <f t="shared" si="61"/>
        <v>0</v>
      </c>
      <c r="CA105" s="729">
        <f t="shared" si="62"/>
        <v>0</v>
      </c>
      <c r="CB105" s="729">
        <f t="shared" si="63"/>
        <v>0</v>
      </c>
      <c r="CC105" s="729">
        <f t="shared" si="63"/>
        <v>0</v>
      </c>
      <c r="CD105" s="729">
        <f t="shared" si="63"/>
        <v>0</v>
      </c>
      <c r="CE105" s="729">
        <f t="shared" si="64"/>
        <v>0</v>
      </c>
      <c r="CF105" s="729">
        <f t="shared" si="65"/>
        <v>0</v>
      </c>
      <c r="CG105" s="729">
        <f t="shared" si="66"/>
        <v>0</v>
      </c>
      <c r="CH105" s="729">
        <f t="shared" si="67"/>
        <v>0</v>
      </c>
      <c r="CI105" s="729">
        <f t="shared" si="68"/>
        <v>0</v>
      </c>
      <c r="CJ105" s="729">
        <f t="shared" si="69"/>
        <v>0</v>
      </c>
      <c r="CK105" s="729">
        <f t="shared" si="70"/>
        <v>0</v>
      </c>
      <c r="CL105" s="729">
        <f t="shared" si="71"/>
        <v>0</v>
      </c>
      <c r="CM105" s="729">
        <f t="shared" si="72"/>
        <v>0</v>
      </c>
      <c r="CN105" s="729">
        <f t="shared" si="73"/>
        <v>0</v>
      </c>
      <c r="CO105" s="729">
        <f t="shared" si="74"/>
        <v>0</v>
      </c>
      <c r="CP105" s="729">
        <f t="shared" si="75"/>
        <v>0</v>
      </c>
      <c r="CQ105" s="729">
        <f t="shared" si="76"/>
        <v>0</v>
      </c>
      <c r="CR105" s="729">
        <f t="shared" si="77"/>
        <v>0</v>
      </c>
      <c r="CS105" s="729">
        <f t="shared" si="78"/>
        <v>0</v>
      </c>
      <c r="CT105" s="729">
        <f t="shared" si="78"/>
        <v>0</v>
      </c>
      <c r="CU105" s="731">
        <f t="shared" si="79"/>
        <v>0</v>
      </c>
      <c r="CV105" s="692" t="str">
        <f t="shared" si="80"/>
        <v/>
      </c>
      <c r="CW105" s="659" t="str">
        <f t="shared" si="81"/>
        <v/>
      </c>
      <c r="CX105" s="659" t="str">
        <f t="shared" si="82"/>
        <v/>
      </c>
      <c r="CY105" s="659" t="str">
        <f t="shared" si="83"/>
        <v/>
      </c>
      <c r="CZ105" s="659" t="str">
        <f t="shared" si="84"/>
        <v/>
      </c>
      <c r="DA105" s="659" t="str">
        <f t="shared" si="85"/>
        <v/>
      </c>
      <c r="DB105" s="82" t="str">
        <f t="shared" si="86"/>
        <v/>
      </c>
      <c r="DC105" s="625" t="str">
        <f t="shared" si="50"/>
        <v/>
      </c>
      <c r="DD105" s="625" t="str">
        <f t="shared" si="87"/>
        <v>0</v>
      </c>
      <c r="DE105" s="620">
        <f t="shared" si="88"/>
        <v>0</v>
      </c>
      <c r="DF105" s="1051" t="s">
        <v>289</v>
      </c>
      <c r="DG105" s="1080">
        <v>235102</v>
      </c>
      <c r="DH105" s="625">
        <f t="shared" si="89"/>
        <v>0</v>
      </c>
      <c r="DI105" s="625">
        <f t="shared" si="90"/>
        <v>0</v>
      </c>
      <c r="DJ105" s="626" t="str">
        <f t="shared" si="91"/>
        <v>00</v>
      </c>
    </row>
    <row r="106" spans="1:114" ht="15" customHeight="1">
      <c r="A106" s="1238"/>
      <c r="B106" s="1238"/>
      <c r="C106" s="1238"/>
      <c r="D106" s="1238"/>
      <c r="E106" s="1238"/>
      <c r="F106" s="1238"/>
      <c r="G106" s="1238"/>
      <c r="H106" s="1238"/>
      <c r="I106" s="1238"/>
      <c r="J106" s="1238"/>
      <c r="K106" s="1238"/>
      <c r="L106" s="1238"/>
      <c r="M106" s="1238"/>
      <c r="N106" s="1238"/>
      <c r="O106" s="1238"/>
      <c r="P106" s="1235">
        <v>103</v>
      </c>
      <c r="Q106" s="1386"/>
      <c r="R106" s="1387"/>
      <c r="S106" s="1368"/>
      <c r="T106" s="1369"/>
      <c r="U106" s="1391"/>
      <c r="V106" s="1360"/>
      <c r="W106" s="1067"/>
      <c r="X106" s="1062"/>
      <c r="Y106" s="1063"/>
      <c r="Z106" s="1153"/>
      <c r="AA106" s="1153"/>
      <c r="AB106" s="1361"/>
      <c r="AC106" s="1352" t="str">
        <f t="shared" si="51"/>
        <v>00</v>
      </c>
      <c r="AD106" s="524" t="str">
        <f t="shared" si="92"/>
        <v/>
      </c>
      <c r="AE106" s="525" t="str">
        <f>IF(AD106="","",VLOOKUP(AD106,所属コード!$A$2:$E$189,2,FALSE))</f>
        <v/>
      </c>
      <c r="AF106" s="1164" t="str">
        <f>IF(AD106="","",VLOOKUP(AD106,所属コード!$A$2:$G$189,7,FALSE))</f>
        <v/>
      </c>
      <c r="AG106" s="1166"/>
      <c r="AH106" s="77"/>
      <c r="AI106" s="77"/>
      <c r="AJ106" s="77"/>
      <c r="AK106" s="15"/>
      <c r="AM106" s="617"/>
      <c r="AN106" s="1090" t="str">
        <f t="shared" si="52"/>
        <v/>
      </c>
      <c r="AO106" s="618" t="str">
        <f t="shared" si="53"/>
        <v/>
      </c>
      <c r="AP106" s="617"/>
      <c r="AQ106" s="617"/>
      <c r="AR106" s="617"/>
      <c r="AS106" s="617"/>
      <c r="AT106" s="617"/>
      <c r="AU106" s="617"/>
      <c r="AV106" s="620"/>
      <c r="AW106" s="727"/>
      <c r="AX106" s="728"/>
      <c r="AY106" s="728"/>
      <c r="AZ106" s="728"/>
      <c r="BA106" s="728"/>
      <c r="BB106" s="728"/>
      <c r="BC106" s="728"/>
      <c r="BD106" s="728"/>
      <c r="BE106" s="728"/>
      <c r="BF106" s="728"/>
      <c r="BG106" s="728"/>
      <c r="BH106" s="728"/>
      <c r="BI106" s="728"/>
      <c r="BJ106" s="728"/>
      <c r="BK106" s="728"/>
      <c r="BL106" s="742"/>
      <c r="BM106" s="747">
        <f t="shared" si="54"/>
        <v>0</v>
      </c>
      <c r="BN106" s="738">
        <f t="shared" si="47"/>
        <v>0</v>
      </c>
      <c r="BO106" s="729">
        <f t="shared" si="48"/>
        <v>0</v>
      </c>
      <c r="BP106" s="730">
        <f t="shared" si="93"/>
        <v>0</v>
      </c>
      <c r="BQ106" s="729">
        <f t="shared" si="93"/>
        <v>0</v>
      </c>
      <c r="BR106" s="729">
        <f t="shared" si="55"/>
        <v>0</v>
      </c>
      <c r="BS106" s="729">
        <f t="shared" si="56"/>
        <v>0</v>
      </c>
      <c r="BT106" s="729">
        <f t="shared" si="57"/>
        <v>0</v>
      </c>
      <c r="BU106" s="729">
        <f t="shared" si="58"/>
        <v>0</v>
      </c>
      <c r="BV106" s="729">
        <f t="shared" si="59"/>
        <v>0</v>
      </c>
      <c r="BW106" s="729">
        <f t="shared" si="60"/>
        <v>0</v>
      </c>
      <c r="BX106" s="729">
        <f t="shared" si="60"/>
        <v>0</v>
      </c>
      <c r="BY106" s="729">
        <f t="shared" si="61"/>
        <v>0</v>
      </c>
      <c r="BZ106" s="729">
        <f t="shared" si="61"/>
        <v>0</v>
      </c>
      <c r="CA106" s="729">
        <f t="shared" si="62"/>
        <v>0</v>
      </c>
      <c r="CB106" s="729">
        <f t="shared" si="63"/>
        <v>0</v>
      </c>
      <c r="CC106" s="729">
        <f t="shared" si="63"/>
        <v>0</v>
      </c>
      <c r="CD106" s="729">
        <f t="shared" si="63"/>
        <v>0</v>
      </c>
      <c r="CE106" s="729">
        <f t="shared" si="64"/>
        <v>0</v>
      </c>
      <c r="CF106" s="729">
        <f t="shared" si="65"/>
        <v>0</v>
      </c>
      <c r="CG106" s="729">
        <f t="shared" si="66"/>
        <v>0</v>
      </c>
      <c r="CH106" s="729">
        <f t="shared" si="67"/>
        <v>0</v>
      </c>
      <c r="CI106" s="729">
        <f t="shared" si="68"/>
        <v>0</v>
      </c>
      <c r="CJ106" s="729">
        <f t="shared" si="69"/>
        <v>0</v>
      </c>
      <c r="CK106" s="729">
        <f t="shared" si="70"/>
        <v>0</v>
      </c>
      <c r="CL106" s="729">
        <f t="shared" si="71"/>
        <v>0</v>
      </c>
      <c r="CM106" s="729">
        <f t="shared" si="72"/>
        <v>0</v>
      </c>
      <c r="CN106" s="729">
        <f t="shared" si="73"/>
        <v>0</v>
      </c>
      <c r="CO106" s="729">
        <f t="shared" si="74"/>
        <v>0</v>
      </c>
      <c r="CP106" s="729">
        <f t="shared" si="75"/>
        <v>0</v>
      </c>
      <c r="CQ106" s="729">
        <f t="shared" si="76"/>
        <v>0</v>
      </c>
      <c r="CR106" s="729">
        <f t="shared" si="77"/>
        <v>0</v>
      </c>
      <c r="CS106" s="729">
        <f t="shared" si="78"/>
        <v>0</v>
      </c>
      <c r="CT106" s="729">
        <f t="shared" si="78"/>
        <v>0</v>
      </c>
      <c r="CU106" s="731">
        <f t="shared" si="79"/>
        <v>0</v>
      </c>
      <c r="CV106" s="692" t="str">
        <f t="shared" si="80"/>
        <v/>
      </c>
      <c r="CW106" s="659" t="str">
        <f t="shared" si="81"/>
        <v/>
      </c>
      <c r="CX106" s="659" t="str">
        <f t="shared" si="82"/>
        <v/>
      </c>
      <c r="CY106" s="659" t="str">
        <f t="shared" si="83"/>
        <v/>
      </c>
      <c r="CZ106" s="659" t="str">
        <f t="shared" si="84"/>
        <v/>
      </c>
      <c r="DA106" s="659" t="str">
        <f t="shared" si="85"/>
        <v/>
      </c>
      <c r="DB106" s="82" t="str">
        <f t="shared" si="86"/>
        <v/>
      </c>
      <c r="DC106" s="625" t="str">
        <f t="shared" si="50"/>
        <v/>
      </c>
      <c r="DD106" s="625" t="str">
        <f t="shared" si="87"/>
        <v>0</v>
      </c>
      <c r="DE106" s="620">
        <f t="shared" si="88"/>
        <v>0</v>
      </c>
      <c r="DF106" s="1051" t="s">
        <v>142</v>
      </c>
      <c r="DG106" s="1080">
        <v>235103</v>
      </c>
      <c r="DH106" s="625">
        <f t="shared" si="89"/>
        <v>0</v>
      </c>
      <c r="DI106" s="625">
        <f t="shared" si="90"/>
        <v>0</v>
      </c>
      <c r="DJ106" s="626" t="str">
        <f t="shared" si="91"/>
        <v>00</v>
      </c>
    </row>
    <row r="107" spans="1:114" ht="15" customHeight="1">
      <c r="A107" s="1238"/>
      <c r="B107" s="1238"/>
      <c r="C107" s="1238"/>
      <c r="D107" s="1238"/>
      <c r="E107" s="1238"/>
      <c r="F107" s="1238"/>
      <c r="G107" s="1238"/>
      <c r="H107" s="1238"/>
      <c r="I107" s="1238"/>
      <c r="J107" s="1238"/>
      <c r="K107" s="1238"/>
      <c r="L107" s="1238"/>
      <c r="M107" s="1238"/>
      <c r="N107" s="1238"/>
      <c r="O107" s="1238"/>
      <c r="P107" s="1235">
        <v>104</v>
      </c>
      <c r="Q107" s="1386"/>
      <c r="R107" s="1387"/>
      <c r="S107" s="1368"/>
      <c r="T107" s="1369"/>
      <c r="U107" s="1391"/>
      <c r="V107" s="1360"/>
      <c r="W107" s="1067"/>
      <c r="X107" s="1062"/>
      <c r="Y107" s="1063"/>
      <c r="Z107" s="1153"/>
      <c r="AA107" s="1153"/>
      <c r="AB107" s="1361"/>
      <c r="AC107" s="1352" t="str">
        <f t="shared" si="51"/>
        <v>00</v>
      </c>
      <c r="AD107" s="524" t="str">
        <f t="shared" si="92"/>
        <v/>
      </c>
      <c r="AE107" s="525" t="str">
        <f>IF(AD107="","",VLOOKUP(AD107,所属コード!$A$2:$E$189,2,FALSE))</f>
        <v/>
      </c>
      <c r="AF107" s="1164" t="str">
        <f>IF(AD107="","",VLOOKUP(AD107,所属コード!$A$2:$G$189,7,FALSE))</f>
        <v/>
      </c>
      <c r="AG107" s="1166"/>
      <c r="AH107" s="77"/>
      <c r="AI107" s="77"/>
      <c r="AJ107" s="77"/>
      <c r="AK107" s="15"/>
      <c r="AM107" s="617"/>
      <c r="AN107" s="1090" t="str">
        <f t="shared" si="52"/>
        <v/>
      </c>
      <c r="AO107" s="618" t="str">
        <f t="shared" si="53"/>
        <v/>
      </c>
      <c r="AP107" s="617"/>
      <c r="AQ107" s="617"/>
      <c r="AR107" s="617"/>
      <c r="AS107" s="617"/>
      <c r="AT107" s="617"/>
      <c r="AU107" s="617"/>
      <c r="AV107" s="620"/>
      <c r="AW107" s="727"/>
      <c r="AX107" s="728"/>
      <c r="AY107" s="728"/>
      <c r="AZ107" s="728"/>
      <c r="BA107" s="728"/>
      <c r="BB107" s="728"/>
      <c r="BC107" s="728"/>
      <c r="BD107" s="728"/>
      <c r="BE107" s="728"/>
      <c r="BF107" s="728"/>
      <c r="BG107" s="728"/>
      <c r="BH107" s="728"/>
      <c r="BI107" s="728"/>
      <c r="BJ107" s="728"/>
      <c r="BK107" s="728"/>
      <c r="BL107" s="742"/>
      <c r="BM107" s="747">
        <f t="shared" si="54"/>
        <v>0</v>
      </c>
      <c r="BN107" s="738">
        <f t="shared" si="47"/>
        <v>0</v>
      </c>
      <c r="BO107" s="729">
        <f t="shared" si="48"/>
        <v>0</v>
      </c>
      <c r="BP107" s="730">
        <f t="shared" si="93"/>
        <v>0</v>
      </c>
      <c r="BQ107" s="729">
        <f t="shared" si="93"/>
        <v>0</v>
      </c>
      <c r="BR107" s="729">
        <f t="shared" si="55"/>
        <v>0</v>
      </c>
      <c r="BS107" s="729">
        <f t="shared" si="56"/>
        <v>0</v>
      </c>
      <c r="BT107" s="729">
        <f t="shared" si="57"/>
        <v>0</v>
      </c>
      <c r="BU107" s="729">
        <f t="shared" si="58"/>
        <v>0</v>
      </c>
      <c r="BV107" s="729">
        <f t="shared" si="59"/>
        <v>0</v>
      </c>
      <c r="BW107" s="729">
        <f t="shared" si="60"/>
        <v>0</v>
      </c>
      <c r="BX107" s="729">
        <f t="shared" si="60"/>
        <v>0</v>
      </c>
      <c r="BY107" s="729">
        <f t="shared" si="61"/>
        <v>0</v>
      </c>
      <c r="BZ107" s="729">
        <f t="shared" si="61"/>
        <v>0</v>
      </c>
      <c r="CA107" s="729">
        <f t="shared" si="62"/>
        <v>0</v>
      </c>
      <c r="CB107" s="729">
        <f t="shared" si="63"/>
        <v>0</v>
      </c>
      <c r="CC107" s="729">
        <f t="shared" si="63"/>
        <v>0</v>
      </c>
      <c r="CD107" s="729">
        <f t="shared" si="63"/>
        <v>0</v>
      </c>
      <c r="CE107" s="729">
        <f t="shared" si="64"/>
        <v>0</v>
      </c>
      <c r="CF107" s="729">
        <f t="shared" si="65"/>
        <v>0</v>
      </c>
      <c r="CG107" s="729">
        <f t="shared" si="66"/>
        <v>0</v>
      </c>
      <c r="CH107" s="729">
        <f t="shared" si="67"/>
        <v>0</v>
      </c>
      <c r="CI107" s="729">
        <f t="shared" si="68"/>
        <v>0</v>
      </c>
      <c r="CJ107" s="729">
        <f t="shared" si="69"/>
        <v>0</v>
      </c>
      <c r="CK107" s="729">
        <f t="shared" si="70"/>
        <v>0</v>
      </c>
      <c r="CL107" s="729">
        <f t="shared" si="71"/>
        <v>0</v>
      </c>
      <c r="CM107" s="729">
        <f t="shared" si="72"/>
        <v>0</v>
      </c>
      <c r="CN107" s="729">
        <f t="shared" si="73"/>
        <v>0</v>
      </c>
      <c r="CO107" s="729">
        <f t="shared" si="74"/>
        <v>0</v>
      </c>
      <c r="CP107" s="729">
        <f t="shared" si="75"/>
        <v>0</v>
      </c>
      <c r="CQ107" s="729">
        <f t="shared" si="76"/>
        <v>0</v>
      </c>
      <c r="CR107" s="729">
        <f t="shared" si="77"/>
        <v>0</v>
      </c>
      <c r="CS107" s="729">
        <f t="shared" si="78"/>
        <v>0</v>
      </c>
      <c r="CT107" s="729">
        <f t="shared" si="78"/>
        <v>0</v>
      </c>
      <c r="CU107" s="731">
        <f t="shared" si="79"/>
        <v>0</v>
      </c>
      <c r="CV107" s="692" t="str">
        <f t="shared" si="80"/>
        <v/>
      </c>
      <c r="CW107" s="659" t="str">
        <f t="shared" si="81"/>
        <v/>
      </c>
      <c r="CX107" s="659" t="str">
        <f t="shared" si="82"/>
        <v/>
      </c>
      <c r="CY107" s="659" t="str">
        <f t="shared" si="83"/>
        <v/>
      </c>
      <c r="CZ107" s="659" t="str">
        <f t="shared" si="84"/>
        <v/>
      </c>
      <c r="DA107" s="659" t="str">
        <f t="shared" si="85"/>
        <v/>
      </c>
      <c r="DB107" s="82" t="str">
        <f t="shared" si="86"/>
        <v/>
      </c>
      <c r="DC107" s="625" t="str">
        <f t="shared" si="50"/>
        <v/>
      </c>
      <c r="DD107" s="625" t="str">
        <f t="shared" si="87"/>
        <v>0</v>
      </c>
      <c r="DE107" s="620">
        <f t="shared" si="88"/>
        <v>0</v>
      </c>
      <c r="DF107" s="1051" t="s">
        <v>82</v>
      </c>
      <c r="DG107" s="1080">
        <v>235104</v>
      </c>
      <c r="DH107" s="625">
        <f t="shared" si="89"/>
        <v>0</v>
      </c>
      <c r="DI107" s="625">
        <f t="shared" si="90"/>
        <v>0</v>
      </c>
      <c r="DJ107" s="626" t="str">
        <f t="shared" si="91"/>
        <v>00</v>
      </c>
    </row>
    <row r="108" spans="1:114" ht="15" customHeight="1">
      <c r="A108" s="1238"/>
      <c r="B108" s="1238"/>
      <c r="C108" s="1238"/>
      <c r="D108" s="1238"/>
      <c r="E108" s="1238"/>
      <c r="F108" s="1238"/>
      <c r="G108" s="1238"/>
      <c r="H108" s="1238"/>
      <c r="I108" s="1238"/>
      <c r="J108" s="1238"/>
      <c r="K108" s="1238"/>
      <c r="L108" s="1238"/>
      <c r="M108" s="1238"/>
      <c r="N108" s="1238"/>
      <c r="O108" s="1238"/>
      <c r="P108" s="1235">
        <v>105</v>
      </c>
      <c r="Q108" s="1386"/>
      <c r="R108" s="1387"/>
      <c r="S108" s="1368"/>
      <c r="T108" s="1369"/>
      <c r="U108" s="1391"/>
      <c r="V108" s="1360"/>
      <c r="W108" s="1067"/>
      <c r="X108" s="1062"/>
      <c r="Y108" s="1063"/>
      <c r="Z108" s="1153"/>
      <c r="AA108" s="1153"/>
      <c r="AB108" s="1361"/>
      <c r="AC108" s="1352" t="str">
        <f t="shared" si="51"/>
        <v>00</v>
      </c>
      <c r="AD108" s="524" t="str">
        <f t="shared" si="92"/>
        <v/>
      </c>
      <c r="AE108" s="525" t="str">
        <f>IF(AD108="","",VLOOKUP(AD108,所属コード!$A$2:$E$189,2,FALSE))</f>
        <v/>
      </c>
      <c r="AF108" s="1164" t="str">
        <f>IF(AD108="","",VLOOKUP(AD108,所属コード!$A$2:$G$189,7,FALSE))</f>
        <v/>
      </c>
      <c r="AG108" s="1166"/>
      <c r="AH108" s="77"/>
      <c r="AI108" s="77"/>
      <c r="AJ108" s="77"/>
      <c r="AK108" s="15"/>
      <c r="AM108" s="617"/>
      <c r="AN108" s="1090" t="str">
        <f t="shared" si="52"/>
        <v/>
      </c>
      <c r="AO108" s="618" t="str">
        <f t="shared" si="53"/>
        <v/>
      </c>
      <c r="AP108" s="617"/>
      <c r="AQ108" s="617"/>
      <c r="AR108" s="617"/>
      <c r="AS108" s="617"/>
      <c r="AT108" s="617"/>
      <c r="AU108" s="617"/>
      <c r="AV108" s="620"/>
      <c r="AW108" s="727"/>
      <c r="AX108" s="728"/>
      <c r="AY108" s="728"/>
      <c r="AZ108" s="728"/>
      <c r="BA108" s="728"/>
      <c r="BB108" s="728"/>
      <c r="BC108" s="728"/>
      <c r="BD108" s="728"/>
      <c r="BE108" s="728"/>
      <c r="BF108" s="728"/>
      <c r="BG108" s="728"/>
      <c r="BH108" s="728"/>
      <c r="BI108" s="728"/>
      <c r="BJ108" s="728"/>
      <c r="BK108" s="728"/>
      <c r="BL108" s="742"/>
      <c r="BM108" s="747">
        <f t="shared" si="54"/>
        <v>0</v>
      </c>
      <c r="BN108" s="738">
        <f t="shared" si="47"/>
        <v>0</v>
      </c>
      <c r="BO108" s="729">
        <f t="shared" si="48"/>
        <v>0</v>
      </c>
      <c r="BP108" s="730">
        <f t="shared" si="93"/>
        <v>0</v>
      </c>
      <c r="BQ108" s="729">
        <f t="shared" si="93"/>
        <v>0</v>
      </c>
      <c r="BR108" s="729">
        <f t="shared" si="55"/>
        <v>0</v>
      </c>
      <c r="BS108" s="729">
        <f t="shared" si="56"/>
        <v>0</v>
      </c>
      <c r="BT108" s="729">
        <f t="shared" si="57"/>
        <v>0</v>
      </c>
      <c r="BU108" s="729">
        <f t="shared" si="58"/>
        <v>0</v>
      </c>
      <c r="BV108" s="729">
        <f t="shared" si="59"/>
        <v>0</v>
      </c>
      <c r="BW108" s="729">
        <f t="shared" si="60"/>
        <v>0</v>
      </c>
      <c r="BX108" s="729">
        <f t="shared" si="60"/>
        <v>0</v>
      </c>
      <c r="BY108" s="729">
        <f t="shared" si="61"/>
        <v>0</v>
      </c>
      <c r="BZ108" s="729">
        <f t="shared" si="61"/>
        <v>0</v>
      </c>
      <c r="CA108" s="729">
        <f t="shared" si="62"/>
        <v>0</v>
      </c>
      <c r="CB108" s="729">
        <f t="shared" si="63"/>
        <v>0</v>
      </c>
      <c r="CC108" s="729">
        <f t="shared" si="63"/>
        <v>0</v>
      </c>
      <c r="CD108" s="729">
        <f t="shared" si="63"/>
        <v>0</v>
      </c>
      <c r="CE108" s="729">
        <f t="shared" si="64"/>
        <v>0</v>
      </c>
      <c r="CF108" s="729">
        <f t="shared" si="65"/>
        <v>0</v>
      </c>
      <c r="CG108" s="729">
        <f t="shared" si="66"/>
        <v>0</v>
      </c>
      <c r="CH108" s="729">
        <f t="shared" si="67"/>
        <v>0</v>
      </c>
      <c r="CI108" s="729">
        <f t="shared" si="68"/>
        <v>0</v>
      </c>
      <c r="CJ108" s="729">
        <f t="shared" si="69"/>
        <v>0</v>
      </c>
      <c r="CK108" s="729">
        <f t="shared" si="70"/>
        <v>0</v>
      </c>
      <c r="CL108" s="729">
        <f t="shared" si="71"/>
        <v>0</v>
      </c>
      <c r="CM108" s="729">
        <f t="shared" si="72"/>
        <v>0</v>
      </c>
      <c r="CN108" s="729">
        <f t="shared" si="73"/>
        <v>0</v>
      </c>
      <c r="CO108" s="729">
        <f t="shared" si="74"/>
        <v>0</v>
      </c>
      <c r="CP108" s="729">
        <f t="shared" si="75"/>
        <v>0</v>
      </c>
      <c r="CQ108" s="729">
        <f t="shared" si="76"/>
        <v>0</v>
      </c>
      <c r="CR108" s="729">
        <f t="shared" si="77"/>
        <v>0</v>
      </c>
      <c r="CS108" s="729">
        <f t="shared" si="78"/>
        <v>0</v>
      </c>
      <c r="CT108" s="729">
        <f t="shared" si="78"/>
        <v>0</v>
      </c>
      <c r="CU108" s="731">
        <f t="shared" si="79"/>
        <v>0</v>
      </c>
      <c r="CV108" s="692" t="str">
        <f t="shared" si="80"/>
        <v/>
      </c>
      <c r="CW108" s="659" t="str">
        <f t="shared" si="81"/>
        <v/>
      </c>
      <c r="CX108" s="659" t="str">
        <f t="shared" si="82"/>
        <v/>
      </c>
      <c r="CY108" s="659" t="str">
        <f t="shared" si="83"/>
        <v/>
      </c>
      <c r="CZ108" s="659" t="str">
        <f t="shared" si="84"/>
        <v/>
      </c>
      <c r="DA108" s="659" t="str">
        <f t="shared" si="85"/>
        <v/>
      </c>
      <c r="DB108" s="82" t="str">
        <f t="shared" si="86"/>
        <v/>
      </c>
      <c r="DC108" s="625" t="str">
        <f t="shared" si="50"/>
        <v/>
      </c>
      <c r="DD108" s="625" t="str">
        <f t="shared" si="87"/>
        <v>0</v>
      </c>
      <c r="DE108" s="620">
        <f t="shared" si="88"/>
        <v>0</v>
      </c>
      <c r="DF108" s="1051" t="s">
        <v>290</v>
      </c>
      <c r="DG108" s="1080">
        <v>235105</v>
      </c>
      <c r="DH108" s="625">
        <f t="shared" si="89"/>
        <v>0</v>
      </c>
      <c r="DI108" s="625">
        <f t="shared" si="90"/>
        <v>0</v>
      </c>
      <c r="DJ108" s="626" t="str">
        <f t="shared" si="91"/>
        <v>00</v>
      </c>
    </row>
    <row r="109" spans="1:114" ht="15" customHeight="1">
      <c r="A109" s="1238"/>
      <c r="B109" s="1238"/>
      <c r="C109" s="1238"/>
      <c r="D109" s="1238"/>
      <c r="E109" s="1238"/>
      <c r="F109" s="1238"/>
      <c r="G109" s="1238"/>
      <c r="H109" s="1238"/>
      <c r="I109" s="1238"/>
      <c r="J109" s="1238"/>
      <c r="K109" s="1238"/>
      <c r="L109" s="1238"/>
      <c r="M109" s="1238"/>
      <c r="N109" s="1238"/>
      <c r="O109" s="1238"/>
      <c r="P109" s="1235">
        <v>106</v>
      </c>
      <c r="Q109" s="1386"/>
      <c r="R109" s="1387"/>
      <c r="S109" s="1368"/>
      <c r="T109" s="1369"/>
      <c r="U109" s="1391"/>
      <c r="V109" s="1360"/>
      <c r="W109" s="1067"/>
      <c r="X109" s="1062"/>
      <c r="Y109" s="1063"/>
      <c r="Z109" s="1153"/>
      <c r="AA109" s="1153"/>
      <c r="AB109" s="1361"/>
      <c r="AC109" s="1352" t="str">
        <f t="shared" si="51"/>
        <v>00</v>
      </c>
      <c r="AD109" s="524" t="str">
        <f t="shared" si="92"/>
        <v/>
      </c>
      <c r="AE109" s="525" t="str">
        <f>IF(AD109="","",VLOOKUP(AD109,所属コード!$A$2:$E$189,2,FALSE))</f>
        <v/>
      </c>
      <c r="AF109" s="1164" t="str">
        <f>IF(AD109="","",VLOOKUP(AD109,所属コード!$A$2:$G$189,7,FALSE))</f>
        <v/>
      </c>
      <c r="AG109" s="1166"/>
      <c r="AH109" s="77"/>
      <c r="AI109" s="77"/>
      <c r="AJ109" s="77"/>
      <c r="AK109" s="15"/>
      <c r="AM109" s="617"/>
      <c r="AN109" s="1090" t="str">
        <f t="shared" si="52"/>
        <v/>
      </c>
      <c r="AO109" s="618" t="str">
        <f t="shared" si="53"/>
        <v/>
      </c>
      <c r="AP109" s="617"/>
      <c r="AQ109" s="617"/>
      <c r="AR109" s="617"/>
      <c r="AS109" s="617"/>
      <c r="AT109" s="617"/>
      <c r="AU109" s="617"/>
      <c r="AV109" s="620"/>
      <c r="AW109" s="727"/>
      <c r="AX109" s="728"/>
      <c r="AY109" s="728"/>
      <c r="AZ109" s="728"/>
      <c r="BA109" s="728"/>
      <c r="BB109" s="728"/>
      <c r="BC109" s="728"/>
      <c r="BD109" s="728"/>
      <c r="BE109" s="728"/>
      <c r="BF109" s="728"/>
      <c r="BG109" s="728"/>
      <c r="BH109" s="728"/>
      <c r="BI109" s="728"/>
      <c r="BJ109" s="728"/>
      <c r="BK109" s="728"/>
      <c r="BL109" s="742"/>
      <c r="BM109" s="747">
        <f t="shared" si="54"/>
        <v>0</v>
      </c>
      <c r="BN109" s="738">
        <f t="shared" si="47"/>
        <v>0</v>
      </c>
      <c r="BO109" s="729">
        <f t="shared" si="48"/>
        <v>0</v>
      </c>
      <c r="BP109" s="730">
        <f t="shared" si="93"/>
        <v>0</v>
      </c>
      <c r="BQ109" s="729">
        <f t="shared" si="93"/>
        <v>0</v>
      </c>
      <c r="BR109" s="729">
        <f t="shared" si="55"/>
        <v>0</v>
      </c>
      <c r="BS109" s="729">
        <f t="shared" si="56"/>
        <v>0</v>
      </c>
      <c r="BT109" s="729">
        <f t="shared" si="57"/>
        <v>0</v>
      </c>
      <c r="BU109" s="729">
        <f t="shared" si="58"/>
        <v>0</v>
      </c>
      <c r="BV109" s="729">
        <f t="shared" si="59"/>
        <v>0</v>
      </c>
      <c r="BW109" s="729">
        <f t="shared" si="60"/>
        <v>0</v>
      </c>
      <c r="BX109" s="729">
        <f t="shared" si="60"/>
        <v>0</v>
      </c>
      <c r="BY109" s="729">
        <f t="shared" si="61"/>
        <v>0</v>
      </c>
      <c r="BZ109" s="729">
        <f t="shared" si="61"/>
        <v>0</v>
      </c>
      <c r="CA109" s="729">
        <f t="shared" si="62"/>
        <v>0</v>
      </c>
      <c r="CB109" s="729">
        <f t="shared" si="63"/>
        <v>0</v>
      </c>
      <c r="CC109" s="729">
        <f t="shared" si="63"/>
        <v>0</v>
      </c>
      <c r="CD109" s="729">
        <f t="shared" si="63"/>
        <v>0</v>
      </c>
      <c r="CE109" s="729">
        <f t="shared" si="64"/>
        <v>0</v>
      </c>
      <c r="CF109" s="729">
        <f t="shared" si="65"/>
        <v>0</v>
      </c>
      <c r="CG109" s="729">
        <f t="shared" si="66"/>
        <v>0</v>
      </c>
      <c r="CH109" s="729">
        <f t="shared" si="67"/>
        <v>0</v>
      </c>
      <c r="CI109" s="729">
        <f t="shared" si="68"/>
        <v>0</v>
      </c>
      <c r="CJ109" s="729">
        <f t="shared" si="69"/>
        <v>0</v>
      </c>
      <c r="CK109" s="729">
        <f t="shared" si="70"/>
        <v>0</v>
      </c>
      <c r="CL109" s="729">
        <f t="shared" si="71"/>
        <v>0</v>
      </c>
      <c r="CM109" s="729">
        <f t="shared" si="72"/>
        <v>0</v>
      </c>
      <c r="CN109" s="729">
        <f t="shared" si="73"/>
        <v>0</v>
      </c>
      <c r="CO109" s="729">
        <f t="shared" si="74"/>
        <v>0</v>
      </c>
      <c r="CP109" s="729">
        <f t="shared" si="75"/>
        <v>0</v>
      </c>
      <c r="CQ109" s="729">
        <f t="shared" si="76"/>
        <v>0</v>
      </c>
      <c r="CR109" s="729">
        <f t="shared" si="77"/>
        <v>0</v>
      </c>
      <c r="CS109" s="729">
        <f t="shared" si="78"/>
        <v>0</v>
      </c>
      <c r="CT109" s="729">
        <f t="shared" si="78"/>
        <v>0</v>
      </c>
      <c r="CU109" s="731">
        <f t="shared" si="79"/>
        <v>0</v>
      </c>
      <c r="CV109" s="692" t="str">
        <f t="shared" si="80"/>
        <v/>
      </c>
      <c r="CW109" s="659" t="str">
        <f t="shared" si="81"/>
        <v/>
      </c>
      <c r="CX109" s="659" t="str">
        <f t="shared" si="82"/>
        <v/>
      </c>
      <c r="CY109" s="659" t="str">
        <f t="shared" si="83"/>
        <v/>
      </c>
      <c r="CZ109" s="659" t="str">
        <f t="shared" si="84"/>
        <v/>
      </c>
      <c r="DA109" s="659" t="str">
        <f t="shared" si="85"/>
        <v/>
      </c>
      <c r="DB109" s="82" t="str">
        <f t="shared" si="86"/>
        <v/>
      </c>
      <c r="DC109" s="625" t="str">
        <f t="shared" si="50"/>
        <v/>
      </c>
      <c r="DD109" s="625" t="str">
        <f t="shared" si="87"/>
        <v>0</v>
      </c>
      <c r="DE109" s="620">
        <f t="shared" si="88"/>
        <v>0</v>
      </c>
      <c r="DF109" s="1051" t="s">
        <v>291</v>
      </c>
      <c r="DG109" s="1080">
        <v>235106</v>
      </c>
      <c r="DH109" s="625">
        <f t="shared" si="89"/>
        <v>0</v>
      </c>
      <c r="DI109" s="625">
        <f t="shared" si="90"/>
        <v>0</v>
      </c>
      <c r="DJ109" s="626" t="str">
        <f t="shared" si="91"/>
        <v>00</v>
      </c>
    </row>
    <row r="110" spans="1:114" ht="15" customHeight="1">
      <c r="A110" s="1238"/>
      <c r="B110" s="1238"/>
      <c r="C110" s="1238"/>
      <c r="D110" s="1238"/>
      <c r="E110" s="1238"/>
      <c r="F110" s="1238"/>
      <c r="G110" s="1238"/>
      <c r="H110" s="1238"/>
      <c r="I110" s="1238"/>
      <c r="J110" s="1238"/>
      <c r="K110" s="1238"/>
      <c r="L110" s="1238"/>
      <c r="M110" s="1238"/>
      <c r="N110" s="1238"/>
      <c r="O110" s="1238"/>
      <c r="P110" s="1235">
        <v>107</v>
      </c>
      <c r="Q110" s="1386"/>
      <c r="R110" s="1387"/>
      <c r="S110" s="1368"/>
      <c r="T110" s="1369"/>
      <c r="U110" s="1391"/>
      <c r="V110" s="1360"/>
      <c r="W110" s="1067"/>
      <c r="X110" s="1062"/>
      <c r="Y110" s="1063"/>
      <c r="Z110" s="1153"/>
      <c r="AA110" s="1153"/>
      <c r="AB110" s="1361"/>
      <c r="AC110" s="1352" t="str">
        <f t="shared" si="51"/>
        <v>00</v>
      </c>
      <c r="AD110" s="524" t="str">
        <f t="shared" si="92"/>
        <v/>
      </c>
      <c r="AE110" s="525" t="str">
        <f>IF(AD110="","",VLOOKUP(AD110,所属コード!$A$2:$E$189,2,FALSE))</f>
        <v/>
      </c>
      <c r="AF110" s="1164" t="str">
        <f>IF(AD110="","",VLOOKUP(AD110,所属コード!$A$2:$G$189,7,FALSE))</f>
        <v/>
      </c>
      <c r="AG110" s="1166"/>
      <c r="AH110" s="77"/>
      <c r="AI110" s="77"/>
      <c r="AJ110" s="77"/>
      <c r="AK110" s="15"/>
      <c r="AM110" s="617"/>
      <c r="AN110" s="1090" t="str">
        <f t="shared" si="52"/>
        <v/>
      </c>
      <c r="AO110" s="618" t="str">
        <f t="shared" si="53"/>
        <v/>
      </c>
      <c r="AP110" s="617"/>
      <c r="AQ110" s="617"/>
      <c r="AR110" s="617"/>
      <c r="AS110" s="617"/>
      <c r="AT110" s="617"/>
      <c r="AU110" s="617"/>
      <c r="AV110" s="620"/>
      <c r="AW110" s="727"/>
      <c r="AX110" s="728"/>
      <c r="AY110" s="728"/>
      <c r="AZ110" s="728"/>
      <c r="BA110" s="728"/>
      <c r="BB110" s="728"/>
      <c r="BC110" s="728"/>
      <c r="BD110" s="728"/>
      <c r="BE110" s="728"/>
      <c r="BF110" s="728"/>
      <c r="BG110" s="728"/>
      <c r="BH110" s="728"/>
      <c r="BI110" s="728"/>
      <c r="BJ110" s="728"/>
      <c r="BK110" s="728"/>
      <c r="BL110" s="742"/>
      <c r="BM110" s="747">
        <f t="shared" si="54"/>
        <v>0</v>
      </c>
      <c r="BN110" s="738">
        <f t="shared" si="47"/>
        <v>0</v>
      </c>
      <c r="BO110" s="729">
        <f t="shared" si="48"/>
        <v>0</v>
      </c>
      <c r="BP110" s="730">
        <f t="shared" si="93"/>
        <v>0</v>
      </c>
      <c r="BQ110" s="729">
        <f t="shared" si="93"/>
        <v>0</v>
      </c>
      <c r="BR110" s="729">
        <f t="shared" si="55"/>
        <v>0</v>
      </c>
      <c r="BS110" s="729">
        <f t="shared" si="56"/>
        <v>0</v>
      </c>
      <c r="BT110" s="729">
        <f t="shared" si="57"/>
        <v>0</v>
      </c>
      <c r="BU110" s="729">
        <f t="shared" si="58"/>
        <v>0</v>
      </c>
      <c r="BV110" s="729">
        <f t="shared" si="59"/>
        <v>0</v>
      </c>
      <c r="BW110" s="729">
        <f t="shared" si="60"/>
        <v>0</v>
      </c>
      <c r="BX110" s="729">
        <f t="shared" si="60"/>
        <v>0</v>
      </c>
      <c r="BY110" s="729">
        <f t="shared" si="61"/>
        <v>0</v>
      </c>
      <c r="BZ110" s="729">
        <f t="shared" si="61"/>
        <v>0</v>
      </c>
      <c r="CA110" s="729">
        <f t="shared" si="62"/>
        <v>0</v>
      </c>
      <c r="CB110" s="729">
        <f t="shared" si="63"/>
        <v>0</v>
      </c>
      <c r="CC110" s="729">
        <f t="shared" si="63"/>
        <v>0</v>
      </c>
      <c r="CD110" s="729">
        <f t="shared" si="63"/>
        <v>0</v>
      </c>
      <c r="CE110" s="729">
        <f t="shared" si="64"/>
        <v>0</v>
      </c>
      <c r="CF110" s="729">
        <f t="shared" si="65"/>
        <v>0</v>
      </c>
      <c r="CG110" s="729">
        <f t="shared" si="66"/>
        <v>0</v>
      </c>
      <c r="CH110" s="729">
        <f t="shared" si="67"/>
        <v>0</v>
      </c>
      <c r="CI110" s="729">
        <f t="shared" si="68"/>
        <v>0</v>
      </c>
      <c r="CJ110" s="729">
        <f t="shared" si="69"/>
        <v>0</v>
      </c>
      <c r="CK110" s="729">
        <f t="shared" si="70"/>
        <v>0</v>
      </c>
      <c r="CL110" s="729">
        <f t="shared" si="71"/>
        <v>0</v>
      </c>
      <c r="CM110" s="729">
        <f t="shared" si="72"/>
        <v>0</v>
      </c>
      <c r="CN110" s="729">
        <f t="shared" si="73"/>
        <v>0</v>
      </c>
      <c r="CO110" s="729">
        <f t="shared" si="74"/>
        <v>0</v>
      </c>
      <c r="CP110" s="729">
        <f t="shared" si="75"/>
        <v>0</v>
      </c>
      <c r="CQ110" s="729">
        <f t="shared" si="76"/>
        <v>0</v>
      </c>
      <c r="CR110" s="729">
        <f t="shared" si="77"/>
        <v>0</v>
      </c>
      <c r="CS110" s="729">
        <f t="shared" si="78"/>
        <v>0</v>
      </c>
      <c r="CT110" s="729">
        <f t="shared" si="78"/>
        <v>0</v>
      </c>
      <c r="CU110" s="731">
        <f t="shared" si="79"/>
        <v>0</v>
      </c>
      <c r="CV110" s="692" t="str">
        <f t="shared" si="80"/>
        <v/>
      </c>
      <c r="CW110" s="659" t="str">
        <f t="shared" si="81"/>
        <v/>
      </c>
      <c r="CX110" s="659" t="str">
        <f t="shared" si="82"/>
        <v/>
      </c>
      <c r="CY110" s="659" t="str">
        <f t="shared" si="83"/>
        <v/>
      </c>
      <c r="CZ110" s="659" t="str">
        <f t="shared" si="84"/>
        <v/>
      </c>
      <c r="DA110" s="659" t="str">
        <f t="shared" si="85"/>
        <v/>
      </c>
      <c r="DB110" s="82" t="str">
        <f t="shared" si="86"/>
        <v/>
      </c>
      <c r="DC110" s="625" t="str">
        <f t="shared" si="50"/>
        <v/>
      </c>
      <c r="DD110" s="625" t="str">
        <f t="shared" si="87"/>
        <v>0</v>
      </c>
      <c r="DE110" s="620">
        <f t="shared" si="88"/>
        <v>0</v>
      </c>
      <c r="DF110" s="1051" t="s">
        <v>83</v>
      </c>
      <c r="DG110" s="1080">
        <v>235107</v>
      </c>
      <c r="DH110" s="625">
        <f t="shared" si="89"/>
        <v>0</v>
      </c>
      <c r="DI110" s="625">
        <f t="shared" si="90"/>
        <v>0</v>
      </c>
      <c r="DJ110" s="626" t="str">
        <f t="shared" si="91"/>
        <v>00</v>
      </c>
    </row>
    <row r="111" spans="1:114" ht="15" customHeight="1">
      <c r="A111" s="1238"/>
      <c r="B111" s="1238"/>
      <c r="C111" s="1238"/>
      <c r="D111" s="1238"/>
      <c r="E111" s="1238"/>
      <c r="F111" s="1238"/>
      <c r="G111" s="1238"/>
      <c r="H111" s="1238"/>
      <c r="I111" s="1238"/>
      <c r="J111" s="1238"/>
      <c r="K111" s="1238"/>
      <c r="L111" s="1238"/>
      <c r="M111" s="1238"/>
      <c r="N111" s="1238"/>
      <c r="O111" s="1238"/>
      <c r="P111" s="1235">
        <v>108</v>
      </c>
      <c r="Q111" s="1386"/>
      <c r="R111" s="1387"/>
      <c r="S111" s="1368"/>
      <c r="T111" s="1369"/>
      <c r="U111" s="1391"/>
      <c r="V111" s="1360"/>
      <c r="W111" s="1067"/>
      <c r="X111" s="1062"/>
      <c r="Y111" s="1063"/>
      <c r="Z111" s="1153"/>
      <c r="AA111" s="1153"/>
      <c r="AB111" s="1361"/>
      <c r="AC111" s="1352" t="str">
        <f t="shared" si="51"/>
        <v>00</v>
      </c>
      <c r="AD111" s="524" t="str">
        <f t="shared" si="92"/>
        <v/>
      </c>
      <c r="AE111" s="525" t="str">
        <f>IF(AD111="","",VLOOKUP(AD111,所属コード!$A$2:$E$189,2,FALSE))</f>
        <v/>
      </c>
      <c r="AF111" s="1164" t="str">
        <f>IF(AD111="","",VLOOKUP(AD111,所属コード!$A$2:$G$189,7,FALSE))</f>
        <v/>
      </c>
      <c r="AG111" s="1166"/>
      <c r="AH111" s="77"/>
      <c r="AI111" s="77"/>
      <c r="AJ111" s="77"/>
      <c r="AK111" s="15"/>
      <c r="AM111" s="617"/>
      <c r="AN111" s="1090" t="str">
        <f t="shared" si="52"/>
        <v/>
      </c>
      <c r="AO111" s="618" t="str">
        <f t="shared" si="53"/>
        <v/>
      </c>
      <c r="AP111" s="617"/>
      <c r="AQ111" s="617"/>
      <c r="AR111" s="617"/>
      <c r="AS111" s="617"/>
      <c r="AT111" s="617"/>
      <c r="AU111" s="617"/>
      <c r="AV111" s="620"/>
      <c r="AW111" s="727"/>
      <c r="AX111" s="728"/>
      <c r="AY111" s="728"/>
      <c r="AZ111" s="728"/>
      <c r="BA111" s="728"/>
      <c r="BB111" s="728"/>
      <c r="BC111" s="728"/>
      <c r="BD111" s="728"/>
      <c r="BE111" s="728"/>
      <c r="BF111" s="728"/>
      <c r="BG111" s="728"/>
      <c r="BH111" s="728"/>
      <c r="BI111" s="728"/>
      <c r="BJ111" s="728"/>
      <c r="BK111" s="728"/>
      <c r="BL111" s="742"/>
      <c r="BM111" s="747">
        <f t="shared" si="54"/>
        <v>0</v>
      </c>
      <c r="BN111" s="738">
        <f t="shared" si="47"/>
        <v>0</v>
      </c>
      <c r="BO111" s="729">
        <f t="shared" si="48"/>
        <v>0</v>
      </c>
      <c r="BP111" s="730">
        <f t="shared" si="93"/>
        <v>0</v>
      </c>
      <c r="BQ111" s="729">
        <f t="shared" si="93"/>
        <v>0</v>
      </c>
      <c r="BR111" s="729">
        <f t="shared" si="55"/>
        <v>0</v>
      </c>
      <c r="BS111" s="729">
        <f t="shared" si="56"/>
        <v>0</v>
      </c>
      <c r="BT111" s="729">
        <f t="shared" si="57"/>
        <v>0</v>
      </c>
      <c r="BU111" s="729">
        <f t="shared" si="58"/>
        <v>0</v>
      </c>
      <c r="BV111" s="729">
        <f t="shared" si="59"/>
        <v>0</v>
      </c>
      <c r="BW111" s="729">
        <f t="shared" si="60"/>
        <v>0</v>
      </c>
      <c r="BX111" s="729">
        <f t="shared" si="60"/>
        <v>0</v>
      </c>
      <c r="BY111" s="729">
        <f t="shared" si="61"/>
        <v>0</v>
      </c>
      <c r="BZ111" s="729">
        <f t="shared" si="61"/>
        <v>0</v>
      </c>
      <c r="CA111" s="729">
        <f t="shared" si="62"/>
        <v>0</v>
      </c>
      <c r="CB111" s="729">
        <f t="shared" si="63"/>
        <v>0</v>
      </c>
      <c r="CC111" s="729">
        <f t="shared" si="63"/>
        <v>0</v>
      </c>
      <c r="CD111" s="729">
        <f t="shared" si="63"/>
        <v>0</v>
      </c>
      <c r="CE111" s="729">
        <f t="shared" si="64"/>
        <v>0</v>
      </c>
      <c r="CF111" s="729">
        <f t="shared" si="65"/>
        <v>0</v>
      </c>
      <c r="CG111" s="729">
        <f t="shared" si="66"/>
        <v>0</v>
      </c>
      <c r="CH111" s="729">
        <f t="shared" si="67"/>
        <v>0</v>
      </c>
      <c r="CI111" s="729">
        <f t="shared" si="68"/>
        <v>0</v>
      </c>
      <c r="CJ111" s="729">
        <f t="shared" si="69"/>
        <v>0</v>
      </c>
      <c r="CK111" s="729">
        <f t="shared" si="70"/>
        <v>0</v>
      </c>
      <c r="CL111" s="729">
        <f t="shared" si="71"/>
        <v>0</v>
      </c>
      <c r="CM111" s="729">
        <f t="shared" si="72"/>
        <v>0</v>
      </c>
      <c r="CN111" s="729">
        <f t="shared" si="73"/>
        <v>0</v>
      </c>
      <c r="CO111" s="729">
        <f t="shared" si="74"/>
        <v>0</v>
      </c>
      <c r="CP111" s="729">
        <f t="shared" si="75"/>
        <v>0</v>
      </c>
      <c r="CQ111" s="729">
        <f t="shared" si="76"/>
        <v>0</v>
      </c>
      <c r="CR111" s="729">
        <f t="shared" si="77"/>
        <v>0</v>
      </c>
      <c r="CS111" s="729">
        <f t="shared" si="78"/>
        <v>0</v>
      </c>
      <c r="CT111" s="729">
        <f t="shared" si="78"/>
        <v>0</v>
      </c>
      <c r="CU111" s="731">
        <f t="shared" si="79"/>
        <v>0</v>
      </c>
      <c r="CV111" s="692" t="str">
        <f t="shared" si="80"/>
        <v/>
      </c>
      <c r="CW111" s="659" t="str">
        <f t="shared" si="81"/>
        <v/>
      </c>
      <c r="CX111" s="659" t="str">
        <f t="shared" si="82"/>
        <v/>
      </c>
      <c r="CY111" s="659" t="str">
        <f t="shared" si="83"/>
        <v/>
      </c>
      <c r="CZ111" s="659" t="str">
        <f t="shared" si="84"/>
        <v/>
      </c>
      <c r="DA111" s="659" t="str">
        <f t="shared" si="85"/>
        <v/>
      </c>
      <c r="DB111" s="82" t="str">
        <f t="shared" si="86"/>
        <v/>
      </c>
      <c r="DC111" s="625" t="str">
        <f t="shared" si="50"/>
        <v/>
      </c>
      <c r="DD111" s="625" t="str">
        <f t="shared" si="87"/>
        <v>0</v>
      </c>
      <c r="DE111" s="620">
        <f t="shared" si="88"/>
        <v>0</v>
      </c>
      <c r="DF111" s="1051" t="s">
        <v>7</v>
      </c>
      <c r="DG111" s="1080">
        <v>235108</v>
      </c>
      <c r="DH111" s="625">
        <f t="shared" si="89"/>
        <v>0</v>
      </c>
      <c r="DI111" s="625">
        <f t="shared" si="90"/>
        <v>0</v>
      </c>
      <c r="DJ111" s="626" t="str">
        <f t="shared" si="91"/>
        <v>00</v>
      </c>
    </row>
    <row r="112" spans="1:114" ht="15" customHeight="1">
      <c r="A112" s="1238"/>
      <c r="B112" s="1238"/>
      <c r="C112" s="1238"/>
      <c r="D112" s="1238"/>
      <c r="E112" s="1238"/>
      <c r="F112" s="1238"/>
      <c r="G112" s="1238"/>
      <c r="H112" s="1238"/>
      <c r="I112" s="1238"/>
      <c r="J112" s="1238"/>
      <c r="K112" s="1238"/>
      <c r="L112" s="1238"/>
      <c r="M112" s="1238"/>
      <c r="N112" s="1238"/>
      <c r="O112" s="1238"/>
      <c r="P112" s="1235">
        <v>109</v>
      </c>
      <c r="Q112" s="1386"/>
      <c r="R112" s="1387"/>
      <c r="S112" s="1368"/>
      <c r="T112" s="1369"/>
      <c r="U112" s="1391"/>
      <c r="V112" s="1360"/>
      <c r="W112" s="1067"/>
      <c r="X112" s="1062"/>
      <c r="Y112" s="1063"/>
      <c r="Z112" s="1153"/>
      <c r="AA112" s="1153"/>
      <c r="AB112" s="1361"/>
      <c r="AC112" s="1352" t="str">
        <f t="shared" si="51"/>
        <v>00</v>
      </c>
      <c r="AD112" s="524" t="str">
        <f t="shared" si="92"/>
        <v/>
      </c>
      <c r="AE112" s="525" t="str">
        <f>IF(AD112="","",VLOOKUP(AD112,所属コード!$A$2:$E$189,2,FALSE))</f>
        <v/>
      </c>
      <c r="AF112" s="1164" t="str">
        <f>IF(AD112="","",VLOOKUP(AD112,所属コード!$A$2:$G$189,7,FALSE))</f>
        <v/>
      </c>
      <c r="AG112" s="1166"/>
      <c r="AH112" s="77"/>
      <c r="AI112" s="77"/>
      <c r="AJ112" s="77"/>
      <c r="AK112" s="15"/>
      <c r="AM112" s="617"/>
      <c r="AN112" s="1090" t="str">
        <f t="shared" si="52"/>
        <v/>
      </c>
      <c r="AO112" s="618" t="str">
        <f t="shared" si="53"/>
        <v/>
      </c>
      <c r="AP112" s="617"/>
      <c r="AQ112" s="617"/>
      <c r="AR112" s="617"/>
      <c r="AS112" s="617"/>
      <c r="AT112" s="617"/>
      <c r="AU112" s="617"/>
      <c r="AV112" s="620"/>
      <c r="AW112" s="727"/>
      <c r="AX112" s="728"/>
      <c r="AY112" s="728"/>
      <c r="AZ112" s="728"/>
      <c r="BA112" s="728"/>
      <c r="BB112" s="728"/>
      <c r="BC112" s="728"/>
      <c r="BD112" s="728"/>
      <c r="BE112" s="728"/>
      <c r="BF112" s="728"/>
      <c r="BG112" s="728"/>
      <c r="BH112" s="728"/>
      <c r="BI112" s="728"/>
      <c r="BJ112" s="728"/>
      <c r="BK112" s="728"/>
      <c r="BL112" s="742"/>
      <c r="BM112" s="747">
        <f t="shared" si="54"/>
        <v>0</v>
      </c>
      <c r="BN112" s="738">
        <f t="shared" si="47"/>
        <v>0</v>
      </c>
      <c r="BO112" s="729">
        <f t="shared" si="48"/>
        <v>0</v>
      </c>
      <c r="BP112" s="730">
        <f t="shared" si="93"/>
        <v>0</v>
      </c>
      <c r="BQ112" s="729">
        <f t="shared" si="93"/>
        <v>0</v>
      </c>
      <c r="BR112" s="729">
        <f t="shared" si="55"/>
        <v>0</v>
      </c>
      <c r="BS112" s="729">
        <f t="shared" si="56"/>
        <v>0</v>
      </c>
      <c r="BT112" s="729">
        <f t="shared" si="57"/>
        <v>0</v>
      </c>
      <c r="BU112" s="729">
        <f t="shared" si="58"/>
        <v>0</v>
      </c>
      <c r="BV112" s="729">
        <f t="shared" si="59"/>
        <v>0</v>
      </c>
      <c r="BW112" s="729">
        <f t="shared" si="60"/>
        <v>0</v>
      </c>
      <c r="BX112" s="729">
        <f t="shared" si="60"/>
        <v>0</v>
      </c>
      <c r="BY112" s="729">
        <f t="shared" si="61"/>
        <v>0</v>
      </c>
      <c r="BZ112" s="729">
        <f t="shared" si="61"/>
        <v>0</v>
      </c>
      <c r="CA112" s="729">
        <f t="shared" si="62"/>
        <v>0</v>
      </c>
      <c r="CB112" s="729">
        <f t="shared" si="63"/>
        <v>0</v>
      </c>
      <c r="CC112" s="729">
        <f t="shared" si="63"/>
        <v>0</v>
      </c>
      <c r="CD112" s="729">
        <f t="shared" si="63"/>
        <v>0</v>
      </c>
      <c r="CE112" s="729">
        <f t="shared" si="64"/>
        <v>0</v>
      </c>
      <c r="CF112" s="729">
        <f t="shared" si="65"/>
        <v>0</v>
      </c>
      <c r="CG112" s="729">
        <f t="shared" si="66"/>
        <v>0</v>
      </c>
      <c r="CH112" s="729">
        <f t="shared" si="67"/>
        <v>0</v>
      </c>
      <c r="CI112" s="729">
        <f t="shared" si="68"/>
        <v>0</v>
      </c>
      <c r="CJ112" s="729">
        <f t="shared" si="69"/>
        <v>0</v>
      </c>
      <c r="CK112" s="729">
        <f t="shared" si="70"/>
        <v>0</v>
      </c>
      <c r="CL112" s="729">
        <f t="shared" si="71"/>
        <v>0</v>
      </c>
      <c r="CM112" s="729">
        <f t="shared" si="72"/>
        <v>0</v>
      </c>
      <c r="CN112" s="729">
        <f t="shared" si="73"/>
        <v>0</v>
      </c>
      <c r="CO112" s="729">
        <f t="shared" si="74"/>
        <v>0</v>
      </c>
      <c r="CP112" s="729">
        <f t="shared" si="75"/>
        <v>0</v>
      </c>
      <c r="CQ112" s="729">
        <f t="shared" si="76"/>
        <v>0</v>
      </c>
      <c r="CR112" s="729">
        <f t="shared" si="77"/>
        <v>0</v>
      </c>
      <c r="CS112" s="729">
        <f t="shared" si="78"/>
        <v>0</v>
      </c>
      <c r="CT112" s="729">
        <f t="shared" si="78"/>
        <v>0</v>
      </c>
      <c r="CU112" s="731">
        <f t="shared" si="79"/>
        <v>0</v>
      </c>
      <c r="CV112" s="692" t="str">
        <f t="shared" si="80"/>
        <v/>
      </c>
      <c r="CW112" s="659" t="str">
        <f t="shared" si="81"/>
        <v/>
      </c>
      <c r="CX112" s="659" t="str">
        <f t="shared" si="82"/>
        <v/>
      </c>
      <c r="CY112" s="659" t="str">
        <f t="shared" si="83"/>
        <v/>
      </c>
      <c r="CZ112" s="659" t="str">
        <f t="shared" si="84"/>
        <v/>
      </c>
      <c r="DA112" s="659" t="str">
        <f t="shared" si="85"/>
        <v/>
      </c>
      <c r="DB112" s="82" t="str">
        <f t="shared" si="86"/>
        <v/>
      </c>
      <c r="DC112" s="625" t="str">
        <f t="shared" si="50"/>
        <v/>
      </c>
      <c r="DD112" s="625" t="str">
        <f t="shared" si="87"/>
        <v>0</v>
      </c>
      <c r="DE112" s="620">
        <f t="shared" si="88"/>
        <v>0</v>
      </c>
      <c r="DF112" s="1051" t="s">
        <v>160</v>
      </c>
      <c r="DG112" s="1080">
        <v>235109</v>
      </c>
      <c r="DH112" s="625">
        <f t="shared" si="89"/>
        <v>0</v>
      </c>
      <c r="DI112" s="625">
        <f t="shared" si="90"/>
        <v>0</v>
      </c>
      <c r="DJ112" s="626" t="str">
        <f t="shared" si="91"/>
        <v>00</v>
      </c>
    </row>
    <row r="113" spans="1:114" ht="15" customHeight="1" thickBot="1">
      <c r="A113" s="1238"/>
      <c r="B113" s="1238"/>
      <c r="C113" s="1238"/>
      <c r="D113" s="1238"/>
      <c r="E113" s="1238"/>
      <c r="F113" s="1238"/>
      <c r="G113" s="1238"/>
      <c r="H113" s="1238"/>
      <c r="I113" s="1238"/>
      <c r="J113" s="1238"/>
      <c r="K113" s="1238"/>
      <c r="L113" s="1238"/>
      <c r="M113" s="1238"/>
      <c r="N113" s="1238"/>
      <c r="O113" s="1238"/>
      <c r="P113" s="1236">
        <v>110</v>
      </c>
      <c r="Q113" s="1388"/>
      <c r="R113" s="1389"/>
      <c r="S113" s="1370"/>
      <c r="T113" s="1371"/>
      <c r="U113" s="1392"/>
      <c r="V113" s="1362"/>
      <c r="W113" s="1157"/>
      <c r="X113" s="1158"/>
      <c r="Y113" s="1159"/>
      <c r="Z113" s="1154"/>
      <c r="AA113" s="1154"/>
      <c r="AB113" s="1363"/>
      <c r="AC113" s="1353" t="str">
        <f t="shared" si="51"/>
        <v>00</v>
      </c>
      <c r="AD113" s="526" t="str">
        <f t="shared" si="92"/>
        <v/>
      </c>
      <c r="AE113" s="527" t="str">
        <f>IF(AD113="","",VLOOKUP(AD113,所属コード!$A$2:$E$189,2,FALSE))</f>
        <v/>
      </c>
      <c r="AF113" s="1165" t="str">
        <f>IF(AD113="","",VLOOKUP(AD113,所属コード!$A$2:$G$189,7,FALSE))</f>
        <v/>
      </c>
      <c r="AG113" s="1166"/>
      <c r="AH113" s="77"/>
      <c r="AI113" s="77"/>
      <c r="AJ113" s="77"/>
      <c r="AK113" s="15"/>
      <c r="AM113" s="617"/>
      <c r="AN113" s="1090" t="str">
        <f t="shared" si="52"/>
        <v/>
      </c>
      <c r="AO113" s="618" t="str">
        <f t="shared" si="53"/>
        <v/>
      </c>
      <c r="AP113" s="617"/>
      <c r="AQ113" s="617"/>
      <c r="AR113" s="617"/>
      <c r="AS113" s="617"/>
      <c r="AT113" s="617"/>
      <c r="AU113" s="617"/>
      <c r="AV113" s="620"/>
      <c r="AW113" s="732"/>
      <c r="AX113" s="733"/>
      <c r="AY113" s="733"/>
      <c r="AZ113" s="733"/>
      <c r="BA113" s="733"/>
      <c r="BB113" s="733"/>
      <c r="BC113" s="733"/>
      <c r="BD113" s="733"/>
      <c r="BE113" s="733"/>
      <c r="BF113" s="733"/>
      <c r="BG113" s="733"/>
      <c r="BH113" s="733"/>
      <c r="BI113" s="733"/>
      <c r="BJ113" s="733"/>
      <c r="BK113" s="733"/>
      <c r="BL113" s="743"/>
      <c r="BM113" s="748">
        <f t="shared" si="54"/>
        <v>0</v>
      </c>
      <c r="BN113" s="739">
        <f t="shared" si="47"/>
        <v>0</v>
      </c>
      <c r="BO113" s="734">
        <f t="shared" si="48"/>
        <v>0</v>
      </c>
      <c r="BP113" s="735">
        <f t="shared" si="93"/>
        <v>0</v>
      </c>
      <c r="BQ113" s="734">
        <f t="shared" si="93"/>
        <v>0</v>
      </c>
      <c r="BR113" s="734">
        <f t="shared" si="55"/>
        <v>0</v>
      </c>
      <c r="BS113" s="734">
        <f t="shared" si="56"/>
        <v>0</v>
      </c>
      <c r="BT113" s="734">
        <f t="shared" si="57"/>
        <v>0</v>
      </c>
      <c r="BU113" s="734">
        <f t="shared" si="58"/>
        <v>0</v>
      </c>
      <c r="BV113" s="734">
        <f t="shared" si="59"/>
        <v>0</v>
      </c>
      <c r="BW113" s="734">
        <f t="shared" si="60"/>
        <v>0</v>
      </c>
      <c r="BX113" s="734">
        <f t="shared" si="60"/>
        <v>0</v>
      </c>
      <c r="BY113" s="734">
        <f t="shared" si="61"/>
        <v>0</v>
      </c>
      <c r="BZ113" s="734">
        <f t="shared" si="61"/>
        <v>0</v>
      </c>
      <c r="CA113" s="734">
        <f t="shared" si="62"/>
        <v>0</v>
      </c>
      <c r="CB113" s="734">
        <f t="shared" si="63"/>
        <v>0</v>
      </c>
      <c r="CC113" s="734">
        <f t="shared" si="63"/>
        <v>0</v>
      </c>
      <c r="CD113" s="734">
        <f t="shared" si="63"/>
        <v>0</v>
      </c>
      <c r="CE113" s="734">
        <f t="shared" si="64"/>
        <v>0</v>
      </c>
      <c r="CF113" s="734">
        <f t="shared" si="65"/>
        <v>0</v>
      </c>
      <c r="CG113" s="734">
        <f t="shared" si="66"/>
        <v>0</v>
      </c>
      <c r="CH113" s="734">
        <f t="shared" si="67"/>
        <v>0</v>
      </c>
      <c r="CI113" s="734">
        <f t="shared" si="68"/>
        <v>0</v>
      </c>
      <c r="CJ113" s="734">
        <f t="shared" si="69"/>
        <v>0</v>
      </c>
      <c r="CK113" s="734">
        <f t="shared" si="70"/>
        <v>0</v>
      </c>
      <c r="CL113" s="734">
        <f t="shared" si="71"/>
        <v>0</v>
      </c>
      <c r="CM113" s="734">
        <f t="shared" si="72"/>
        <v>0</v>
      </c>
      <c r="CN113" s="734">
        <f t="shared" si="73"/>
        <v>0</v>
      </c>
      <c r="CO113" s="734">
        <f t="shared" si="74"/>
        <v>0</v>
      </c>
      <c r="CP113" s="734">
        <f t="shared" si="75"/>
        <v>0</v>
      </c>
      <c r="CQ113" s="734">
        <f t="shared" si="76"/>
        <v>0</v>
      </c>
      <c r="CR113" s="734">
        <f t="shared" si="77"/>
        <v>0</v>
      </c>
      <c r="CS113" s="734">
        <f t="shared" si="78"/>
        <v>0</v>
      </c>
      <c r="CT113" s="734">
        <f t="shared" si="78"/>
        <v>0</v>
      </c>
      <c r="CU113" s="736">
        <f t="shared" si="79"/>
        <v>0</v>
      </c>
      <c r="CV113" s="692" t="str">
        <f t="shared" si="80"/>
        <v/>
      </c>
      <c r="CW113" s="659" t="str">
        <f t="shared" si="81"/>
        <v/>
      </c>
      <c r="CX113" s="659" t="str">
        <f t="shared" si="82"/>
        <v/>
      </c>
      <c r="CY113" s="659" t="str">
        <f t="shared" si="83"/>
        <v/>
      </c>
      <c r="CZ113" s="659" t="str">
        <f t="shared" si="84"/>
        <v/>
      </c>
      <c r="DA113" s="659" t="str">
        <f t="shared" si="85"/>
        <v/>
      </c>
      <c r="DB113" s="82" t="str">
        <f t="shared" si="86"/>
        <v/>
      </c>
      <c r="DC113" s="625" t="str">
        <f t="shared" si="50"/>
        <v/>
      </c>
      <c r="DD113" s="625" t="str">
        <f t="shared" si="87"/>
        <v>0</v>
      </c>
      <c r="DE113" s="620">
        <f t="shared" si="88"/>
        <v>0</v>
      </c>
      <c r="DF113" s="1051" t="s">
        <v>1</v>
      </c>
      <c r="DG113" s="1080">
        <v>235110</v>
      </c>
      <c r="DH113" s="625">
        <f t="shared" si="89"/>
        <v>0</v>
      </c>
      <c r="DI113" s="625">
        <f t="shared" si="90"/>
        <v>0</v>
      </c>
      <c r="DJ113" s="626" t="str">
        <f t="shared" si="91"/>
        <v>00</v>
      </c>
    </row>
    <row r="114" spans="1:114" ht="15" customHeight="1">
      <c r="AK114" s="627"/>
      <c r="AM114" s="615"/>
      <c r="AN114" s="615"/>
      <c r="AO114" s="628"/>
      <c r="AP114" s="615"/>
      <c r="AQ114" s="615"/>
      <c r="AR114" s="615"/>
      <c r="AS114" s="615"/>
      <c r="AT114" s="615"/>
      <c r="AU114" s="615"/>
      <c r="AV114" s="615"/>
      <c r="AW114" s="615"/>
      <c r="AX114" s="615"/>
      <c r="AY114" s="615"/>
      <c r="AZ114" s="615"/>
      <c r="BA114" s="615"/>
      <c r="BB114" s="615"/>
      <c r="BC114" s="615"/>
      <c r="BD114" s="615"/>
      <c r="BE114" s="615"/>
      <c r="BF114" s="615"/>
      <c r="BG114" s="615"/>
      <c r="BH114" s="615"/>
      <c r="BI114" s="615"/>
      <c r="BJ114" s="615"/>
      <c r="BK114" s="615"/>
      <c r="BL114" s="615"/>
      <c r="BM114" s="615"/>
      <c r="BN114" s="686"/>
      <c r="BO114" s="686"/>
      <c r="BP114" s="686"/>
      <c r="BQ114" s="686"/>
      <c r="BR114" s="686"/>
      <c r="BS114" s="686"/>
      <c r="BT114" s="686"/>
      <c r="BU114" s="686"/>
      <c r="BV114" s="686"/>
      <c r="BW114" s="686"/>
      <c r="BX114" s="686"/>
      <c r="BY114" s="686"/>
      <c r="BZ114" s="686"/>
      <c r="CA114" s="686"/>
      <c r="CB114" s="686"/>
      <c r="CC114" s="686"/>
      <c r="CD114" s="686"/>
      <c r="CE114" s="686"/>
      <c r="CF114" s="686"/>
      <c r="CG114" s="686"/>
      <c r="CH114" s="686"/>
      <c r="CI114" s="686"/>
      <c r="CJ114" s="686"/>
      <c r="CK114" s="686"/>
      <c r="CL114" s="686"/>
      <c r="CM114" s="686"/>
      <c r="CN114" s="686"/>
      <c r="CO114" s="686"/>
      <c r="CP114" s="686"/>
      <c r="CQ114" s="686"/>
      <c r="CR114" s="686"/>
      <c r="CS114" s="686"/>
      <c r="CT114" s="686"/>
      <c r="CU114" s="686"/>
      <c r="CV114" s="615"/>
      <c r="CW114" s="659" t="str">
        <f>IF(AY114="","",LEN(AY114))</f>
        <v/>
      </c>
      <c r="CX114" s="659" t="str">
        <f>IF(AY114="","",FIND("　",AY114,1))</f>
        <v/>
      </c>
      <c r="CY114" s="659" t="str">
        <f>IF(AY114="","",CW114-CX114)</f>
        <v/>
      </c>
      <c r="CZ114" s="659" t="str">
        <f>IF(AY114="","",LEFT(AY114,CX114-1))</f>
        <v/>
      </c>
      <c r="DA114" s="659" t="str">
        <f>IF(AY114="","",RIGHT(AY114,CY114))</f>
        <v/>
      </c>
      <c r="DB114" s="82" t="str">
        <f>IF(AY114="","",IF(CW114=4,CONCATENATE(CZ114,"　","　",DA114),IF(CW114=6,CONCATENATE(CZ114,DA114),AY114)))</f>
        <v/>
      </c>
      <c r="DC114" s="615"/>
      <c r="DF114" s="1051" t="s">
        <v>84</v>
      </c>
      <c r="DG114" s="1080">
        <v>235111</v>
      </c>
    </row>
    <row r="115" spans="1:114" ht="15" customHeight="1">
      <c r="AE115" s="629"/>
      <c r="AK115" s="627"/>
      <c r="AO115" s="630"/>
      <c r="CW115" s="659" t="str">
        <f>IF(AY115="","",LEN(AY115))</f>
        <v/>
      </c>
      <c r="CX115" s="659" t="str">
        <f>IF(AY115="","",FIND("　",AY115,1))</f>
        <v/>
      </c>
      <c r="CY115" s="659" t="str">
        <f>IF(AY115="","",CW115-CX115)</f>
        <v/>
      </c>
      <c r="CZ115" s="659" t="str">
        <f>IF(AY115="","",LEFT(AY115,CX115-1))</f>
        <v/>
      </c>
      <c r="DA115" s="659" t="str">
        <f>IF(AY115="","",RIGHT(AY115,CY115))</f>
        <v/>
      </c>
      <c r="DB115" s="82" t="str">
        <f>IF(AY115="","",IF(CW115=4,CONCATENATE(CZ115,"　","　",DA115),IF(CW115=6,CONCATENATE(CZ115,DA115),AY115)))</f>
        <v/>
      </c>
      <c r="DF115" s="1050" t="s">
        <v>15</v>
      </c>
      <c r="DG115" s="1080">
        <v>235112</v>
      </c>
    </row>
    <row r="116" spans="1:114" ht="15" customHeight="1">
      <c r="AK116" s="627"/>
      <c r="AO116" s="630"/>
      <c r="CW116" s="659" t="str">
        <f>IF(AY116="","",LEN(AY116))</f>
        <v/>
      </c>
      <c r="CX116" s="659" t="str">
        <f>IF(AY116="","",FIND("　",AY116,1))</f>
        <v/>
      </c>
      <c r="CY116" s="659" t="str">
        <f>IF(AY116="","",CW116-CX116)</f>
        <v/>
      </c>
      <c r="CZ116" s="659" t="str">
        <f>IF(AY116="","",LEFT(AY116,CX116-1))</f>
        <v/>
      </c>
      <c r="DA116" s="659" t="str">
        <f>IF(AY116="","",RIGHT(AY116,CY116))</f>
        <v/>
      </c>
      <c r="DB116" s="82" t="str">
        <f>IF(AY116="","",IF(CW116=4,CONCATENATE(CZ116,"　","　",DA116),IF(CW116=6,CONCATENATE(CZ116,DA116),AY116)))</f>
        <v/>
      </c>
      <c r="DF116" s="1050" t="s">
        <v>85</v>
      </c>
      <c r="DG116" s="1080">
        <v>235113</v>
      </c>
    </row>
    <row r="117" spans="1:114" ht="15" customHeight="1">
      <c r="AK117" s="627"/>
      <c r="AO117" s="630"/>
      <c r="CW117" s="659" t="str">
        <f>IF(AY117="","",LEN(AY117))</f>
        <v/>
      </c>
      <c r="CX117" s="659" t="str">
        <f>IF(AY117="","",FIND("　",AY117,1))</f>
        <v/>
      </c>
      <c r="CY117" s="659" t="str">
        <f>IF(AY117="","",CW117-CX117)</f>
        <v/>
      </c>
      <c r="CZ117" s="659" t="str">
        <f>IF(AY117="","",LEFT(AY117,CX117-1))</f>
        <v/>
      </c>
      <c r="DA117" s="659" t="str">
        <f>IF(AY117="","",RIGHT(AY117,CY117))</f>
        <v/>
      </c>
      <c r="DB117" s="82" t="str">
        <f>IF(AY117="","",IF(CW117=4,CONCATENATE(CZ117,"　","　",DA117),IF(CW117=6,CONCATENATE(CZ117,DA117),AY117)))</f>
        <v/>
      </c>
      <c r="DF117" s="1050" t="s">
        <v>186</v>
      </c>
      <c r="DG117" s="1080">
        <v>235114</v>
      </c>
    </row>
    <row r="118" spans="1:114" ht="15" customHeight="1">
      <c r="AK118" s="627"/>
      <c r="AO118" s="630"/>
      <c r="CW118" s="659" t="str">
        <f>IF(AY118="","",LEN(AY118))</f>
        <v/>
      </c>
      <c r="CX118" s="659" t="str">
        <f>IF(AY118="","",FIND("　",AY118,1))</f>
        <v/>
      </c>
      <c r="CY118" s="659" t="str">
        <f>IF(AY118="","",CW118-CX118)</f>
        <v/>
      </c>
      <c r="CZ118" s="659" t="str">
        <f>IF(AY118="","",LEFT(AY118,CX118-1))</f>
        <v/>
      </c>
      <c r="DA118" s="659" t="str">
        <f>IF(AY118="","",RIGHT(AY118,CY118))</f>
        <v/>
      </c>
      <c r="DB118" s="82" t="str">
        <f>IF(AY118="","",IF(CW118=4,CONCATENATE(CZ118,"　","　",DA118),IF(CW118=6,CONCATENATE(CZ118,DA118),AY118)))</f>
        <v/>
      </c>
      <c r="DF118" s="1050" t="s">
        <v>151</v>
      </c>
      <c r="DG118" s="1080">
        <v>235115</v>
      </c>
    </row>
    <row r="119" spans="1:114" ht="15" customHeight="1">
      <c r="AK119" s="627"/>
      <c r="AO119" s="630"/>
      <c r="DF119" s="1050" t="s">
        <v>86</v>
      </c>
      <c r="DG119" s="1080">
        <v>235116</v>
      </c>
    </row>
    <row r="120" spans="1:114" ht="15" customHeight="1">
      <c r="AK120" s="627"/>
      <c r="AO120" s="630"/>
      <c r="DF120" s="1050" t="s">
        <v>187</v>
      </c>
      <c r="DG120" s="1080">
        <v>235117</v>
      </c>
    </row>
    <row r="121" spans="1:114" ht="15" customHeight="1">
      <c r="AK121" s="15"/>
      <c r="AO121" s="630"/>
      <c r="DF121" s="1050" t="s">
        <v>753</v>
      </c>
      <c r="DG121" s="1080">
        <v>235119</v>
      </c>
    </row>
    <row r="122" spans="1:114" ht="15" customHeight="1">
      <c r="AK122" s="15"/>
      <c r="DF122" s="1050" t="s">
        <v>174</v>
      </c>
      <c r="DG122" s="1080">
        <v>235121</v>
      </c>
    </row>
    <row r="123" spans="1:114" ht="15" customHeight="1">
      <c r="AK123" s="15"/>
      <c r="DF123" s="1050" t="s">
        <v>87</v>
      </c>
      <c r="DG123" s="1080">
        <v>235122</v>
      </c>
    </row>
    <row r="124" spans="1:114" ht="15" customHeight="1">
      <c r="AK124" s="15"/>
      <c r="DF124" s="1050" t="s">
        <v>754</v>
      </c>
      <c r="DG124" s="1080">
        <v>235123</v>
      </c>
    </row>
    <row r="125" spans="1:114" ht="15" customHeight="1">
      <c r="AK125" s="15"/>
      <c r="DF125" s="1050" t="s">
        <v>169</v>
      </c>
      <c r="DG125" s="1080">
        <v>235124</v>
      </c>
    </row>
    <row r="126" spans="1:114" ht="15" customHeight="1">
      <c r="AK126" s="15"/>
      <c r="DF126" s="1050" t="s">
        <v>5</v>
      </c>
      <c r="DG126" s="1080">
        <v>235125</v>
      </c>
    </row>
    <row r="127" spans="1:114" ht="15" customHeight="1">
      <c r="AK127" s="15"/>
      <c r="DF127" s="1050" t="s">
        <v>2</v>
      </c>
      <c r="DG127" s="1080">
        <v>235126</v>
      </c>
    </row>
    <row r="128" spans="1:114" ht="15" customHeight="1">
      <c r="AK128" s="15"/>
      <c r="DF128" s="1050" t="s">
        <v>88</v>
      </c>
      <c r="DG128" s="1080">
        <v>235127</v>
      </c>
    </row>
    <row r="129" spans="37:111" ht="15" customHeight="1">
      <c r="AK129" s="15"/>
      <c r="DF129" s="1050" t="s">
        <v>89</v>
      </c>
      <c r="DG129" s="1080">
        <v>235128</v>
      </c>
    </row>
    <row r="130" spans="37:111" ht="15" customHeight="1">
      <c r="AK130" s="15"/>
      <c r="DF130" s="1050" t="s">
        <v>140</v>
      </c>
      <c r="DG130" s="1080">
        <v>235129</v>
      </c>
    </row>
    <row r="131" spans="37:111" ht="15" customHeight="1">
      <c r="DF131" s="1050" t="s">
        <v>36</v>
      </c>
      <c r="DG131" s="1080">
        <v>235130</v>
      </c>
    </row>
    <row r="132" spans="37:111" ht="15" customHeight="1">
      <c r="DF132" s="1050" t="s">
        <v>90</v>
      </c>
      <c r="DG132" s="1080">
        <v>235131</v>
      </c>
    </row>
    <row r="133" spans="37:111" ht="15" customHeight="1">
      <c r="DF133" s="1050" t="s">
        <v>842</v>
      </c>
      <c r="DG133" s="1080">
        <v>235132</v>
      </c>
    </row>
    <row r="134" spans="37:111" ht="15" customHeight="1">
      <c r="DF134" s="1050" t="s">
        <v>1068</v>
      </c>
      <c r="DG134" s="1080">
        <v>235133</v>
      </c>
    </row>
    <row r="135" spans="37:111" ht="15" customHeight="1">
      <c r="DF135" s="1050" t="s">
        <v>1068</v>
      </c>
      <c r="DG135" s="1080">
        <v>235134</v>
      </c>
    </row>
    <row r="136" spans="37:111" ht="15" customHeight="1">
      <c r="DF136" s="1050" t="s">
        <v>1069</v>
      </c>
      <c r="DG136" s="1080">
        <v>235135</v>
      </c>
    </row>
    <row r="137" spans="37:111" ht="15" customHeight="1">
      <c r="DF137" s="1050" t="s">
        <v>1068</v>
      </c>
      <c r="DG137" s="1080">
        <v>235136</v>
      </c>
    </row>
    <row r="138" spans="37:111" ht="15" customHeight="1">
      <c r="DF138" s="1050" t="s">
        <v>0</v>
      </c>
      <c r="DG138" s="1080">
        <v>235137</v>
      </c>
    </row>
    <row r="139" spans="37:111" ht="15" customHeight="1">
      <c r="DF139" s="1050" t="s">
        <v>149</v>
      </c>
      <c r="DG139" s="1080">
        <v>235138</v>
      </c>
    </row>
    <row r="140" spans="37:111" ht="15" customHeight="1">
      <c r="DF140" s="1050" t="s">
        <v>93</v>
      </c>
      <c r="DG140" s="1080">
        <v>235139</v>
      </c>
    </row>
    <row r="141" spans="37:111" ht="15" customHeight="1">
      <c r="DF141" s="1050" t="s">
        <v>144</v>
      </c>
      <c r="DG141" s="1080">
        <v>235140</v>
      </c>
    </row>
    <row r="142" spans="37:111" ht="15" customHeight="1">
      <c r="DF142" s="1050" t="s">
        <v>94</v>
      </c>
      <c r="DG142" s="1080">
        <v>235141</v>
      </c>
    </row>
    <row r="143" spans="37:111" ht="15" customHeight="1">
      <c r="DF143" s="1050" t="s">
        <v>292</v>
      </c>
      <c r="DG143" s="1080">
        <v>235142</v>
      </c>
    </row>
    <row r="144" spans="37:111" ht="15" customHeight="1">
      <c r="DF144" s="1050" t="s">
        <v>755</v>
      </c>
      <c r="DG144" s="1080">
        <v>235143</v>
      </c>
    </row>
    <row r="145" spans="110:111" ht="15" customHeight="1">
      <c r="DF145" s="1050" t="s">
        <v>293</v>
      </c>
      <c r="DG145" s="1080">
        <v>235144</v>
      </c>
    </row>
    <row r="146" spans="110:111" ht="15" customHeight="1">
      <c r="DF146" s="1050" t="s">
        <v>95</v>
      </c>
      <c r="DG146" s="1080">
        <v>235146</v>
      </c>
    </row>
    <row r="147" spans="110:111" ht="15" customHeight="1">
      <c r="DF147" s="1050" t="s">
        <v>96</v>
      </c>
      <c r="DG147" s="1080">
        <v>235147</v>
      </c>
    </row>
    <row r="148" spans="110:111" ht="15" customHeight="1">
      <c r="DF148" s="1050" t="s">
        <v>1070</v>
      </c>
      <c r="DG148" s="1080">
        <v>235148</v>
      </c>
    </row>
    <row r="149" spans="110:111" ht="15" customHeight="1">
      <c r="DF149" s="1050" t="s">
        <v>178</v>
      </c>
      <c r="DG149" s="1080">
        <v>235149</v>
      </c>
    </row>
    <row r="150" spans="110:111" ht="15" customHeight="1">
      <c r="DF150" s="1050" t="s">
        <v>157</v>
      </c>
      <c r="DG150" s="1080">
        <v>235150</v>
      </c>
    </row>
    <row r="151" spans="110:111" ht="15" customHeight="1">
      <c r="DF151" s="1050" t="s">
        <v>294</v>
      </c>
      <c r="DG151" s="1080">
        <v>235151</v>
      </c>
    </row>
    <row r="152" spans="110:111" ht="15" customHeight="1">
      <c r="DF152" s="1050" t="s">
        <v>295</v>
      </c>
      <c r="DG152" s="1080">
        <v>235152</v>
      </c>
    </row>
    <row r="153" spans="110:111" ht="15" customHeight="1">
      <c r="DF153" s="1050" t="s">
        <v>756</v>
      </c>
      <c r="DG153" s="1080">
        <v>235153</v>
      </c>
    </row>
    <row r="154" spans="110:111" ht="15" customHeight="1">
      <c r="DF154" s="1050" t="s">
        <v>158</v>
      </c>
      <c r="DG154" s="1080">
        <v>235154</v>
      </c>
    </row>
    <row r="155" spans="110:111" ht="15" customHeight="1">
      <c r="DF155" s="1050" t="s">
        <v>141</v>
      </c>
      <c r="DG155" s="1080">
        <v>235155</v>
      </c>
    </row>
    <row r="156" spans="110:111" ht="15" customHeight="1">
      <c r="DF156" s="1050" t="s">
        <v>161</v>
      </c>
      <c r="DG156" s="1080">
        <v>235156</v>
      </c>
    </row>
    <row r="157" spans="110:111" ht="15" customHeight="1">
      <c r="DF157" s="1050" t="s">
        <v>296</v>
      </c>
      <c r="DG157" s="1080">
        <v>235157</v>
      </c>
    </row>
    <row r="158" spans="110:111" ht="15" customHeight="1">
      <c r="DF158" s="1050" t="s">
        <v>97</v>
      </c>
      <c r="DG158" s="1080">
        <v>235158</v>
      </c>
    </row>
    <row r="159" spans="110:111" ht="15" customHeight="1">
      <c r="DF159" s="1050" t="s">
        <v>98</v>
      </c>
      <c r="DG159" s="1080">
        <v>235159</v>
      </c>
    </row>
    <row r="160" spans="110:111" ht="15" customHeight="1">
      <c r="DF160" s="1050" t="s">
        <v>176</v>
      </c>
      <c r="DG160" s="1080">
        <v>235160</v>
      </c>
    </row>
    <row r="161" spans="110:111" ht="15" customHeight="1">
      <c r="DF161" s="1050" t="s">
        <v>99</v>
      </c>
      <c r="DG161" s="1080">
        <v>235161</v>
      </c>
    </row>
    <row r="162" spans="110:111" ht="15" customHeight="1">
      <c r="DF162" s="1050" t="s">
        <v>100</v>
      </c>
      <c r="DG162" s="1080">
        <v>235162</v>
      </c>
    </row>
    <row r="163" spans="110:111" ht="15" customHeight="1">
      <c r="DF163" s="1050" t="s">
        <v>101</v>
      </c>
      <c r="DG163" s="1080">
        <v>235163</v>
      </c>
    </row>
    <row r="164" spans="110:111" ht="15" customHeight="1">
      <c r="DF164" s="1050" t="s">
        <v>159</v>
      </c>
      <c r="DG164" s="1080">
        <v>235164</v>
      </c>
    </row>
    <row r="165" spans="110:111" ht="15" customHeight="1">
      <c r="DF165" s="1050" t="s">
        <v>102</v>
      </c>
      <c r="DG165" s="1080">
        <v>235165</v>
      </c>
    </row>
    <row r="166" spans="110:111" ht="15" customHeight="1">
      <c r="DF166" s="1050" t="s">
        <v>34</v>
      </c>
      <c r="DG166" s="1080">
        <v>235166</v>
      </c>
    </row>
    <row r="167" spans="110:111" ht="15" customHeight="1">
      <c r="DF167" s="1050" t="s">
        <v>103</v>
      </c>
      <c r="DG167" s="1080">
        <v>235167</v>
      </c>
    </row>
    <row r="168" spans="110:111" ht="15" customHeight="1">
      <c r="DF168" s="1050" t="s">
        <v>104</v>
      </c>
      <c r="DG168" s="1080">
        <v>235168</v>
      </c>
    </row>
    <row r="169" spans="110:111" ht="15" customHeight="1">
      <c r="DF169" s="1050" t="s">
        <v>105</v>
      </c>
      <c r="DG169" s="1080">
        <v>235169</v>
      </c>
    </row>
    <row r="170" spans="110:111" ht="15" customHeight="1">
      <c r="DF170" s="1050" t="s">
        <v>177</v>
      </c>
      <c r="DG170" s="1080">
        <v>235170</v>
      </c>
    </row>
    <row r="171" spans="110:111" ht="15" customHeight="1">
      <c r="DF171" s="1050" t="s">
        <v>106</v>
      </c>
      <c r="DG171" s="1080">
        <v>235171</v>
      </c>
    </row>
    <row r="172" spans="110:111" ht="15" customHeight="1">
      <c r="DF172" s="1050" t="s">
        <v>107</v>
      </c>
      <c r="DG172" s="1080">
        <v>235172</v>
      </c>
    </row>
    <row r="173" spans="110:111" ht="15" customHeight="1">
      <c r="DF173" s="1050" t="s">
        <v>108</v>
      </c>
      <c r="DG173" s="1080">
        <v>235173</v>
      </c>
    </row>
    <row r="174" spans="110:111" ht="15" customHeight="1">
      <c r="DF174" s="1050" t="s">
        <v>109</v>
      </c>
      <c r="DG174" s="1080">
        <v>235174</v>
      </c>
    </row>
    <row r="175" spans="110:111" ht="15" customHeight="1">
      <c r="DF175" s="1050" t="s">
        <v>110</v>
      </c>
      <c r="DG175" s="1080">
        <v>235175</v>
      </c>
    </row>
    <row r="176" spans="110:111" ht="15" customHeight="1">
      <c r="DF176" s="1050" t="s">
        <v>111</v>
      </c>
      <c r="DG176" s="1080">
        <v>235176</v>
      </c>
    </row>
    <row r="177" spans="110:111" ht="15" customHeight="1">
      <c r="DF177" s="1050" t="s">
        <v>112</v>
      </c>
      <c r="DG177" s="1080">
        <v>235177</v>
      </c>
    </row>
    <row r="178" spans="110:111" ht="15" customHeight="1">
      <c r="DF178" s="1050" t="s">
        <v>297</v>
      </c>
      <c r="DG178" s="1080">
        <v>235178</v>
      </c>
    </row>
    <row r="179" spans="110:111" ht="15" customHeight="1">
      <c r="DF179" s="1050" t="s">
        <v>298</v>
      </c>
      <c r="DG179" s="1080">
        <v>235179</v>
      </c>
    </row>
    <row r="180" spans="110:111" ht="15" customHeight="1">
      <c r="DF180" s="1050" t="s">
        <v>113</v>
      </c>
      <c r="DG180" s="1080">
        <v>235180</v>
      </c>
    </row>
    <row r="181" spans="110:111" ht="15" customHeight="1">
      <c r="DF181" s="1050" t="s">
        <v>299</v>
      </c>
      <c r="DG181" s="1080">
        <v>235181</v>
      </c>
    </row>
    <row r="182" spans="110:111" ht="15" customHeight="1">
      <c r="DF182" s="1151" t="s">
        <v>817</v>
      </c>
      <c r="DG182" s="1151">
        <v>230082</v>
      </c>
    </row>
    <row r="183" spans="110:111" ht="15" customHeight="1">
      <c r="DF183" s="1151" t="s">
        <v>843</v>
      </c>
      <c r="DG183" s="1151">
        <v>239128</v>
      </c>
    </row>
    <row r="184" spans="110:111" ht="15" customHeight="1">
      <c r="DF184" s="1151" t="s">
        <v>799</v>
      </c>
      <c r="DG184" s="1151">
        <v>230081</v>
      </c>
    </row>
    <row r="185" spans="110:111" ht="15" customHeight="1">
      <c r="DF185" s="1151" t="s">
        <v>823</v>
      </c>
      <c r="DG185" s="1151">
        <v>239125</v>
      </c>
    </row>
    <row r="186" spans="110:111" ht="15" customHeight="1">
      <c r="DF186" s="1050" t="s">
        <v>825</v>
      </c>
      <c r="DG186" s="1080">
        <v>230096</v>
      </c>
    </row>
    <row r="187" spans="110:111" ht="15" customHeight="1">
      <c r="DF187" s="1050" t="s">
        <v>827</v>
      </c>
      <c r="DG187" s="1080">
        <v>239127</v>
      </c>
    </row>
    <row r="188" spans="110:111" ht="15" customHeight="1">
      <c r="DF188" s="1050" t="s">
        <v>819</v>
      </c>
      <c r="DG188" s="1080">
        <v>230092</v>
      </c>
    </row>
    <row r="189" spans="110:111" ht="15" customHeight="1">
      <c r="DF189" s="1050" t="s">
        <v>824</v>
      </c>
      <c r="DG189" s="1080">
        <v>239125</v>
      </c>
    </row>
    <row r="190" spans="110:111" ht="15" customHeight="1">
      <c r="DF190" s="1050" t="s">
        <v>821</v>
      </c>
      <c r="DG190" s="1080">
        <v>230116</v>
      </c>
    </row>
    <row r="191" spans="110:111" ht="15" customHeight="1">
      <c r="DF191" s="1050" t="s">
        <v>826</v>
      </c>
      <c r="DG191" s="1080">
        <v>230115</v>
      </c>
    </row>
  </sheetData>
  <mergeCells count="12">
    <mergeCell ref="A1:O3"/>
    <mergeCell ref="AW1:BC1"/>
    <mergeCell ref="AG2:AI2"/>
    <mergeCell ref="P1:R1"/>
    <mergeCell ref="S1:T1"/>
    <mergeCell ref="X1:AA1"/>
    <mergeCell ref="R2:R3"/>
    <mergeCell ref="S2:T2"/>
    <mergeCell ref="U2:U3"/>
    <mergeCell ref="X2:X3"/>
    <mergeCell ref="Y2:Y3"/>
    <mergeCell ref="Z2:AB2"/>
  </mergeCells>
  <phoneticPr fontId="5"/>
  <conditionalFormatting sqref="AC4:AC113">
    <cfRule type="expression" dxfId="643" priority="2" stopIfTrue="1">
      <formula>AA4="女"</formula>
    </cfRule>
  </conditionalFormatting>
  <conditionalFormatting sqref="V4:V113">
    <cfRule type="expression" dxfId="642" priority="1" stopIfTrue="1">
      <formula>Y4="女"</formula>
    </cfRule>
  </conditionalFormatting>
  <dataValidations count="17">
    <dataValidation imeMode="hiragana" allowBlank="1" sqref="V1"/>
    <dataValidation imeMode="hiragana" allowBlank="1" showInputMessage="1" promptTitle="氏名の入力" prompt="姓と名の間は全角スペースを入力してください_x000a_例：　高橋　尚子" sqref="V4:V113"/>
    <dataValidation type="list" imeMode="hiragana" allowBlank="1" showInputMessage="1" errorTitle="不正な値" error="不正な値が入力されました" promptTitle="登録の種類" prompt="登録の種類には　継続　新規　追加　のいずれかを入力してください" sqref="U4:U113">
      <formula1>"継続,新規"</formula1>
    </dataValidation>
    <dataValidation imeMode="fullKatakana" allowBlank="1" showInputMessage="1" promptTitle="フリガナ" prompt="全角カタカナで入力して姓と名の間は全角1文字スペースを入力してください_x000a_例：タカハシ　ナオコ" sqref="W4:W113"/>
    <dataValidation imeMode="disabled" allowBlank="1" showInputMessage="1" showErrorMessage="1" prompt="1分**秒で入力して下さい_x000a_54秒00⇒0.54.00_x000a_" sqref="AY4:AY113"/>
    <dataValidation imeMode="disabled" allowBlank="1" showErrorMessage="1" sqref="AC1"/>
    <dataValidation imeMode="hiragana" allowBlank="1" showInputMessage="1" showErrorMessage="1" sqref="Y4:Y113 U1"/>
    <dataValidation errorStyle="warning" allowBlank="1" showErrorMessage="1" error="所属がない場合は直接入力して下さい_x000a_学校番号はエラーが出ますが無視して下さい" prompt="セレクトより選んで下さい_x000a_後は選手名を入力すれば記入されます" sqref="AD4"/>
    <dataValidation type="list" allowBlank="1" showInputMessage="1" showErrorMessage="1" sqref="AD3">
      <formula1>$AK$3:$AK$104</formula1>
    </dataValidation>
    <dataValidation allowBlank="1" showErrorMessage="1" sqref="X115:X65536"/>
    <dataValidation imeMode="hiragana" allowBlank="1" sqref="AF1:AF1048576"/>
    <dataValidation imeMode="disabled" allowBlank="1" sqref="AG4:AJ113 AE4:AE113"/>
    <dataValidation errorStyle="warning" allowBlank="1" showErrorMessage="1" error="所属がない場合は直接入力して下さい_x000a_学校番号はエラーが出ますが無視して下さい" prompt="セレクトより選んで下さい_x000a_後はセルをコピーして下さい" sqref="AD5:AD113"/>
    <dataValidation imeMode="disabled" allowBlank="1" showInputMessage="1" showErrorMessage="1" prompt="トラックはドットで、フィールドはmで区切って下さい。" sqref="AZ4:BL113 AW4:AX113"/>
    <dataValidation imeMode="disabled" allowBlank="1" showInputMessage="1" showErrorMessage="1" sqref="AM4:AV113 AC3:AC113 X4:X114 T4:T113 AD1:AE1 Z4:AB113 BM4:CU113"/>
    <dataValidation imeMode="disabled" allowBlank="1" showInputMessage="1" sqref="X1:AA1"/>
    <dataValidation imeMode="hiragana" allowBlank="1" showInputMessage="1" sqref="S1:T1"/>
  </dataValidations>
  <printOptions horizontalCentered="1"/>
  <pageMargins left="0.78740157480314965" right="0.59055118110236227" top="0.78740157480314965" bottom="0.78740157480314965" header="0.51181102362204722" footer="0.51181102362204722"/>
  <pageSetup paperSize="9" orientation="portrait" horizontalDpi="4294967292"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codeName="Sheet4"/>
  <dimension ref="A1:CW191"/>
  <sheetViews>
    <sheetView showGridLines="0" showZeros="0" zoomScaleNormal="100" workbookViewId="0">
      <selection activeCell="G1" sqref="G1"/>
    </sheetView>
  </sheetViews>
  <sheetFormatPr defaultRowHeight="15" customHeight="1"/>
  <cols>
    <col min="1" max="1" width="4.125" style="14" bestFit="1" customWidth="1"/>
    <col min="2" max="2" width="9.75" style="14" bestFit="1" customWidth="1"/>
    <col min="3" max="3" width="9" style="14"/>
    <col min="4" max="4" width="10.75" style="14" bestFit="1" customWidth="1"/>
    <col min="5" max="5" width="8.75" style="12" bestFit="1" customWidth="1"/>
    <col min="6" max="6" width="8.75" style="12" customWidth="1"/>
    <col min="7" max="7" width="14.125" style="4" customWidth="1"/>
    <col min="8" max="8" width="18.75" style="4" customWidth="1"/>
    <col min="9" max="9" width="5" style="75" bestFit="1" customWidth="1"/>
    <col min="10" max="10" width="5" style="13" bestFit="1" customWidth="1"/>
    <col min="11" max="12" width="5" style="1110" customWidth="1"/>
    <col min="13" max="13" width="3.125" style="1110" customWidth="1"/>
    <col min="14" max="14" width="5" style="13" hidden="1" customWidth="1"/>
    <col min="15" max="15" width="5" style="4" hidden="1" customWidth="1"/>
    <col min="16" max="16" width="7.5" style="76" hidden="1" customWidth="1"/>
    <col min="17" max="17" width="5.25" style="77" hidden="1" customWidth="1"/>
    <col min="18" max="18" width="5" style="1167" hidden="1" customWidth="1"/>
    <col min="19" max="19" width="2.5" style="5" hidden="1" customWidth="1"/>
    <col min="20" max="20" width="3.375" style="5" hidden="1" customWidth="1"/>
    <col min="21" max="21" width="5" style="14" hidden="1" customWidth="1"/>
    <col min="22" max="22" width="9.625" style="81" hidden="1" customWidth="1"/>
    <col min="23" max="23" width="7.125" style="14" hidden="1" customWidth="1"/>
    <col min="24" max="24" width="9.625" style="14" hidden="1" customWidth="1"/>
    <col min="25" max="25" width="2.25" style="14" hidden="1" customWidth="1"/>
    <col min="26" max="26" width="13.375" style="10" hidden="1" customWidth="1"/>
    <col min="27" max="27" width="10.625" style="14" hidden="1" customWidth="1"/>
    <col min="28" max="28" width="9.875" style="14" hidden="1" customWidth="1"/>
    <col min="29" max="29" width="12" style="14" hidden="1" customWidth="1"/>
    <col min="30" max="30" width="8.875" style="14" hidden="1" customWidth="1"/>
    <col min="31" max="31" width="8.75" style="14" hidden="1" customWidth="1"/>
    <col min="32" max="32" width="7.375" style="14" hidden="1" customWidth="1"/>
    <col min="33" max="33" width="8.125" style="14" hidden="1" customWidth="1"/>
    <col min="34" max="34" width="5.75" style="14" customWidth="1"/>
    <col min="35" max="36" width="5.875" style="14" bestFit="1" customWidth="1"/>
    <col min="37" max="39" width="7.5" style="14" bestFit="1" customWidth="1"/>
    <col min="40" max="40" width="7.5" style="14" customWidth="1"/>
    <col min="41" max="41" width="5.875" style="14" customWidth="1"/>
    <col min="42" max="42" width="5.75" style="14" customWidth="1"/>
    <col min="43" max="44" width="6.25" style="14" bestFit="1" customWidth="1"/>
    <col min="45" max="48" width="6.25" style="14" customWidth="1"/>
    <col min="49" max="49" width="8.375" style="14" bestFit="1" customWidth="1"/>
    <col min="50" max="50" width="9.625" style="14" customWidth="1"/>
    <col min="51" max="51" width="5.875" style="684" hidden="1" customWidth="1"/>
    <col min="52" max="53" width="10" style="684" hidden="1" customWidth="1"/>
    <col min="54" max="54" width="5.875" style="684" hidden="1" customWidth="1"/>
    <col min="55" max="55" width="6.625" style="684" hidden="1" customWidth="1"/>
    <col min="56" max="56" width="7.5" style="684" hidden="1" customWidth="1"/>
    <col min="57" max="57" width="6.625" style="684" hidden="1" customWidth="1"/>
    <col min="58" max="58" width="7.5" style="684" hidden="1" customWidth="1"/>
    <col min="59" max="59" width="6.625" style="684" hidden="1" customWidth="1"/>
    <col min="60" max="60" width="5.875" style="684" hidden="1" customWidth="1"/>
    <col min="61" max="61" width="0.125" style="684" hidden="1" customWidth="1"/>
    <col min="62" max="63" width="6.625" style="684" hidden="1" customWidth="1"/>
    <col min="64" max="65" width="8.375" style="684" hidden="1" customWidth="1"/>
    <col min="66" max="66" width="7.625" style="684" hidden="1" customWidth="1"/>
    <col min="67" max="67" width="9.25" style="684" hidden="1" customWidth="1"/>
    <col min="68" max="68" width="7.5" style="684" hidden="1" customWidth="1"/>
    <col min="69" max="69" width="10.25" style="684" hidden="1" customWidth="1"/>
    <col min="70" max="70" width="8.375" style="684" hidden="1" customWidth="1"/>
    <col min="71" max="71" width="9.125" style="684" hidden="1" customWidth="1"/>
    <col min="72" max="72" width="8.625" style="684" hidden="1" customWidth="1"/>
    <col min="73" max="73" width="7.875" style="684" hidden="1" customWidth="1"/>
    <col min="74" max="74" width="5.5" style="684" hidden="1" customWidth="1"/>
    <col min="75" max="75" width="5.375" style="684" hidden="1" customWidth="1"/>
    <col min="76" max="76" width="2.75" style="684" hidden="1" customWidth="1"/>
    <col min="77" max="77" width="8.375" style="684" hidden="1" customWidth="1"/>
    <col min="78" max="78" width="6.75" style="684" hidden="1" customWidth="1"/>
    <col min="79" max="79" width="8.375" style="684" hidden="1" customWidth="1"/>
    <col min="80" max="80" width="11" style="684" hidden="1" customWidth="1"/>
    <col min="81" max="81" width="5.125" style="684" hidden="1" customWidth="1"/>
    <col min="82" max="83" width="11" style="684" hidden="1" customWidth="1"/>
    <col min="84" max="84" width="12.375" style="684" hidden="1" customWidth="1"/>
    <col min="85" max="85" width="6.5" style="14" hidden="1" customWidth="1"/>
    <col min="86" max="86" width="7.875" style="658" hidden="1" customWidth="1"/>
    <col min="87" max="87" width="5.375" style="658" hidden="1" customWidth="1"/>
    <col min="88" max="88" width="3.125" style="658" hidden="1" customWidth="1"/>
    <col min="89" max="89" width="7.375" style="658" hidden="1" customWidth="1"/>
    <col min="90" max="90" width="6.125" style="658" hidden="1" customWidth="1"/>
    <col min="91" max="91" width="5.375" style="657" hidden="1" customWidth="1"/>
    <col min="92" max="92" width="2.5" style="14" hidden="1" customWidth="1"/>
    <col min="93" max="93" width="3.375" style="626" hidden="1" customWidth="1"/>
    <col min="94" max="94" width="5" style="626" hidden="1" customWidth="1"/>
    <col min="95" max="95" width="11.875" style="1050" hidden="1" customWidth="1"/>
    <col min="96" max="96" width="6.625" style="1080" hidden="1" customWidth="1"/>
    <col min="97" max="97" width="9.625" style="1080" hidden="1" customWidth="1"/>
    <col min="98" max="98" width="13.375" style="14" hidden="1" customWidth="1"/>
    <col min="99" max="99" width="10.5" style="14" hidden="1" customWidth="1"/>
    <col min="100" max="16384" width="9" style="14"/>
  </cols>
  <sheetData>
    <row r="1" spans="1:101" ht="58.5" customHeight="1" thickBot="1">
      <c r="A1" s="1422" t="s">
        <v>1216</v>
      </c>
      <c r="B1" s="1403"/>
      <c r="C1" s="1404"/>
      <c r="D1" s="1426"/>
      <c r="E1" s="1427"/>
      <c r="F1" s="1111" t="s">
        <v>1214</v>
      </c>
      <c r="G1" s="1207"/>
      <c r="H1" s="1010" t="s">
        <v>746</v>
      </c>
      <c r="I1" s="1423"/>
      <c r="J1" s="1424"/>
      <c r="K1" s="1424"/>
      <c r="L1" s="1425"/>
      <c r="M1" s="1106"/>
      <c r="N1" s="1008"/>
      <c r="O1" s="1015"/>
      <c r="P1" s="1015"/>
      <c r="Q1" s="1009"/>
      <c r="V1" s="1012"/>
      <c r="W1" s="1011"/>
      <c r="X1" s="1011"/>
      <c r="Y1" s="1011"/>
      <c r="Z1" s="1013"/>
      <c r="AA1" s="1011"/>
      <c r="AB1" s="1014"/>
      <c r="AC1" s="1014"/>
      <c r="AD1" s="1011"/>
      <c r="AE1" s="1011"/>
      <c r="AF1" s="1011"/>
      <c r="AG1" s="520" t="s">
        <v>415</v>
      </c>
      <c r="AH1" s="1401" t="s">
        <v>846</v>
      </c>
      <c r="AI1" s="1401"/>
      <c r="AJ1" s="1401"/>
      <c r="AK1" s="1401"/>
      <c r="AL1" s="1401"/>
      <c r="AM1" s="1401"/>
      <c r="AN1" s="1401"/>
      <c r="AO1" s="1011"/>
      <c r="AP1" s="1011"/>
      <c r="AQ1" s="1011"/>
      <c r="AR1" s="1011"/>
      <c r="AS1" s="1011"/>
      <c r="AT1" s="1011"/>
      <c r="AU1" s="1011"/>
      <c r="AV1" s="1011"/>
      <c r="AW1" s="1011"/>
      <c r="AX1" s="1011"/>
    </row>
    <row r="2" spans="1:101" s="5" customFormat="1" ht="18.75" customHeight="1">
      <c r="A2" s="1016"/>
      <c r="B2" s="1091"/>
      <c r="C2" s="1410"/>
      <c r="D2" s="1412" t="s">
        <v>771</v>
      </c>
      <c r="E2" s="1413"/>
      <c r="F2" s="1414"/>
      <c r="G2" s="1092" t="s">
        <v>465</v>
      </c>
      <c r="H2" s="1092" t="s">
        <v>772</v>
      </c>
      <c r="I2" s="1416" t="s">
        <v>203</v>
      </c>
      <c r="J2" s="1418" t="s">
        <v>682</v>
      </c>
      <c r="K2" s="1420" t="s">
        <v>773</v>
      </c>
      <c r="L2" s="1420"/>
      <c r="M2" s="1421"/>
      <c r="N2" s="764"/>
      <c r="O2" s="1048" t="s">
        <v>31</v>
      </c>
      <c r="P2" s="1049" t="s">
        <v>164</v>
      </c>
      <c r="Q2" s="1161" t="s">
        <v>27</v>
      </c>
      <c r="R2" s="1402"/>
      <c r="S2" s="1402"/>
      <c r="T2" s="1402"/>
      <c r="V2" s="80"/>
      <c r="X2" s="520"/>
      <c r="Y2" s="520"/>
      <c r="Z2" s="520"/>
      <c r="AA2" s="520"/>
      <c r="AB2" s="521"/>
      <c r="AC2" s="521"/>
      <c r="AD2" s="520"/>
      <c r="AE2" s="520"/>
      <c r="AF2" s="520"/>
      <c r="AG2" s="5" t="s">
        <v>416</v>
      </c>
      <c r="AH2" s="632" t="s">
        <v>709</v>
      </c>
      <c r="AI2" s="633"/>
      <c r="AJ2" s="633"/>
      <c r="AK2" s="633"/>
      <c r="AL2" s="633"/>
      <c r="AM2" s="633"/>
      <c r="AN2" s="633"/>
      <c r="AO2" s="633"/>
      <c r="AP2" s="633"/>
      <c r="AQ2" s="633"/>
      <c r="AR2" s="633"/>
      <c r="AS2" s="633"/>
      <c r="AT2" s="633"/>
      <c r="AU2" s="633"/>
      <c r="AV2" s="633"/>
      <c r="AW2" s="633"/>
      <c r="AX2" s="744" t="s">
        <v>700</v>
      </c>
      <c r="AY2" s="685"/>
      <c r="AZ2" s="685"/>
      <c r="BA2" s="685"/>
      <c r="BB2" s="685"/>
      <c r="BC2" s="687"/>
      <c r="BD2" s="687"/>
      <c r="BE2" s="687"/>
      <c r="BF2" s="687"/>
      <c r="BG2" s="687"/>
      <c r="BH2" s="687"/>
      <c r="BI2" s="687"/>
      <c r="BJ2" s="687"/>
      <c r="BK2" s="687"/>
      <c r="BL2" s="687"/>
      <c r="BM2" s="687"/>
      <c r="BN2" s="687"/>
      <c r="BO2" s="687"/>
      <c r="BP2" s="687"/>
      <c r="BQ2" s="687"/>
      <c r="BR2" s="687"/>
      <c r="BS2" s="687"/>
      <c r="BT2" s="687"/>
      <c r="BU2" s="687"/>
      <c r="BV2" s="687"/>
      <c r="BW2" s="687"/>
      <c r="BX2" s="687"/>
      <c r="BY2" s="687"/>
      <c r="BZ2" s="687"/>
      <c r="CA2" s="687"/>
      <c r="CB2" s="687"/>
      <c r="CC2" s="687"/>
      <c r="CD2" s="687"/>
      <c r="CE2" s="687"/>
      <c r="CF2" s="687"/>
      <c r="CH2" s="658"/>
      <c r="CI2" s="658"/>
      <c r="CJ2" s="658"/>
      <c r="CK2" s="658"/>
      <c r="CL2" s="658"/>
      <c r="CM2" s="657"/>
      <c r="CO2" s="1029"/>
      <c r="CP2" s="1029"/>
      <c r="CQ2" s="1050"/>
      <c r="CR2" s="1080"/>
      <c r="CS2" s="1080"/>
    </row>
    <row r="3" spans="1:101" s="5" customFormat="1" ht="29.25" customHeight="1" thickBot="1">
      <c r="A3" s="1017"/>
      <c r="B3" s="1075"/>
      <c r="C3" s="1411"/>
      <c r="D3" s="1254" t="s">
        <v>1062</v>
      </c>
      <c r="E3" s="1076" t="s">
        <v>774</v>
      </c>
      <c r="F3" s="1415"/>
      <c r="G3" s="1077" t="s">
        <v>775</v>
      </c>
      <c r="H3" s="1078" t="s">
        <v>776</v>
      </c>
      <c r="I3" s="1417"/>
      <c r="J3" s="1419"/>
      <c r="K3" s="1107" t="s">
        <v>777</v>
      </c>
      <c r="L3" s="1108" t="s">
        <v>390</v>
      </c>
      <c r="M3" s="1109" t="s">
        <v>391</v>
      </c>
      <c r="N3" s="1185"/>
      <c r="O3" s="710" t="s">
        <v>423</v>
      </c>
      <c r="P3" s="522"/>
      <c r="Q3" s="1162" t="s">
        <v>423</v>
      </c>
      <c r="R3" s="1167"/>
      <c r="V3" s="15"/>
      <c r="X3" s="520"/>
      <c r="Y3" s="520"/>
      <c r="Z3" s="520"/>
      <c r="AA3" s="520"/>
      <c r="AB3" s="521"/>
      <c r="AC3" s="521"/>
      <c r="AD3" s="520"/>
      <c r="AE3" s="520"/>
      <c r="AF3" s="520"/>
      <c r="AH3" s="716" t="s">
        <v>1106</v>
      </c>
      <c r="AI3" s="717" t="s">
        <v>1107</v>
      </c>
      <c r="AJ3" s="717" t="s">
        <v>1108</v>
      </c>
      <c r="AK3" s="718" t="s">
        <v>1109</v>
      </c>
      <c r="AL3" s="718" t="s">
        <v>1110</v>
      </c>
      <c r="AM3" s="718" t="s">
        <v>1111</v>
      </c>
      <c r="AN3" s="718" t="s">
        <v>1112</v>
      </c>
      <c r="AO3" s="718" t="s">
        <v>1104</v>
      </c>
      <c r="AP3" s="718" t="s">
        <v>1105</v>
      </c>
      <c r="AQ3" s="718" t="s">
        <v>690</v>
      </c>
      <c r="AR3" s="718" t="s">
        <v>684</v>
      </c>
      <c r="AS3" s="718" t="s">
        <v>685</v>
      </c>
      <c r="AT3" s="718" t="s">
        <v>686</v>
      </c>
      <c r="AU3" s="718" t="s">
        <v>687</v>
      </c>
      <c r="AV3" s="718" t="s">
        <v>688</v>
      </c>
      <c r="AW3" s="740" t="s">
        <v>689</v>
      </c>
      <c r="AX3" s="745" t="s">
        <v>699</v>
      </c>
      <c r="AY3" s="720" t="s">
        <v>1148</v>
      </c>
      <c r="AZ3" s="719" t="s">
        <v>1128</v>
      </c>
      <c r="BA3" s="719" t="s">
        <v>1149</v>
      </c>
      <c r="BB3" s="719" t="s">
        <v>1130</v>
      </c>
      <c r="BC3" s="720" t="s">
        <v>1150</v>
      </c>
      <c r="BD3" s="719" t="s">
        <v>1151</v>
      </c>
      <c r="BE3" s="719" t="s">
        <v>1152</v>
      </c>
      <c r="BF3" s="719" t="s">
        <v>1153</v>
      </c>
      <c r="BG3" s="719" t="s">
        <v>1154</v>
      </c>
      <c r="BH3" s="719" t="s">
        <v>1168</v>
      </c>
      <c r="BI3" s="719" t="s">
        <v>1169</v>
      </c>
      <c r="BJ3" s="719" t="s">
        <v>1170</v>
      </c>
      <c r="BK3" s="719" t="s">
        <v>1188</v>
      </c>
      <c r="BL3" s="719" t="s">
        <v>1172</v>
      </c>
      <c r="BM3" s="719" t="s">
        <v>1173</v>
      </c>
      <c r="BN3" s="719" t="s">
        <v>1190</v>
      </c>
      <c r="BO3" s="719" t="s">
        <v>1192</v>
      </c>
      <c r="BP3" s="719" t="s">
        <v>1193</v>
      </c>
      <c r="BQ3" s="719" t="s">
        <v>1174</v>
      </c>
      <c r="BR3" s="719" t="s">
        <v>1175</v>
      </c>
      <c r="BS3" s="719" t="s">
        <v>1194</v>
      </c>
      <c r="BT3" s="719" t="s">
        <v>1177</v>
      </c>
      <c r="BU3" s="719" t="s">
        <v>1195</v>
      </c>
      <c r="BV3" s="719" t="s">
        <v>1184</v>
      </c>
      <c r="BW3" s="719" t="s">
        <v>1181</v>
      </c>
      <c r="BX3" s="719" t="s">
        <v>1178</v>
      </c>
      <c r="BY3" s="719" t="s">
        <v>1180</v>
      </c>
      <c r="BZ3" s="719" t="s">
        <v>1094</v>
      </c>
      <c r="CA3" s="719" t="s">
        <v>1179</v>
      </c>
      <c r="CB3" s="719" t="s">
        <v>1113</v>
      </c>
      <c r="CC3" s="719" t="s">
        <v>1167</v>
      </c>
      <c r="CD3" s="721" t="s">
        <v>327</v>
      </c>
      <c r="CE3" s="721" t="s">
        <v>708</v>
      </c>
      <c r="CF3" s="711" t="s">
        <v>761</v>
      </c>
      <c r="CG3" s="5" t="s">
        <v>715</v>
      </c>
      <c r="CH3" s="659" t="s">
        <v>702</v>
      </c>
      <c r="CI3" s="659" t="s">
        <v>703</v>
      </c>
      <c r="CJ3" s="659" t="s">
        <v>704</v>
      </c>
      <c r="CK3" s="659" t="s">
        <v>705</v>
      </c>
      <c r="CL3" s="659" t="s">
        <v>704</v>
      </c>
      <c r="CM3" s="82"/>
      <c r="CN3" s="620"/>
      <c r="CO3" s="1029"/>
      <c r="CP3" s="1029"/>
      <c r="CQ3" s="1050"/>
      <c r="CR3" s="1080"/>
      <c r="CS3" s="1080"/>
    </row>
    <row r="4" spans="1:101" ht="15" customHeight="1">
      <c r="A4" s="1093">
        <v>1</v>
      </c>
      <c r="B4" s="1372"/>
      <c r="C4" s="1373"/>
      <c r="D4" s="1252"/>
      <c r="E4" s="1192"/>
      <c r="F4" s="1380"/>
      <c r="G4" s="1193"/>
      <c r="H4" s="1194"/>
      <c r="I4" s="1195"/>
      <c r="J4" s="1196"/>
      <c r="K4" s="1197"/>
      <c r="L4" s="1197"/>
      <c r="M4" s="1198"/>
      <c r="N4" s="1186" t="str">
        <f>CONCATENATE(L4,M4)</f>
        <v/>
      </c>
      <c r="O4" s="1189">
        <f>G1</f>
        <v>0</v>
      </c>
      <c r="P4" s="523" t="e">
        <f>IF(O4="","",VLOOKUP(O4,所属コード!$A$2:$E$189,2,FALSE))</f>
        <v>#N/A</v>
      </c>
      <c r="Q4" s="1163" t="e">
        <f>IF(O4="","",VLOOKUP(O4,所属コード!$A$2:$G$189,7,FALSE))</f>
        <v>#N/A</v>
      </c>
      <c r="R4" s="1166"/>
      <c r="S4" s="77"/>
      <c r="T4" s="77"/>
      <c r="U4" s="77"/>
      <c r="V4" s="15"/>
      <c r="X4" s="616"/>
      <c r="Y4" s="1090" t="str">
        <f>IF(J4="","",IF(J4="男",1,2))</f>
        <v/>
      </c>
      <c r="Z4" s="618" t="str">
        <f>ASC(H4)</f>
        <v/>
      </c>
      <c r="AA4" s="617" t="s">
        <v>415</v>
      </c>
      <c r="AB4" s="619"/>
      <c r="AC4" s="619"/>
      <c r="AD4" s="617"/>
      <c r="AE4" s="617"/>
      <c r="AF4" s="617"/>
      <c r="AG4" s="620"/>
      <c r="AH4" s="722"/>
      <c r="AI4" s="723"/>
      <c r="AJ4" s="723"/>
      <c r="AK4" s="723"/>
      <c r="AL4" s="723"/>
      <c r="AM4" s="723"/>
      <c r="AN4" s="723"/>
      <c r="AO4" s="723"/>
      <c r="AP4" s="723"/>
      <c r="AQ4" s="723"/>
      <c r="AR4" s="723"/>
      <c r="AS4" s="723"/>
      <c r="AT4" s="723"/>
      <c r="AU4" s="723"/>
      <c r="AV4" s="723"/>
      <c r="AW4" s="741"/>
      <c r="AX4" s="746">
        <f>AQ4</f>
        <v>0</v>
      </c>
      <c r="AY4" s="737">
        <f t="shared" ref="AY4:AY35" si="0">AO4</f>
        <v>0</v>
      </c>
      <c r="AZ4" s="724">
        <f t="shared" ref="AZ4:AZ35" si="1">AO4</f>
        <v>0</v>
      </c>
      <c r="BA4" s="725">
        <f t="shared" ref="BA4:BA35" si="2">AO4</f>
        <v>0</v>
      </c>
      <c r="BB4" s="724">
        <f t="shared" ref="BB4:BB35" si="3">AP4</f>
        <v>0</v>
      </c>
      <c r="BC4" s="724">
        <f>AH4</f>
        <v>0</v>
      </c>
      <c r="BD4" s="724">
        <f>AL4</f>
        <v>0</v>
      </c>
      <c r="BE4" s="724">
        <f>AH4</f>
        <v>0</v>
      </c>
      <c r="BF4" s="724">
        <f>AL4</f>
        <v>0</v>
      </c>
      <c r="BG4" s="724">
        <f>AK4</f>
        <v>0</v>
      </c>
      <c r="BH4" s="724">
        <f>AH4</f>
        <v>0</v>
      </c>
      <c r="BI4" s="724">
        <f>AI4</f>
        <v>0</v>
      </c>
      <c r="BJ4" s="724">
        <f>AN4</f>
        <v>0</v>
      </c>
      <c r="BK4" s="724">
        <f>AO4</f>
        <v>0</v>
      </c>
      <c r="BL4" s="724">
        <f>AQ4</f>
        <v>0</v>
      </c>
      <c r="BM4" s="724">
        <f>AU4</f>
        <v>0</v>
      </c>
      <c r="BN4" s="724">
        <f>AV4</f>
        <v>0</v>
      </c>
      <c r="BO4" s="724">
        <f>AW4</f>
        <v>0</v>
      </c>
      <c r="BP4" s="724">
        <f>AP4</f>
        <v>0</v>
      </c>
      <c r="BQ4" s="724">
        <f>AH4</f>
        <v>0</v>
      </c>
      <c r="BR4" s="724">
        <f>AL4</f>
        <v>0</v>
      </c>
      <c r="BS4" s="724">
        <f>AO4</f>
        <v>0</v>
      </c>
      <c r="BT4" s="724">
        <f>AS4</f>
        <v>0</v>
      </c>
      <c r="BU4" s="724">
        <f>AP4</f>
        <v>0</v>
      </c>
      <c r="BV4" s="724">
        <f>AK4</f>
        <v>0</v>
      </c>
      <c r="BW4" s="724">
        <f>AU4</f>
        <v>0</v>
      </c>
      <c r="BX4" s="724">
        <f>AH4</f>
        <v>0</v>
      </c>
      <c r="BY4" s="724">
        <f>AL4</f>
        <v>0</v>
      </c>
      <c r="BZ4" s="724">
        <f>AS4</f>
        <v>0</v>
      </c>
      <c r="CA4" s="724">
        <f>AS4</f>
        <v>0</v>
      </c>
      <c r="CB4" s="724">
        <f>AU4</f>
        <v>0</v>
      </c>
      <c r="CC4" s="724">
        <f>AH4</f>
        <v>0</v>
      </c>
      <c r="CD4" s="724">
        <f>AM4</f>
        <v>0</v>
      </c>
      <c r="CE4" s="724">
        <f>AN4</f>
        <v>0</v>
      </c>
      <c r="CF4" s="726">
        <f>AU4</f>
        <v>0</v>
      </c>
      <c r="CG4" s="692" t="str">
        <f>TRIM(G4)</f>
        <v/>
      </c>
      <c r="CH4" s="659" t="str">
        <f>IF(CG4="","",LEN(CG4))</f>
        <v/>
      </c>
      <c r="CI4" s="659" t="str">
        <f>IF(CG4="","",FIND("　",CG4,1))</f>
        <v/>
      </c>
      <c r="CJ4" s="659" t="str">
        <f>IF(CG4="","",CH4-CI4)</f>
        <v/>
      </c>
      <c r="CK4" s="659" t="str">
        <f>IF(CG4="","",LEFT(CG4,CI4-1))</f>
        <v/>
      </c>
      <c r="CL4" s="659" t="str">
        <f>IF(CG4="","",RIGHT(CG4,CJ4))</f>
        <v/>
      </c>
      <c r="CM4" s="82" t="str">
        <f>IF(CG4="","",IF(CH4=4,CONCATENATE(CK4,"　","　",CL4),IF(CH4=6,CONCATENATE(CK4,CL4),CG4)))</f>
        <v/>
      </c>
      <c r="CN4" s="625" t="str">
        <f t="shared" ref="CN4:CN35" si="4">IF(I4="3",3,IF(I4="2",2,IF(I4="1",1,IF(I4=1,1,IF(I4=2,2,IF(I4=3,3,""))))))</f>
        <v/>
      </c>
      <c r="CO4" s="625" t="str">
        <f>IF(M4&lt;10,CONCATENATE(0,M4),M4)</f>
        <v>0</v>
      </c>
      <c r="CP4" s="620">
        <f>K4</f>
        <v>0</v>
      </c>
      <c r="CQ4" s="692" t="s">
        <v>10</v>
      </c>
      <c r="CR4" s="625">
        <v>235001</v>
      </c>
      <c r="CS4" s="625">
        <f>IF(L4=1,"01",IF(L4=2,"02",IF(L4=3,"03",IF(L4=4,"04",IF(L4=5,"05",IF(L4=6,"06",IF(L4=7,"07",IF(L4=8,"08",IF(L4=9,"09",L4)))))))))</f>
        <v>0</v>
      </c>
      <c r="CT4" s="625">
        <f>IF(M4=1,"01",IF(M4=2,"02",IF(M4=3,"03",IF(M4=4,"04",IF(M4=5,"05",IF(M4=6,"06",IF(M4=7,"07",IF(M4=8,"08",IF(M4=9,"09",M4)))))))))</f>
        <v>0</v>
      </c>
      <c r="CU4" s="626" t="str">
        <f>CONCATENATE(CS4,CT4)</f>
        <v>00</v>
      </c>
      <c r="CV4" s="626"/>
      <c r="CW4" s="626"/>
    </row>
    <row r="5" spans="1:101" ht="15" customHeight="1">
      <c r="A5" s="1094">
        <v>2</v>
      </c>
      <c r="B5" s="1374"/>
      <c r="C5" s="1375"/>
      <c r="D5" s="1253"/>
      <c r="E5" s="1199"/>
      <c r="F5" s="1381"/>
      <c r="G5" s="1200"/>
      <c r="H5" s="1201"/>
      <c r="I5" s="1202"/>
      <c r="J5" s="1203"/>
      <c r="K5" s="1204"/>
      <c r="L5" s="1204"/>
      <c r="M5" s="1205"/>
      <c r="N5" s="1187" t="str">
        <f t="shared" ref="N5:N68" si="5">CONCATENATE(L5,M5)</f>
        <v/>
      </c>
      <c r="O5" s="1190" t="str">
        <f>IF(G5="","",$O$4)</f>
        <v/>
      </c>
      <c r="P5" s="525" t="str">
        <f>IF(G5="","",$P$4)</f>
        <v/>
      </c>
      <c r="Q5" s="1164" t="str">
        <f>IF(G5="","",$Q$4)</f>
        <v/>
      </c>
      <c r="R5" s="1166"/>
      <c r="S5" s="77"/>
      <c r="T5" s="77"/>
      <c r="U5" s="77"/>
      <c r="V5" s="15"/>
      <c r="X5" s="621"/>
      <c r="Y5" s="1090" t="str">
        <f t="shared" ref="Y5:Y68" si="6">IF(J5="","",IF(J5="男",1,2))</f>
        <v/>
      </c>
      <c r="Z5" s="618" t="str">
        <f t="shared" ref="Z5:Z68" si="7">ASC(H5)</f>
        <v/>
      </c>
      <c r="AA5" s="617" t="s">
        <v>416</v>
      </c>
      <c r="AB5" s="617"/>
      <c r="AC5" s="617"/>
      <c r="AD5" s="617"/>
      <c r="AE5" s="617"/>
      <c r="AF5" s="617"/>
      <c r="AG5" s="620"/>
      <c r="AH5" s="727"/>
      <c r="AI5" s="728"/>
      <c r="AJ5" s="728"/>
      <c r="AK5" s="728"/>
      <c r="AL5" s="728"/>
      <c r="AM5" s="728"/>
      <c r="AN5" s="728"/>
      <c r="AO5" s="728"/>
      <c r="AP5" s="728"/>
      <c r="AQ5" s="728"/>
      <c r="AR5" s="728"/>
      <c r="AS5" s="728"/>
      <c r="AT5" s="728"/>
      <c r="AU5" s="728"/>
      <c r="AV5" s="728"/>
      <c r="AW5" s="742"/>
      <c r="AX5" s="747">
        <f t="shared" ref="AX5:AX68" si="8">AQ5</f>
        <v>0</v>
      </c>
      <c r="AY5" s="738">
        <f t="shared" si="0"/>
        <v>0</v>
      </c>
      <c r="AZ5" s="729">
        <f t="shared" si="1"/>
        <v>0</v>
      </c>
      <c r="BA5" s="730">
        <f t="shared" si="2"/>
        <v>0</v>
      </c>
      <c r="BB5" s="729">
        <f t="shared" si="3"/>
        <v>0</v>
      </c>
      <c r="BC5" s="729">
        <f t="shared" ref="BC5:BC68" si="9">AH5</f>
        <v>0</v>
      </c>
      <c r="BD5" s="729">
        <f t="shared" ref="BD5:BD68" si="10">AL5</f>
        <v>0</v>
      </c>
      <c r="BE5" s="729">
        <f t="shared" ref="BE5:BE68" si="11">AH5</f>
        <v>0</v>
      </c>
      <c r="BF5" s="729">
        <f t="shared" ref="BF5:BF68" si="12">AL5</f>
        <v>0</v>
      </c>
      <c r="BG5" s="729">
        <f t="shared" ref="BG5:BG68" si="13">AK5</f>
        <v>0</v>
      </c>
      <c r="BH5" s="729">
        <f t="shared" ref="BH5:BH68" si="14">AH5</f>
        <v>0</v>
      </c>
      <c r="BI5" s="729">
        <f t="shared" ref="BI5:BI68" si="15">AI5</f>
        <v>0</v>
      </c>
      <c r="BJ5" s="729">
        <f t="shared" ref="BJ5:BJ68" si="16">AN5</f>
        <v>0</v>
      </c>
      <c r="BK5" s="729">
        <f t="shared" ref="BK5:BK68" si="17">AO5</f>
        <v>0</v>
      </c>
      <c r="BL5" s="729">
        <f t="shared" ref="BL5:BL68" si="18">AQ5</f>
        <v>0</v>
      </c>
      <c r="BM5" s="729">
        <f t="shared" ref="BM5:BM68" si="19">AU5</f>
        <v>0</v>
      </c>
      <c r="BN5" s="729">
        <f t="shared" ref="BN5:BN68" si="20">AV5</f>
        <v>0</v>
      </c>
      <c r="BO5" s="729">
        <f t="shared" ref="BO5:BO68" si="21">AW5</f>
        <v>0</v>
      </c>
      <c r="BP5" s="729">
        <f t="shared" ref="BP5:BP68" si="22">AP5</f>
        <v>0</v>
      </c>
      <c r="BQ5" s="729">
        <f t="shared" ref="BQ5:BQ68" si="23">AH5</f>
        <v>0</v>
      </c>
      <c r="BR5" s="729">
        <f t="shared" ref="BR5:BR68" si="24">AL5</f>
        <v>0</v>
      </c>
      <c r="BS5" s="729">
        <f t="shared" ref="BS5:BS68" si="25">AO5</f>
        <v>0</v>
      </c>
      <c r="BT5" s="729">
        <f t="shared" ref="BT5:BT68" si="26">AS5</f>
        <v>0</v>
      </c>
      <c r="BU5" s="729">
        <f t="shared" ref="BU5:BU68" si="27">AP5</f>
        <v>0</v>
      </c>
      <c r="BV5" s="729">
        <f t="shared" ref="BV5:BV68" si="28">AK5</f>
        <v>0</v>
      </c>
      <c r="BW5" s="729">
        <f t="shared" ref="BW5:BW68" si="29">AU5</f>
        <v>0</v>
      </c>
      <c r="BX5" s="729">
        <f t="shared" ref="BX5:BX68" si="30">AH5</f>
        <v>0</v>
      </c>
      <c r="BY5" s="729">
        <f t="shared" ref="BY5:BY68" si="31">AL5</f>
        <v>0</v>
      </c>
      <c r="BZ5" s="729">
        <f t="shared" ref="BZ5:BZ68" si="32">AS5</f>
        <v>0</v>
      </c>
      <c r="CA5" s="729">
        <f t="shared" ref="CA5:CA68" si="33">AS5</f>
        <v>0</v>
      </c>
      <c r="CB5" s="729">
        <f t="shared" ref="CB5:CB68" si="34">AU5</f>
        <v>0</v>
      </c>
      <c r="CC5" s="729">
        <f t="shared" ref="CC5:CC68" si="35">AH5</f>
        <v>0</v>
      </c>
      <c r="CD5" s="729">
        <f t="shared" ref="CD5:CD68" si="36">AM5</f>
        <v>0</v>
      </c>
      <c r="CE5" s="729">
        <f t="shared" ref="CE5:CE68" si="37">AN5</f>
        <v>0</v>
      </c>
      <c r="CF5" s="731">
        <f t="shared" ref="CF5:CF68" si="38">AU5</f>
        <v>0</v>
      </c>
      <c r="CG5" s="692" t="str">
        <f t="shared" ref="CG5:CG68" si="39">TRIM(G5)</f>
        <v/>
      </c>
      <c r="CH5" s="659" t="str">
        <f t="shared" ref="CH5:CH68" si="40">IF(CG5="","",LEN(CG5))</f>
        <v/>
      </c>
      <c r="CI5" s="659" t="str">
        <f t="shared" ref="CI5:CI68" si="41">IF(CG5="","",FIND("　",CG5,1))</f>
        <v/>
      </c>
      <c r="CJ5" s="659" t="str">
        <f t="shared" ref="CJ5:CJ68" si="42">IF(CG5="","",CH5-CI5)</f>
        <v/>
      </c>
      <c r="CK5" s="659" t="str">
        <f t="shared" ref="CK5:CK68" si="43">IF(CG5="","",LEFT(CG5,CI5-1))</f>
        <v/>
      </c>
      <c r="CL5" s="659" t="str">
        <f t="shared" ref="CL5:CL68" si="44">IF(CG5="","",RIGHT(CG5,CJ5))</f>
        <v/>
      </c>
      <c r="CM5" s="82" t="str">
        <f t="shared" ref="CM5:CM68" si="45">IF(CG5="","",IF(CH5=4,CONCATENATE(CK5,"　","　",CL5),IF(CH5=6,CONCATENATE(CK5,CL5),CG5)))</f>
        <v/>
      </c>
      <c r="CN5" s="625" t="str">
        <f t="shared" si="4"/>
        <v/>
      </c>
      <c r="CO5" s="625" t="str">
        <f t="shared" ref="CO5:CO13" si="46">IF(M5&lt;10,CONCATENATE(0,M5),M5)</f>
        <v>0</v>
      </c>
      <c r="CP5" s="620">
        <f t="shared" ref="CP5:CP68" si="47">K5</f>
        <v>0</v>
      </c>
      <c r="CQ5" s="692" t="s">
        <v>39</v>
      </c>
      <c r="CR5" s="625">
        <v>235002</v>
      </c>
      <c r="CS5" s="625">
        <f t="shared" ref="CS5:CS68" si="48">IF(L5=1,"01",IF(L5=2,"02",IF(L5=3,"03",IF(L5=4,"04",IF(L5=5,"05",IF(L5=6,"06",IF(L5=7,"07",IF(L5=8,"08",IF(L5=9,"09",L5)))))))))</f>
        <v>0</v>
      </c>
      <c r="CT5" s="625">
        <f t="shared" ref="CT5:CT68" si="49">IF(M5=1,"01",IF(M5=2,"02",IF(M5=3,"03",IF(M5=4,"04",IF(M5=5,"05",IF(M5=6,"06",IF(M5=7,"07",IF(M5=8,"08",IF(M5=9,"09",M5)))))))))</f>
        <v>0</v>
      </c>
      <c r="CU5" s="626" t="str">
        <f t="shared" ref="CU5:CU68" si="50">CONCATENATE(CS5,CT5)</f>
        <v>00</v>
      </c>
      <c r="CV5" s="626"/>
      <c r="CW5" s="626"/>
    </row>
    <row r="6" spans="1:101" ht="15" customHeight="1">
      <c r="A6" s="1094">
        <v>3</v>
      </c>
      <c r="B6" s="1374"/>
      <c r="C6" s="1375"/>
      <c r="D6" s="1253"/>
      <c r="E6" s="1199"/>
      <c r="F6" s="1381"/>
      <c r="G6" s="1200"/>
      <c r="H6" s="1201"/>
      <c r="I6" s="1202"/>
      <c r="J6" s="1203"/>
      <c r="K6" s="1204"/>
      <c r="L6" s="1204"/>
      <c r="M6" s="1205"/>
      <c r="N6" s="1187" t="str">
        <f t="shared" si="5"/>
        <v/>
      </c>
      <c r="O6" s="1190" t="str">
        <f t="shared" ref="O6:O69" si="51">IF(G6="","",$O$4)</f>
        <v/>
      </c>
      <c r="P6" s="525" t="str">
        <f>IF(O6="","",VLOOKUP(O6,所属コード!$A$2:$E$189,2,FALSE))</f>
        <v/>
      </c>
      <c r="Q6" s="1164" t="str">
        <f>IF(O6="","",VLOOKUP(O6,所属コード!$A$2:$G$189,7,FALSE))</f>
        <v/>
      </c>
      <c r="R6" s="1166"/>
      <c r="S6" s="77"/>
      <c r="T6" s="77"/>
      <c r="U6" s="77"/>
      <c r="V6" s="15"/>
      <c r="X6" s="621"/>
      <c r="Y6" s="1090" t="str">
        <f t="shared" si="6"/>
        <v/>
      </c>
      <c r="Z6" s="618" t="str">
        <f t="shared" si="7"/>
        <v/>
      </c>
      <c r="AA6" s="617" t="s">
        <v>833</v>
      </c>
      <c r="AB6" s="617"/>
      <c r="AC6" s="617"/>
      <c r="AD6" s="617"/>
      <c r="AE6" s="617"/>
      <c r="AF6" s="617"/>
      <c r="AG6" s="620"/>
      <c r="AH6" s="727"/>
      <c r="AI6" s="728"/>
      <c r="AJ6" s="728"/>
      <c r="AK6" s="728"/>
      <c r="AL6" s="728"/>
      <c r="AM6" s="728"/>
      <c r="AN6" s="728"/>
      <c r="AO6" s="728"/>
      <c r="AP6" s="728"/>
      <c r="AQ6" s="728"/>
      <c r="AR6" s="728"/>
      <c r="AS6" s="728"/>
      <c r="AT6" s="728"/>
      <c r="AU6" s="728"/>
      <c r="AV6" s="728"/>
      <c r="AW6" s="742"/>
      <c r="AX6" s="747">
        <f t="shared" si="8"/>
        <v>0</v>
      </c>
      <c r="AY6" s="738">
        <f t="shared" si="0"/>
        <v>0</v>
      </c>
      <c r="AZ6" s="729">
        <f t="shared" si="1"/>
        <v>0</v>
      </c>
      <c r="BA6" s="730">
        <f t="shared" si="2"/>
        <v>0</v>
      </c>
      <c r="BB6" s="729">
        <f t="shared" si="3"/>
        <v>0</v>
      </c>
      <c r="BC6" s="729">
        <f t="shared" si="9"/>
        <v>0</v>
      </c>
      <c r="BD6" s="729">
        <f t="shared" si="10"/>
        <v>0</v>
      </c>
      <c r="BE6" s="729">
        <f t="shared" si="11"/>
        <v>0</v>
      </c>
      <c r="BF6" s="729">
        <f t="shared" si="12"/>
        <v>0</v>
      </c>
      <c r="BG6" s="729">
        <f t="shared" si="13"/>
        <v>0</v>
      </c>
      <c r="BH6" s="729">
        <f t="shared" si="14"/>
        <v>0</v>
      </c>
      <c r="BI6" s="729">
        <f t="shared" si="15"/>
        <v>0</v>
      </c>
      <c r="BJ6" s="729">
        <f t="shared" si="16"/>
        <v>0</v>
      </c>
      <c r="BK6" s="729">
        <f t="shared" si="17"/>
        <v>0</v>
      </c>
      <c r="BL6" s="729">
        <f t="shared" si="18"/>
        <v>0</v>
      </c>
      <c r="BM6" s="729">
        <f t="shared" si="19"/>
        <v>0</v>
      </c>
      <c r="BN6" s="729">
        <f t="shared" si="20"/>
        <v>0</v>
      </c>
      <c r="BO6" s="729">
        <f t="shared" si="21"/>
        <v>0</v>
      </c>
      <c r="BP6" s="729">
        <f t="shared" si="22"/>
        <v>0</v>
      </c>
      <c r="BQ6" s="729">
        <f t="shared" si="23"/>
        <v>0</v>
      </c>
      <c r="BR6" s="729">
        <f t="shared" si="24"/>
        <v>0</v>
      </c>
      <c r="BS6" s="729">
        <f t="shared" si="25"/>
        <v>0</v>
      </c>
      <c r="BT6" s="729">
        <f t="shared" si="26"/>
        <v>0</v>
      </c>
      <c r="BU6" s="729">
        <f t="shared" si="27"/>
        <v>0</v>
      </c>
      <c r="BV6" s="729">
        <f t="shared" si="28"/>
        <v>0</v>
      </c>
      <c r="BW6" s="729">
        <f t="shared" si="29"/>
        <v>0</v>
      </c>
      <c r="BX6" s="729">
        <f t="shared" si="30"/>
        <v>0</v>
      </c>
      <c r="BY6" s="729">
        <f t="shared" si="31"/>
        <v>0</v>
      </c>
      <c r="BZ6" s="729">
        <f t="shared" si="32"/>
        <v>0</v>
      </c>
      <c r="CA6" s="729">
        <f t="shared" si="33"/>
        <v>0</v>
      </c>
      <c r="CB6" s="729">
        <f t="shared" si="34"/>
        <v>0</v>
      </c>
      <c r="CC6" s="729">
        <f t="shared" si="35"/>
        <v>0</v>
      </c>
      <c r="CD6" s="729">
        <f t="shared" si="36"/>
        <v>0</v>
      </c>
      <c r="CE6" s="729">
        <f t="shared" si="37"/>
        <v>0</v>
      </c>
      <c r="CF6" s="731">
        <f t="shared" si="38"/>
        <v>0</v>
      </c>
      <c r="CG6" s="692" t="str">
        <f t="shared" si="39"/>
        <v/>
      </c>
      <c r="CH6" s="659" t="str">
        <f t="shared" si="40"/>
        <v/>
      </c>
      <c r="CI6" s="659" t="str">
        <f t="shared" si="41"/>
        <v/>
      </c>
      <c r="CJ6" s="659" t="str">
        <f t="shared" si="42"/>
        <v/>
      </c>
      <c r="CK6" s="659" t="str">
        <f t="shared" si="43"/>
        <v/>
      </c>
      <c r="CL6" s="659" t="str">
        <f t="shared" si="44"/>
        <v/>
      </c>
      <c r="CM6" s="82" t="str">
        <f t="shared" si="45"/>
        <v/>
      </c>
      <c r="CN6" s="625" t="str">
        <f t="shared" si="4"/>
        <v/>
      </c>
      <c r="CO6" s="625" t="str">
        <f t="shared" si="46"/>
        <v>0</v>
      </c>
      <c r="CP6" s="620">
        <f t="shared" si="47"/>
        <v>0</v>
      </c>
      <c r="CQ6" s="1051" t="s">
        <v>9</v>
      </c>
      <c r="CR6" s="1080">
        <v>235003</v>
      </c>
      <c r="CS6" s="625">
        <f t="shared" si="48"/>
        <v>0</v>
      </c>
      <c r="CT6" s="625">
        <f t="shared" si="49"/>
        <v>0</v>
      </c>
      <c r="CU6" s="626" t="str">
        <f t="shared" si="50"/>
        <v>00</v>
      </c>
    </row>
    <row r="7" spans="1:101" s="5" customFormat="1" ht="15" customHeight="1">
      <c r="A7" s="1094">
        <v>4</v>
      </c>
      <c r="B7" s="1374"/>
      <c r="C7" s="1375"/>
      <c r="D7" s="1253"/>
      <c r="E7" s="1199"/>
      <c r="F7" s="1381"/>
      <c r="G7" s="1200"/>
      <c r="H7" s="1201"/>
      <c r="I7" s="1202"/>
      <c r="J7" s="1203"/>
      <c r="K7" s="1204"/>
      <c r="L7" s="1204"/>
      <c r="M7" s="1205"/>
      <c r="N7" s="1187" t="str">
        <f t="shared" si="5"/>
        <v/>
      </c>
      <c r="O7" s="1190" t="str">
        <f t="shared" si="51"/>
        <v/>
      </c>
      <c r="P7" s="525" t="str">
        <f>IF(O7="","",VLOOKUP(O7,所属コード!$A$2:$E$189,2,FALSE))</f>
        <v/>
      </c>
      <c r="Q7" s="1164" t="str">
        <f>IF(O7="","",VLOOKUP(O7,所属コード!$A$2:$G$189,7,FALSE))</f>
        <v/>
      </c>
      <c r="R7" s="1166"/>
      <c r="S7" s="77"/>
      <c r="T7" s="77"/>
      <c r="U7" s="77"/>
      <c r="V7" s="15"/>
      <c r="X7" s="621"/>
      <c r="Y7" s="1090" t="str">
        <f t="shared" si="6"/>
        <v/>
      </c>
      <c r="Z7" s="618" t="str">
        <f t="shared" si="7"/>
        <v/>
      </c>
      <c r="AA7" s="617"/>
      <c r="AB7" s="617"/>
      <c r="AC7" s="617"/>
      <c r="AD7" s="617"/>
      <c r="AE7" s="617"/>
      <c r="AF7" s="617"/>
      <c r="AG7" s="620"/>
      <c r="AH7" s="727"/>
      <c r="AI7" s="728"/>
      <c r="AJ7" s="728"/>
      <c r="AK7" s="728"/>
      <c r="AL7" s="728"/>
      <c r="AM7" s="728"/>
      <c r="AN7" s="728"/>
      <c r="AO7" s="728"/>
      <c r="AP7" s="728"/>
      <c r="AQ7" s="728"/>
      <c r="AR7" s="728"/>
      <c r="AS7" s="728"/>
      <c r="AT7" s="728"/>
      <c r="AU7" s="728"/>
      <c r="AV7" s="728"/>
      <c r="AW7" s="742"/>
      <c r="AX7" s="747">
        <f t="shared" si="8"/>
        <v>0</v>
      </c>
      <c r="AY7" s="738">
        <f t="shared" si="0"/>
        <v>0</v>
      </c>
      <c r="AZ7" s="729">
        <f t="shared" si="1"/>
        <v>0</v>
      </c>
      <c r="BA7" s="730">
        <f t="shared" si="2"/>
        <v>0</v>
      </c>
      <c r="BB7" s="729">
        <f t="shared" si="3"/>
        <v>0</v>
      </c>
      <c r="BC7" s="729">
        <f t="shared" si="9"/>
        <v>0</v>
      </c>
      <c r="BD7" s="729">
        <f t="shared" si="10"/>
        <v>0</v>
      </c>
      <c r="BE7" s="729">
        <f t="shared" si="11"/>
        <v>0</v>
      </c>
      <c r="BF7" s="729">
        <f t="shared" si="12"/>
        <v>0</v>
      </c>
      <c r="BG7" s="729">
        <f t="shared" si="13"/>
        <v>0</v>
      </c>
      <c r="BH7" s="729">
        <f t="shared" si="14"/>
        <v>0</v>
      </c>
      <c r="BI7" s="729">
        <f t="shared" si="15"/>
        <v>0</v>
      </c>
      <c r="BJ7" s="729">
        <f t="shared" si="16"/>
        <v>0</v>
      </c>
      <c r="BK7" s="729">
        <f t="shared" si="17"/>
        <v>0</v>
      </c>
      <c r="BL7" s="729">
        <f t="shared" si="18"/>
        <v>0</v>
      </c>
      <c r="BM7" s="729">
        <f t="shared" si="19"/>
        <v>0</v>
      </c>
      <c r="BN7" s="729">
        <f t="shared" si="20"/>
        <v>0</v>
      </c>
      <c r="BO7" s="729">
        <f t="shared" si="21"/>
        <v>0</v>
      </c>
      <c r="BP7" s="729">
        <f t="shared" si="22"/>
        <v>0</v>
      </c>
      <c r="BQ7" s="729">
        <f t="shared" si="23"/>
        <v>0</v>
      </c>
      <c r="BR7" s="729">
        <f t="shared" si="24"/>
        <v>0</v>
      </c>
      <c r="BS7" s="729">
        <f t="shared" si="25"/>
        <v>0</v>
      </c>
      <c r="BT7" s="729">
        <f t="shared" si="26"/>
        <v>0</v>
      </c>
      <c r="BU7" s="729">
        <f t="shared" si="27"/>
        <v>0</v>
      </c>
      <c r="BV7" s="729">
        <f t="shared" si="28"/>
        <v>0</v>
      </c>
      <c r="BW7" s="729">
        <f t="shared" si="29"/>
        <v>0</v>
      </c>
      <c r="BX7" s="729">
        <f t="shared" si="30"/>
        <v>0</v>
      </c>
      <c r="BY7" s="729">
        <f t="shared" si="31"/>
        <v>0</v>
      </c>
      <c r="BZ7" s="729">
        <f t="shared" si="32"/>
        <v>0</v>
      </c>
      <c r="CA7" s="729">
        <f t="shared" si="33"/>
        <v>0</v>
      </c>
      <c r="CB7" s="729">
        <f t="shared" si="34"/>
        <v>0</v>
      </c>
      <c r="CC7" s="729">
        <f t="shared" si="35"/>
        <v>0</v>
      </c>
      <c r="CD7" s="729">
        <f t="shared" si="36"/>
        <v>0</v>
      </c>
      <c r="CE7" s="729">
        <f t="shared" si="37"/>
        <v>0</v>
      </c>
      <c r="CF7" s="731">
        <f t="shared" si="38"/>
        <v>0</v>
      </c>
      <c r="CG7" s="692" t="str">
        <f t="shared" si="39"/>
        <v/>
      </c>
      <c r="CH7" s="659" t="str">
        <f t="shared" si="40"/>
        <v/>
      </c>
      <c r="CI7" s="659" t="str">
        <f t="shared" si="41"/>
        <v/>
      </c>
      <c r="CJ7" s="659" t="str">
        <f t="shared" si="42"/>
        <v/>
      </c>
      <c r="CK7" s="659" t="str">
        <f t="shared" si="43"/>
        <v/>
      </c>
      <c r="CL7" s="659" t="str">
        <f t="shared" si="44"/>
        <v/>
      </c>
      <c r="CM7" s="82" t="str">
        <f t="shared" si="45"/>
        <v/>
      </c>
      <c r="CN7" s="625" t="str">
        <f t="shared" si="4"/>
        <v/>
      </c>
      <c r="CO7" s="625" t="str">
        <f t="shared" si="46"/>
        <v>0</v>
      </c>
      <c r="CP7" s="620">
        <f t="shared" si="47"/>
        <v>0</v>
      </c>
      <c r="CQ7" s="1051" t="s">
        <v>3</v>
      </c>
      <c r="CR7" s="1080">
        <v>235004</v>
      </c>
      <c r="CS7" s="625">
        <f t="shared" si="48"/>
        <v>0</v>
      </c>
      <c r="CT7" s="625">
        <f t="shared" si="49"/>
        <v>0</v>
      </c>
      <c r="CU7" s="626" t="str">
        <f t="shared" si="50"/>
        <v>00</v>
      </c>
    </row>
    <row r="8" spans="1:101" s="5" customFormat="1" ht="15" customHeight="1">
      <c r="A8" s="1094">
        <v>5</v>
      </c>
      <c r="B8" s="1374"/>
      <c r="C8" s="1375"/>
      <c r="D8" s="1253"/>
      <c r="E8" s="1199"/>
      <c r="F8" s="1381"/>
      <c r="G8" s="1200"/>
      <c r="H8" s="1201"/>
      <c r="I8" s="1202"/>
      <c r="J8" s="1203"/>
      <c r="K8" s="1204"/>
      <c r="L8" s="1204"/>
      <c r="M8" s="1205"/>
      <c r="N8" s="1187" t="str">
        <f t="shared" si="5"/>
        <v/>
      </c>
      <c r="O8" s="1190" t="str">
        <f t="shared" si="51"/>
        <v/>
      </c>
      <c r="P8" s="525" t="str">
        <f>IF(O8="","",VLOOKUP(O8,所属コード!$A$2:$E$189,2,FALSE))</f>
        <v/>
      </c>
      <c r="Q8" s="1164" t="str">
        <f>IF(O8="","",VLOOKUP(O8,所属コード!$A$2:$G$189,7,FALSE))</f>
        <v/>
      </c>
      <c r="R8" s="1166"/>
      <c r="S8" s="77"/>
      <c r="T8" s="77"/>
      <c r="U8" s="77"/>
      <c r="V8" s="15"/>
      <c r="X8" s="621"/>
      <c r="Y8" s="1090" t="str">
        <f t="shared" si="6"/>
        <v/>
      </c>
      <c r="Z8" s="618" t="str">
        <f t="shared" si="7"/>
        <v/>
      </c>
      <c r="AA8" s="617"/>
      <c r="AB8" s="617"/>
      <c r="AC8" s="617"/>
      <c r="AD8" s="617"/>
      <c r="AE8" s="617"/>
      <c r="AF8" s="617"/>
      <c r="AG8" s="620"/>
      <c r="AH8" s="727"/>
      <c r="AI8" s="728"/>
      <c r="AJ8" s="728"/>
      <c r="AK8" s="728"/>
      <c r="AL8" s="728"/>
      <c r="AM8" s="728"/>
      <c r="AN8" s="728"/>
      <c r="AO8" s="728"/>
      <c r="AP8" s="728"/>
      <c r="AQ8" s="728"/>
      <c r="AR8" s="728"/>
      <c r="AS8" s="728"/>
      <c r="AT8" s="728"/>
      <c r="AU8" s="728"/>
      <c r="AV8" s="728"/>
      <c r="AW8" s="742"/>
      <c r="AX8" s="747">
        <f t="shared" si="8"/>
        <v>0</v>
      </c>
      <c r="AY8" s="738">
        <f t="shared" si="0"/>
        <v>0</v>
      </c>
      <c r="AZ8" s="729">
        <f t="shared" si="1"/>
        <v>0</v>
      </c>
      <c r="BA8" s="730">
        <f t="shared" si="2"/>
        <v>0</v>
      </c>
      <c r="BB8" s="729">
        <f t="shared" si="3"/>
        <v>0</v>
      </c>
      <c r="BC8" s="729">
        <f t="shared" si="9"/>
        <v>0</v>
      </c>
      <c r="BD8" s="729">
        <f t="shared" si="10"/>
        <v>0</v>
      </c>
      <c r="BE8" s="729">
        <f t="shared" si="11"/>
        <v>0</v>
      </c>
      <c r="BF8" s="729">
        <f t="shared" si="12"/>
        <v>0</v>
      </c>
      <c r="BG8" s="729">
        <f t="shared" si="13"/>
        <v>0</v>
      </c>
      <c r="BH8" s="729">
        <f t="shared" si="14"/>
        <v>0</v>
      </c>
      <c r="BI8" s="729">
        <f t="shared" si="15"/>
        <v>0</v>
      </c>
      <c r="BJ8" s="729">
        <f t="shared" si="16"/>
        <v>0</v>
      </c>
      <c r="BK8" s="729">
        <f t="shared" si="17"/>
        <v>0</v>
      </c>
      <c r="BL8" s="729">
        <f t="shared" si="18"/>
        <v>0</v>
      </c>
      <c r="BM8" s="729">
        <f t="shared" si="19"/>
        <v>0</v>
      </c>
      <c r="BN8" s="729">
        <f t="shared" si="20"/>
        <v>0</v>
      </c>
      <c r="BO8" s="729">
        <f t="shared" si="21"/>
        <v>0</v>
      </c>
      <c r="BP8" s="729">
        <f t="shared" si="22"/>
        <v>0</v>
      </c>
      <c r="BQ8" s="729">
        <f t="shared" si="23"/>
        <v>0</v>
      </c>
      <c r="BR8" s="729">
        <f t="shared" si="24"/>
        <v>0</v>
      </c>
      <c r="BS8" s="729">
        <f t="shared" si="25"/>
        <v>0</v>
      </c>
      <c r="BT8" s="729">
        <f t="shared" si="26"/>
        <v>0</v>
      </c>
      <c r="BU8" s="729">
        <f t="shared" si="27"/>
        <v>0</v>
      </c>
      <c r="BV8" s="729">
        <f t="shared" si="28"/>
        <v>0</v>
      </c>
      <c r="BW8" s="729">
        <f t="shared" si="29"/>
        <v>0</v>
      </c>
      <c r="BX8" s="729">
        <f t="shared" si="30"/>
        <v>0</v>
      </c>
      <c r="BY8" s="729">
        <f t="shared" si="31"/>
        <v>0</v>
      </c>
      <c r="BZ8" s="729">
        <f t="shared" si="32"/>
        <v>0</v>
      </c>
      <c r="CA8" s="729">
        <f t="shared" si="33"/>
        <v>0</v>
      </c>
      <c r="CB8" s="729">
        <f t="shared" si="34"/>
        <v>0</v>
      </c>
      <c r="CC8" s="729">
        <f t="shared" si="35"/>
        <v>0</v>
      </c>
      <c r="CD8" s="729">
        <f t="shared" si="36"/>
        <v>0</v>
      </c>
      <c r="CE8" s="729">
        <f t="shared" si="37"/>
        <v>0</v>
      </c>
      <c r="CF8" s="731">
        <f t="shared" si="38"/>
        <v>0</v>
      </c>
      <c r="CG8" s="692" t="str">
        <f t="shared" si="39"/>
        <v/>
      </c>
      <c r="CH8" s="659" t="str">
        <f t="shared" si="40"/>
        <v/>
      </c>
      <c r="CI8" s="659" t="str">
        <f t="shared" si="41"/>
        <v/>
      </c>
      <c r="CJ8" s="659" t="str">
        <f t="shared" si="42"/>
        <v/>
      </c>
      <c r="CK8" s="659" t="str">
        <f t="shared" si="43"/>
        <v/>
      </c>
      <c r="CL8" s="659" t="str">
        <f t="shared" si="44"/>
        <v/>
      </c>
      <c r="CM8" s="82" t="str">
        <f t="shared" si="45"/>
        <v/>
      </c>
      <c r="CN8" s="625" t="str">
        <f t="shared" si="4"/>
        <v/>
      </c>
      <c r="CO8" s="625" t="str">
        <f t="shared" si="46"/>
        <v>0</v>
      </c>
      <c r="CP8" s="620">
        <f t="shared" si="47"/>
        <v>0</v>
      </c>
      <c r="CQ8" s="1051" t="s">
        <v>11</v>
      </c>
      <c r="CR8" s="1080">
        <v>235005</v>
      </c>
      <c r="CS8" s="625">
        <f t="shared" si="48"/>
        <v>0</v>
      </c>
      <c r="CT8" s="625">
        <f t="shared" si="49"/>
        <v>0</v>
      </c>
      <c r="CU8" s="626" t="str">
        <f t="shared" si="50"/>
        <v>00</v>
      </c>
    </row>
    <row r="9" spans="1:101" s="5" customFormat="1" ht="15" customHeight="1">
      <c r="A9" s="1094">
        <v>6</v>
      </c>
      <c r="B9" s="1374"/>
      <c r="C9" s="1375"/>
      <c r="D9" s="1253"/>
      <c r="E9" s="1199"/>
      <c r="F9" s="1381"/>
      <c r="G9" s="1200"/>
      <c r="H9" s="1201"/>
      <c r="I9" s="1202"/>
      <c r="J9" s="1203"/>
      <c r="K9" s="1204"/>
      <c r="L9" s="1204"/>
      <c r="M9" s="1205"/>
      <c r="N9" s="1187" t="str">
        <f t="shared" si="5"/>
        <v/>
      </c>
      <c r="O9" s="1190" t="str">
        <f t="shared" si="51"/>
        <v/>
      </c>
      <c r="P9" s="525" t="str">
        <f>IF(O9="","",VLOOKUP(O9,所属コード!$A$2:$E$189,2,FALSE))</f>
        <v/>
      </c>
      <c r="Q9" s="1164" t="str">
        <f>IF(O9="","",VLOOKUP(O9,所属コード!$A$2:$G$189,7,FALSE))</f>
        <v/>
      </c>
      <c r="R9" s="1166"/>
      <c r="S9" s="77"/>
      <c r="T9" s="77"/>
      <c r="U9" s="77"/>
      <c r="V9" s="15"/>
      <c r="X9" s="621"/>
      <c r="Y9" s="1090" t="str">
        <f t="shared" si="6"/>
        <v/>
      </c>
      <c r="Z9" s="618" t="str">
        <f t="shared" si="7"/>
        <v/>
      </c>
      <c r="AA9" s="617"/>
      <c r="AB9" s="617"/>
      <c r="AC9" s="617"/>
      <c r="AD9" s="617"/>
      <c r="AE9" s="617"/>
      <c r="AF9" s="617"/>
      <c r="AG9" s="620"/>
      <c r="AH9" s="727"/>
      <c r="AI9" s="728"/>
      <c r="AJ9" s="728"/>
      <c r="AK9" s="728"/>
      <c r="AL9" s="728"/>
      <c r="AM9" s="728"/>
      <c r="AN9" s="728"/>
      <c r="AO9" s="728"/>
      <c r="AP9" s="728"/>
      <c r="AQ9" s="728"/>
      <c r="AR9" s="728"/>
      <c r="AS9" s="728"/>
      <c r="AT9" s="728"/>
      <c r="AU9" s="728"/>
      <c r="AV9" s="728"/>
      <c r="AW9" s="742"/>
      <c r="AX9" s="747">
        <f t="shared" si="8"/>
        <v>0</v>
      </c>
      <c r="AY9" s="738">
        <f t="shared" si="0"/>
        <v>0</v>
      </c>
      <c r="AZ9" s="729">
        <f t="shared" si="1"/>
        <v>0</v>
      </c>
      <c r="BA9" s="730">
        <f t="shared" si="2"/>
        <v>0</v>
      </c>
      <c r="BB9" s="729">
        <f t="shared" si="3"/>
        <v>0</v>
      </c>
      <c r="BC9" s="729">
        <f t="shared" si="9"/>
        <v>0</v>
      </c>
      <c r="BD9" s="729">
        <f t="shared" si="10"/>
        <v>0</v>
      </c>
      <c r="BE9" s="729">
        <f t="shared" si="11"/>
        <v>0</v>
      </c>
      <c r="BF9" s="729">
        <f t="shared" si="12"/>
        <v>0</v>
      </c>
      <c r="BG9" s="729">
        <f t="shared" si="13"/>
        <v>0</v>
      </c>
      <c r="BH9" s="729">
        <f t="shared" si="14"/>
        <v>0</v>
      </c>
      <c r="BI9" s="729">
        <f t="shared" si="15"/>
        <v>0</v>
      </c>
      <c r="BJ9" s="729">
        <f t="shared" si="16"/>
        <v>0</v>
      </c>
      <c r="BK9" s="729">
        <f t="shared" si="17"/>
        <v>0</v>
      </c>
      <c r="BL9" s="729">
        <f t="shared" si="18"/>
        <v>0</v>
      </c>
      <c r="BM9" s="729">
        <f t="shared" si="19"/>
        <v>0</v>
      </c>
      <c r="BN9" s="729">
        <f t="shared" si="20"/>
        <v>0</v>
      </c>
      <c r="BO9" s="729">
        <f t="shared" si="21"/>
        <v>0</v>
      </c>
      <c r="BP9" s="729">
        <f t="shared" si="22"/>
        <v>0</v>
      </c>
      <c r="BQ9" s="729">
        <f t="shared" si="23"/>
        <v>0</v>
      </c>
      <c r="BR9" s="729">
        <f t="shared" si="24"/>
        <v>0</v>
      </c>
      <c r="BS9" s="729">
        <f t="shared" si="25"/>
        <v>0</v>
      </c>
      <c r="BT9" s="729">
        <f t="shared" si="26"/>
        <v>0</v>
      </c>
      <c r="BU9" s="729">
        <f t="shared" si="27"/>
        <v>0</v>
      </c>
      <c r="BV9" s="729">
        <f t="shared" si="28"/>
        <v>0</v>
      </c>
      <c r="BW9" s="729">
        <f t="shared" si="29"/>
        <v>0</v>
      </c>
      <c r="BX9" s="729">
        <f t="shared" si="30"/>
        <v>0</v>
      </c>
      <c r="BY9" s="729">
        <f t="shared" si="31"/>
        <v>0</v>
      </c>
      <c r="BZ9" s="729">
        <f t="shared" si="32"/>
        <v>0</v>
      </c>
      <c r="CA9" s="729">
        <f t="shared" si="33"/>
        <v>0</v>
      </c>
      <c r="CB9" s="729">
        <f t="shared" si="34"/>
        <v>0</v>
      </c>
      <c r="CC9" s="729">
        <f t="shared" si="35"/>
        <v>0</v>
      </c>
      <c r="CD9" s="729">
        <f t="shared" si="36"/>
        <v>0</v>
      </c>
      <c r="CE9" s="729">
        <f t="shared" si="37"/>
        <v>0</v>
      </c>
      <c r="CF9" s="731">
        <f t="shared" si="38"/>
        <v>0</v>
      </c>
      <c r="CG9" s="692" t="str">
        <f t="shared" si="39"/>
        <v/>
      </c>
      <c r="CH9" s="659" t="str">
        <f t="shared" si="40"/>
        <v/>
      </c>
      <c r="CI9" s="659" t="str">
        <f t="shared" si="41"/>
        <v/>
      </c>
      <c r="CJ9" s="659" t="str">
        <f t="shared" si="42"/>
        <v/>
      </c>
      <c r="CK9" s="659" t="str">
        <f t="shared" si="43"/>
        <v/>
      </c>
      <c r="CL9" s="659" t="str">
        <f t="shared" si="44"/>
        <v/>
      </c>
      <c r="CM9" s="82" t="str">
        <f t="shared" si="45"/>
        <v/>
      </c>
      <c r="CN9" s="625" t="str">
        <f t="shared" si="4"/>
        <v/>
      </c>
      <c r="CO9" s="625" t="str">
        <f t="shared" si="46"/>
        <v>0</v>
      </c>
      <c r="CP9" s="620">
        <f t="shared" si="47"/>
        <v>0</v>
      </c>
      <c r="CQ9" s="1051" t="s">
        <v>153</v>
      </c>
      <c r="CR9" s="1080">
        <v>235006</v>
      </c>
      <c r="CS9" s="625">
        <f t="shared" si="48"/>
        <v>0</v>
      </c>
      <c r="CT9" s="625">
        <f t="shared" si="49"/>
        <v>0</v>
      </c>
      <c r="CU9" s="626" t="str">
        <f t="shared" si="50"/>
        <v>00</v>
      </c>
    </row>
    <row r="10" spans="1:101" s="5" customFormat="1" ht="15" customHeight="1">
      <c r="A10" s="1094">
        <v>7</v>
      </c>
      <c r="B10" s="1374"/>
      <c r="C10" s="1375"/>
      <c r="D10" s="1253"/>
      <c r="E10" s="1199"/>
      <c r="F10" s="1381"/>
      <c r="G10" s="1200"/>
      <c r="H10" s="1201"/>
      <c r="I10" s="1202"/>
      <c r="J10" s="1203"/>
      <c r="K10" s="1204"/>
      <c r="L10" s="1204"/>
      <c r="M10" s="1205"/>
      <c r="N10" s="1187" t="str">
        <f t="shared" si="5"/>
        <v/>
      </c>
      <c r="O10" s="1190" t="str">
        <f t="shared" si="51"/>
        <v/>
      </c>
      <c r="P10" s="525" t="str">
        <f>IF(O10="","",VLOOKUP(O10,所属コード!$A$2:$E$189,2,FALSE))</f>
        <v/>
      </c>
      <c r="Q10" s="1164" t="str">
        <f>IF(O10="","",VLOOKUP(O10,所属コード!$A$2:$G$189,7,FALSE))</f>
        <v/>
      </c>
      <c r="R10" s="1166"/>
      <c r="S10" s="77"/>
      <c r="T10" s="77"/>
      <c r="U10" s="77"/>
      <c r="V10" s="15"/>
      <c r="X10" s="621"/>
      <c r="Y10" s="1090" t="str">
        <f t="shared" si="6"/>
        <v/>
      </c>
      <c r="Z10" s="618" t="str">
        <f t="shared" si="7"/>
        <v/>
      </c>
      <c r="AA10" s="617"/>
      <c r="AB10" s="617"/>
      <c r="AC10" s="617"/>
      <c r="AD10" s="617"/>
      <c r="AE10" s="617"/>
      <c r="AF10" s="617"/>
      <c r="AG10" s="620"/>
      <c r="AH10" s="727"/>
      <c r="AI10" s="728"/>
      <c r="AJ10" s="728"/>
      <c r="AK10" s="728"/>
      <c r="AL10" s="728"/>
      <c r="AM10" s="728"/>
      <c r="AN10" s="728"/>
      <c r="AO10" s="728"/>
      <c r="AP10" s="728"/>
      <c r="AQ10" s="728"/>
      <c r="AR10" s="728"/>
      <c r="AS10" s="728"/>
      <c r="AT10" s="728"/>
      <c r="AU10" s="728"/>
      <c r="AV10" s="728"/>
      <c r="AW10" s="742"/>
      <c r="AX10" s="747">
        <f t="shared" si="8"/>
        <v>0</v>
      </c>
      <c r="AY10" s="738">
        <f t="shared" si="0"/>
        <v>0</v>
      </c>
      <c r="AZ10" s="729">
        <f t="shared" si="1"/>
        <v>0</v>
      </c>
      <c r="BA10" s="730">
        <f t="shared" si="2"/>
        <v>0</v>
      </c>
      <c r="BB10" s="729">
        <f t="shared" si="3"/>
        <v>0</v>
      </c>
      <c r="BC10" s="729">
        <f t="shared" si="9"/>
        <v>0</v>
      </c>
      <c r="BD10" s="729">
        <f t="shared" si="10"/>
        <v>0</v>
      </c>
      <c r="BE10" s="729">
        <f t="shared" si="11"/>
        <v>0</v>
      </c>
      <c r="BF10" s="729">
        <f t="shared" si="12"/>
        <v>0</v>
      </c>
      <c r="BG10" s="729">
        <f t="shared" si="13"/>
        <v>0</v>
      </c>
      <c r="BH10" s="729">
        <f t="shared" si="14"/>
        <v>0</v>
      </c>
      <c r="BI10" s="729">
        <f t="shared" si="15"/>
        <v>0</v>
      </c>
      <c r="BJ10" s="729">
        <f t="shared" si="16"/>
        <v>0</v>
      </c>
      <c r="BK10" s="729">
        <f t="shared" si="17"/>
        <v>0</v>
      </c>
      <c r="BL10" s="729">
        <f t="shared" si="18"/>
        <v>0</v>
      </c>
      <c r="BM10" s="729">
        <f t="shared" si="19"/>
        <v>0</v>
      </c>
      <c r="BN10" s="729">
        <f t="shared" si="20"/>
        <v>0</v>
      </c>
      <c r="BO10" s="729">
        <f t="shared" si="21"/>
        <v>0</v>
      </c>
      <c r="BP10" s="729">
        <f t="shared" si="22"/>
        <v>0</v>
      </c>
      <c r="BQ10" s="729">
        <f t="shared" si="23"/>
        <v>0</v>
      </c>
      <c r="BR10" s="729">
        <f t="shared" si="24"/>
        <v>0</v>
      </c>
      <c r="BS10" s="729">
        <f t="shared" si="25"/>
        <v>0</v>
      </c>
      <c r="BT10" s="729">
        <f t="shared" si="26"/>
        <v>0</v>
      </c>
      <c r="BU10" s="729">
        <f t="shared" si="27"/>
        <v>0</v>
      </c>
      <c r="BV10" s="729">
        <f t="shared" si="28"/>
        <v>0</v>
      </c>
      <c r="BW10" s="729">
        <f t="shared" si="29"/>
        <v>0</v>
      </c>
      <c r="BX10" s="729">
        <f t="shared" si="30"/>
        <v>0</v>
      </c>
      <c r="BY10" s="729">
        <f t="shared" si="31"/>
        <v>0</v>
      </c>
      <c r="BZ10" s="729">
        <f t="shared" si="32"/>
        <v>0</v>
      </c>
      <c r="CA10" s="729">
        <f t="shared" si="33"/>
        <v>0</v>
      </c>
      <c r="CB10" s="729">
        <f t="shared" si="34"/>
        <v>0</v>
      </c>
      <c r="CC10" s="729">
        <f t="shared" si="35"/>
        <v>0</v>
      </c>
      <c r="CD10" s="729">
        <f t="shared" si="36"/>
        <v>0</v>
      </c>
      <c r="CE10" s="729">
        <f t="shared" si="37"/>
        <v>0</v>
      </c>
      <c r="CF10" s="731">
        <f t="shared" si="38"/>
        <v>0</v>
      </c>
      <c r="CG10" s="692" t="str">
        <f t="shared" si="39"/>
        <v/>
      </c>
      <c r="CH10" s="659" t="str">
        <f t="shared" si="40"/>
        <v/>
      </c>
      <c r="CI10" s="659" t="str">
        <f t="shared" si="41"/>
        <v/>
      </c>
      <c r="CJ10" s="659" t="str">
        <f t="shared" si="42"/>
        <v/>
      </c>
      <c r="CK10" s="659" t="str">
        <f t="shared" si="43"/>
        <v/>
      </c>
      <c r="CL10" s="659" t="str">
        <f t="shared" si="44"/>
        <v/>
      </c>
      <c r="CM10" s="82" t="str">
        <f t="shared" si="45"/>
        <v/>
      </c>
      <c r="CN10" s="625" t="str">
        <f t="shared" si="4"/>
        <v/>
      </c>
      <c r="CO10" s="625" t="str">
        <f t="shared" si="46"/>
        <v>0</v>
      </c>
      <c r="CP10" s="620">
        <f t="shared" si="47"/>
        <v>0</v>
      </c>
      <c r="CQ10" s="1051" t="s">
        <v>40</v>
      </c>
      <c r="CR10" s="1080">
        <v>235007</v>
      </c>
      <c r="CS10" s="625">
        <f t="shared" si="48"/>
        <v>0</v>
      </c>
      <c r="CT10" s="625">
        <f t="shared" si="49"/>
        <v>0</v>
      </c>
      <c r="CU10" s="626" t="str">
        <f t="shared" si="50"/>
        <v>00</v>
      </c>
    </row>
    <row r="11" spans="1:101" ht="15" customHeight="1">
      <c r="A11" s="1094">
        <v>8</v>
      </c>
      <c r="B11" s="1376"/>
      <c r="C11" s="1377"/>
      <c r="D11" s="1069"/>
      <c r="E11" s="1070"/>
      <c r="F11" s="1382"/>
      <c r="G11" s="1200"/>
      <c r="H11" s="1071"/>
      <c r="I11" s="1072"/>
      <c r="J11" s="1073"/>
      <c r="K11" s="1153"/>
      <c r="L11" s="1153"/>
      <c r="M11" s="1183"/>
      <c r="N11" s="1187" t="str">
        <f t="shared" si="5"/>
        <v/>
      </c>
      <c r="O11" s="1190" t="str">
        <f t="shared" si="51"/>
        <v/>
      </c>
      <c r="P11" s="525" t="str">
        <f>IF(O11="","",VLOOKUP(O11,所属コード!$A$2:$E$189,2,FALSE))</f>
        <v/>
      </c>
      <c r="Q11" s="1164" t="str">
        <f>IF(O11="","",VLOOKUP(O11,所属コード!$A$2:$G$189,7,FALSE))</f>
        <v/>
      </c>
      <c r="R11" s="1166"/>
      <c r="S11" s="77"/>
      <c r="T11" s="77"/>
      <c r="U11" s="77"/>
      <c r="V11" s="15"/>
      <c r="X11" s="621"/>
      <c r="Y11" s="1090" t="str">
        <f t="shared" si="6"/>
        <v/>
      </c>
      <c r="Z11" s="618" t="str">
        <f t="shared" si="7"/>
        <v/>
      </c>
      <c r="AA11" s="617"/>
      <c r="AB11" s="617"/>
      <c r="AC11" s="617"/>
      <c r="AD11" s="617"/>
      <c r="AE11" s="617"/>
      <c r="AF11" s="617"/>
      <c r="AG11" s="620"/>
      <c r="AH11" s="727"/>
      <c r="AI11" s="728"/>
      <c r="AJ11" s="728"/>
      <c r="AK11" s="728"/>
      <c r="AL11" s="728"/>
      <c r="AM11" s="728"/>
      <c r="AN11" s="728"/>
      <c r="AO11" s="728"/>
      <c r="AP11" s="728"/>
      <c r="AQ11" s="728"/>
      <c r="AR11" s="728"/>
      <c r="AS11" s="728"/>
      <c r="AT11" s="728"/>
      <c r="AU11" s="728"/>
      <c r="AV11" s="728"/>
      <c r="AW11" s="742"/>
      <c r="AX11" s="747">
        <f t="shared" si="8"/>
        <v>0</v>
      </c>
      <c r="AY11" s="738">
        <f t="shared" si="0"/>
        <v>0</v>
      </c>
      <c r="AZ11" s="729">
        <f t="shared" si="1"/>
        <v>0</v>
      </c>
      <c r="BA11" s="730">
        <f t="shared" si="2"/>
        <v>0</v>
      </c>
      <c r="BB11" s="729">
        <f t="shared" si="3"/>
        <v>0</v>
      </c>
      <c r="BC11" s="729">
        <f t="shared" si="9"/>
        <v>0</v>
      </c>
      <c r="BD11" s="729">
        <f t="shared" si="10"/>
        <v>0</v>
      </c>
      <c r="BE11" s="729">
        <f t="shared" si="11"/>
        <v>0</v>
      </c>
      <c r="BF11" s="729">
        <f t="shared" si="12"/>
        <v>0</v>
      </c>
      <c r="BG11" s="729">
        <f t="shared" si="13"/>
        <v>0</v>
      </c>
      <c r="BH11" s="729">
        <f t="shared" si="14"/>
        <v>0</v>
      </c>
      <c r="BI11" s="729">
        <f t="shared" si="15"/>
        <v>0</v>
      </c>
      <c r="BJ11" s="729">
        <f t="shared" si="16"/>
        <v>0</v>
      </c>
      <c r="BK11" s="729">
        <f t="shared" si="17"/>
        <v>0</v>
      </c>
      <c r="BL11" s="729">
        <f t="shared" si="18"/>
        <v>0</v>
      </c>
      <c r="BM11" s="729">
        <f t="shared" si="19"/>
        <v>0</v>
      </c>
      <c r="BN11" s="729">
        <f t="shared" si="20"/>
        <v>0</v>
      </c>
      <c r="BO11" s="729">
        <f t="shared" si="21"/>
        <v>0</v>
      </c>
      <c r="BP11" s="729">
        <f t="shared" si="22"/>
        <v>0</v>
      </c>
      <c r="BQ11" s="729">
        <f t="shared" si="23"/>
        <v>0</v>
      </c>
      <c r="BR11" s="729">
        <f t="shared" si="24"/>
        <v>0</v>
      </c>
      <c r="BS11" s="729">
        <f t="shared" si="25"/>
        <v>0</v>
      </c>
      <c r="BT11" s="729">
        <f t="shared" si="26"/>
        <v>0</v>
      </c>
      <c r="BU11" s="729">
        <f t="shared" si="27"/>
        <v>0</v>
      </c>
      <c r="BV11" s="729">
        <f t="shared" si="28"/>
        <v>0</v>
      </c>
      <c r="BW11" s="729">
        <f t="shared" si="29"/>
        <v>0</v>
      </c>
      <c r="BX11" s="729">
        <f t="shared" si="30"/>
        <v>0</v>
      </c>
      <c r="BY11" s="729">
        <f t="shared" si="31"/>
        <v>0</v>
      </c>
      <c r="BZ11" s="729">
        <f t="shared" si="32"/>
        <v>0</v>
      </c>
      <c r="CA11" s="729">
        <f t="shared" si="33"/>
        <v>0</v>
      </c>
      <c r="CB11" s="729">
        <f t="shared" si="34"/>
        <v>0</v>
      </c>
      <c r="CC11" s="729">
        <f t="shared" si="35"/>
        <v>0</v>
      </c>
      <c r="CD11" s="729">
        <f t="shared" si="36"/>
        <v>0</v>
      </c>
      <c r="CE11" s="729">
        <f t="shared" si="37"/>
        <v>0</v>
      </c>
      <c r="CF11" s="731">
        <f t="shared" si="38"/>
        <v>0</v>
      </c>
      <c r="CG11" s="692" t="str">
        <f t="shared" si="39"/>
        <v/>
      </c>
      <c r="CH11" s="659" t="str">
        <f t="shared" si="40"/>
        <v/>
      </c>
      <c r="CI11" s="659" t="str">
        <f t="shared" si="41"/>
        <v/>
      </c>
      <c r="CJ11" s="659" t="str">
        <f t="shared" si="42"/>
        <v/>
      </c>
      <c r="CK11" s="659" t="str">
        <f t="shared" si="43"/>
        <v/>
      </c>
      <c r="CL11" s="659" t="str">
        <f t="shared" si="44"/>
        <v/>
      </c>
      <c r="CM11" s="82" t="str">
        <f t="shared" si="45"/>
        <v/>
      </c>
      <c r="CN11" s="625" t="str">
        <f t="shared" si="4"/>
        <v/>
      </c>
      <c r="CO11" s="625" t="str">
        <f t="shared" si="46"/>
        <v>0</v>
      </c>
      <c r="CP11" s="620">
        <f t="shared" si="47"/>
        <v>0</v>
      </c>
      <c r="CQ11" s="1051" t="s">
        <v>12</v>
      </c>
      <c r="CR11" s="1080">
        <v>235008</v>
      </c>
      <c r="CS11" s="625">
        <f t="shared" si="48"/>
        <v>0</v>
      </c>
      <c r="CT11" s="625">
        <f t="shared" si="49"/>
        <v>0</v>
      </c>
      <c r="CU11" s="626" t="str">
        <f t="shared" si="50"/>
        <v>00</v>
      </c>
    </row>
    <row r="12" spans="1:101" ht="15" customHeight="1">
      <c r="A12" s="1094">
        <v>9</v>
      </c>
      <c r="B12" s="1376"/>
      <c r="C12" s="1377"/>
      <c r="D12" s="1069"/>
      <c r="E12" s="1070"/>
      <c r="F12" s="1382"/>
      <c r="G12" s="1200"/>
      <c r="H12" s="1071"/>
      <c r="I12" s="1072"/>
      <c r="J12" s="1073"/>
      <c r="K12" s="1153"/>
      <c r="L12" s="1153"/>
      <c r="M12" s="1183"/>
      <c r="N12" s="1187" t="str">
        <f t="shared" si="5"/>
        <v/>
      </c>
      <c r="O12" s="1190" t="str">
        <f t="shared" si="51"/>
        <v/>
      </c>
      <c r="P12" s="525" t="str">
        <f>IF(O12="","",VLOOKUP(O12,所属コード!$A$2:$E$189,2,FALSE))</f>
        <v/>
      </c>
      <c r="Q12" s="1164" t="str">
        <f>IF(O12="","",VLOOKUP(O12,所属コード!$A$2:$G$189,7,FALSE))</f>
        <v/>
      </c>
      <c r="R12" s="1166"/>
      <c r="S12" s="77"/>
      <c r="T12" s="77"/>
      <c r="U12" s="77"/>
      <c r="V12" s="15"/>
      <c r="X12" s="621"/>
      <c r="Y12" s="1090" t="str">
        <f t="shared" si="6"/>
        <v/>
      </c>
      <c r="Z12" s="618" t="str">
        <f t="shared" si="7"/>
        <v/>
      </c>
      <c r="AA12" s="617"/>
      <c r="AB12" s="617"/>
      <c r="AC12" s="617"/>
      <c r="AD12" s="617"/>
      <c r="AE12" s="617"/>
      <c r="AF12" s="617"/>
      <c r="AG12" s="620"/>
      <c r="AH12" s="727"/>
      <c r="AI12" s="728"/>
      <c r="AJ12" s="728"/>
      <c r="AK12" s="728"/>
      <c r="AL12" s="728"/>
      <c r="AM12" s="728"/>
      <c r="AN12" s="728"/>
      <c r="AO12" s="728"/>
      <c r="AP12" s="728"/>
      <c r="AQ12" s="728"/>
      <c r="AR12" s="728"/>
      <c r="AS12" s="728"/>
      <c r="AT12" s="728"/>
      <c r="AU12" s="728"/>
      <c r="AV12" s="728"/>
      <c r="AW12" s="742"/>
      <c r="AX12" s="747">
        <f t="shared" si="8"/>
        <v>0</v>
      </c>
      <c r="AY12" s="738">
        <f t="shared" si="0"/>
        <v>0</v>
      </c>
      <c r="AZ12" s="729">
        <f t="shared" si="1"/>
        <v>0</v>
      </c>
      <c r="BA12" s="730">
        <f t="shared" si="2"/>
        <v>0</v>
      </c>
      <c r="BB12" s="729">
        <f t="shared" si="3"/>
        <v>0</v>
      </c>
      <c r="BC12" s="729">
        <f t="shared" si="9"/>
        <v>0</v>
      </c>
      <c r="BD12" s="729">
        <f t="shared" si="10"/>
        <v>0</v>
      </c>
      <c r="BE12" s="729">
        <f t="shared" si="11"/>
        <v>0</v>
      </c>
      <c r="BF12" s="729">
        <f t="shared" si="12"/>
        <v>0</v>
      </c>
      <c r="BG12" s="729">
        <f t="shared" si="13"/>
        <v>0</v>
      </c>
      <c r="BH12" s="729">
        <f t="shared" si="14"/>
        <v>0</v>
      </c>
      <c r="BI12" s="729">
        <f t="shared" si="15"/>
        <v>0</v>
      </c>
      <c r="BJ12" s="729">
        <f t="shared" si="16"/>
        <v>0</v>
      </c>
      <c r="BK12" s="729">
        <f t="shared" si="17"/>
        <v>0</v>
      </c>
      <c r="BL12" s="729">
        <f t="shared" si="18"/>
        <v>0</v>
      </c>
      <c r="BM12" s="729">
        <f t="shared" si="19"/>
        <v>0</v>
      </c>
      <c r="BN12" s="729">
        <f t="shared" si="20"/>
        <v>0</v>
      </c>
      <c r="BO12" s="729">
        <f t="shared" si="21"/>
        <v>0</v>
      </c>
      <c r="BP12" s="729">
        <f t="shared" si="22"/>
        <v>0</v>
      </c>
      <c r="BQ12" s="729">
        <f t="shared" si="23"/>
        <v>0</v>
      </c>
      <c r="BR12" s="729">
        <f t="shared" si="24"/>
        <v>0</v>
      </c>
      <c r="BS12" s="729">
        <f t="shared" si="25"/>
        <v>0</v>
      </c>
      <c r="BT12" s="729">
        <f t="shared" si="26"/>
        <v>0</v>
      </c>
      <c r="BU12" s="729">
        <f t="shared" si="27"/>
        <v>0</v>
      </c>
      <c r="BV12" s="729">
        <f t="shared" si="28"/>
        <v>0</v>
      </c>
      <c r="BW12" s="729">
        <f t="shared" si="29"/>
        <v>0</v>
      </c>
      <c r="BX12" s="729">
        <f t="shared" si="30"/>
        <v>0</v>
      </c>
      <c r="BY12" s="729">
        <f t="shared" si="31"/>
        <v>0</v>
      </c>
      <c r="BZ12" s="729">
        <f t="shared" si="32"/>
        <v>0</v>
      </c>
      <c r="CA12" s="729">
        <f t="shared" si="33"/>
        <v>0</v>
      </c>
      <c r="CB12" s="729">
        <f t="shared" si="34"/>
        <v>0</v>
      </c>
      <c r="CC12" s="729">
        <f t="shared" si="35"/>
        <v>0</v>
      </c>
      <c r="CD12" s="729">
        <f t="shared" si="36"/>
        <v>0</v>
      </c>
      <c r="CE12" s="729">
        <f t="shared" si="37"/>
        <v>0</v>
      </c>
      <c r="CF12" s="731">
        <f t="shared" si="38"/>
        <v>0</v>
      </c>
      <c r="CG12" s="692" t="str">
        <f t="shared" si="39"/>
        <v/>
      </c>
      <c r="CH12" s="659" t="str">
        <f t="shared" si="40"/>
        <v/>
      </c>
      <c r="CI12" s="659" t="str">
        <f t="shared" si="41"/>
        <v/>
      </c>
      <c r="CJ12" s="659" t="str">
        <f t="shared" si="42"/>
        <v/>
      </c>
      <c r="CK12" s="659" t="str">
        <f t="shared" si="43"/>
        <v/>
      </c>
      <c r="CL12" s="659" t="str">
        <f t="shared" si="44"/>
        <v/>
      </c>
      <c r="CM12" s="82" t="str">
        <f t="shared" si="45"/>
        <v/>
      </c>
      <c r="CN12" s="625" t="str">
        <f t="shared" si="4"/>
        <v/>
      </c>
      <c r="CO12" s="625" t="str">
        <f t="shared" si="46"/>
        <v>0</v>
      </c>
      <c r="CP12" s="620">
        <f t="shared" si="47"/>
        <v>0</v>
      </c>
      <c r="CQ12" s="1051" t="s">
        <v>173</v>
      </c>
      <c r="CR12" s="1080">
        <v>235009</v>
      </c>
      <c r="CS12" s="625">
        <f t="shared" si="48"/>
        <v>0</v>
      </c>
      <c r="CT12" s="625">
        <f t="shared" si="49"/>
        <v>0</v>
      </c>
      <c r="CU12" s="626" t="str">
        <f t="shared" si="50"/>
        <v>00</v>
      </c>
    </row>
    <row r="13" spans="1:101" ht="15" customHeight="1">
      <c r="A13" s="1094">
        <v>10</v>
      </c>
      <c r="B13" s="1376"/>
      <c r="C13" s="1377"/>
      <c r="D13" s="1069"/>
      <c r="E13" s="1070"/>
      <c r="F13" s="1382"/>
      <c r="G13" s="1200"/>
      <c r="H13" s="1071"/>
      <c r="I13" s="1072"/>
      <c r="J13" s="1073"/>
      <c r="K13" s="1153"/>
      <c r="L13" s="1153"/>
      <c r="M13" s="1183"/>
      <c r="N13" s="1187" t="str">
        <f t="shared" si="5"/>
        <v/>
      </c>
      <c r="O13" s="1190" t="str">
        <f t="shared" si="51"/>
        <v/>
      </c>
      <c r="P13" s="525" t="str">
        <f>IF(O13="","",VLOOKUP(O13,所属コード!$A$2:$E$189,2,FALSE))</f>
        <v/>
      </c>
      <c r="Q13" s="1164" t="str">
        <f>IF(O13="","",VLOOKUP(O13,所属コード!$A$2:$G$189,7,FALSE))</f>
        <v/>
      </c>
      <c r="R13" s="1166"/>
      <c r="S13" s="77"/>
      <c r="T13" s="77"/>
      <c r="U13" s="77"/>
      <c r="V13" s="15"/>
      <c r="X13" s="621"/>
      <c r="Y13" s="1090" t="str">
        <f t="shared" si="6"/>
        <v/>
      </c>
      <c r="Z13" s="618" t="str">
        <f t="shared" si="7"/>
        <v/>
      </c>
      <c r="AA13" s="617"/>
      <c r="AB13" s="617"/>
      <c r="AC13" s="617"/>
      <c r="AD13" s="617"/>
      <c r="AE13" s="617"/>
      <c r="AF13" s="617"/>
      <c r="AG13" s="620"/>
      <c r="AH13" s="727"/>
      <c r="AI13" s="728"/>
      <c r="AJ13" s="728"/>
      <c r="AK13" s="728"/>
      <c r="AL13" s="728"/>
      <c r="AM13" s="728"/>
      <c r="AN13" s="728"/>
      <c r="AO13" s="728"/>
      <c r="AP13" s="728"/>
      <c r="AQ13" s="728"/>
      <c r="AR13" s="728"/>
      <c r="AS13" s="728"/>
      <c r="AT13" s="728"/>
      <c r="AU13" s="728"/>
      <c r="AV13" s="728"/>
      <c r="AW13" s="742"/>
      <c r="AX13" s="747">
        <f t="shared" si="8"/>
        <v>0</v>
      </c>
      <c r="AY13" s="738">
        <f t="shared" si="0"/>
        <v>0</v>
      </c>
      <c r="AZ13" s="729">
        <f t="shared" si="1"/>
        <v>0</v>
      </c>
      <c r="BA13" s="730">
        <f t="shared" si="2"/>
        <v>0</v>
      </c>
      <c r="BB13" s="729">
        <f t="shared" si="3"/>
        <v>0</v>
      </c>
      <c r="BC13" s="729">
        <f t="shared" si="9"/>
        <v>0</v>
      </c>
      <c r="BD13" s="729">
        <f t="shared" si="10"/>
        <v>0</v>
      </c>
      <c r="BE13" s="729">
        <f t="shared" si="11"/>
        <v>0</v>
      </c>
      <c r="BF13" s="729">
        <f t="shared" si="12"/>
        <v>0</v>
      </c>
      <c r="BG13" s="729">
        <f t="shared" si="13"/>
        <v>0</v>
      </c>
      <c r="BH13" s="729">
        <f t="shared" si="14"/>
        <v>0</v>
      </c>
      <c r="BI13" s="729">
        <f t="shared" si="15"/>
        <v>0</v>
      </c>
      <c r="BJ13" s="729">
        <f t="shared" si="16"/>
        <v>0</v>
      </c>
      <c r="BK13" s="729">
        <f t="shared" si="17"/>
        <v>0</v>
      </c>
      <c r="BL13" s="729">
        <f t="shared" si="18"/>
        <v>0</v>
      </c>
      <c r="BM13" s="729">
        <f t="shared" si="19"/>
        <v>0</v>
      </c>
      <c r="BN13" s="729">
        <f t="shared" si="20"/>
        <v>0</v>
      </c>
      <c r="BO13" s="729">
        <f t="shared" si="21"/>
        <v>0</v>
      </c>
      <c r="BP13" s="729">
        <f t="shared" si="22"/>
        <v>0</v>
      </c>
      <c r="BQ13" s="729">
        <f t="shared" si="23"/>
        <v>0</v>
      </c>
      <c r="BR13" s="729">
        <f t="shared" si="24"/>
        <v>0</v>
      </c>
      <c r="BS13" s="729">
        <f t="shared" si="25"/>
        <v>0</v>
      </c>
      <c r="BT13" s="729">
        <f t="shared" si="26"/>
        <v>0</v>
      </c>
      <c r="BU13" s="729">
        <f t="shared" si="27"/>
        <v>0</v>
      </c>
      <c r="BV13" s="729">
        <f t="shared" si="28"/>
        <v>0</v>
      </c>
      <c r="BW13" s="729">
        <f t="shared" si="29"/>
        <v>0</v>
      </c>
      <c r="BX13" s="729">
        <f t="shared" si="30"/>
        <v>0</v>
      </c>
      <c r="BY13" s="729">
        <f t="shared" si="31"/>
        <v>0</v>
      </c>
      <c r="BZ13" s="729">
        <f t="shared" si="32"/>
        <v>0</v>
      </c>
      <c r="CA13" s="729">
        <f t="shared" si="33"/>
        <v>0</v>
      </c>
      <c r="CB13" s="729">
        <f t="shared" si="34"/>
        <v>0</v>
      </c>
      <c r="CC13" s="729">
        <f t="shared" si="35"/>
        <v>0</v>
      </c>
      <c r="CD13" s="729">
        <f t="shared" si="36"/>
        <v>0</v>
      </c>
      <c r="CE13" s="729">
        <f t="shared" si="37"/>
        <v>0</v>
      </c>
      <c r="CF13" s="731">
        <f t="shared" si="38"/>
        <v>0</v>
      </c>
      <c r="CG13" s="692" t="str">
        <f t="shared" si="39"/>
        <v/>
      </c>
      <c r="CH13" s="659" t="str">
        <f t="shared" si="40"/>
        <v/>
      </c>
      <c r="CI13" s="659" t="str">
        <f t="shared" si="41"/>
        <v/>
      </c>
      <c r="CJ13" s="659" t="str">
        <f t="shared" si="42"/>
        <v/>
      </c>
      <c r="CK13" s="659" t="str">
        <f t="shared" si="43"/>
        <v/>
      </c>
      <c r="CL13" s="659" t="str">
        <f t="shared" si="44"/>
        <v/>
      </c>
      <c r="CM13" s="82" t="str">
        <f t="shared" si="45"/>
        <v/>
      </c>
      <c r="CN13" s="625" t="str">
        <f t="shared" si="4"/>
        <v/>
      </c>
      <c r="CO13" s="625" t="str">
        <f t="shared" si="46"/>
        <v>0</v>
      </c>
      <c r="CP13" s="620">
        <f t="shared" si="47"/>
        <v>0</v>
      </c>
      <c r="CQ13" s="1051" t="s">
        <v>171</v>
      </c>
      <c r="CR13" s="1080">
        <v>235010</v>
      </c>
      <c r="CS13" s="625">
        <f t="shared" si="48"/>
        <v>0</v>
      </c>
      <c r="CT13" s="625">
        <f t="shared" si="49"/>
        <v>0</v>
      </c>
      <c r="CU13" s="626" t="str">
        <f t="shared" si="50"/>
        <v>00</v>
      </c>
    </row>
    <row r="14" spans="1:101" ht="15" customHeight="1">
      <c r="A14" s="1094">
        <v>11</v>
      </c>
      <c r="B14" s="1376"/>
      <c r="C14" s="1377"/>
      <c r="D14" s="1069"/>
      <c r="E14" s="1070"/>
      <c r="F14" s="1382"/>
      <c r="G14" s="1200"/>
      <c r="H14" s="1071"/>
      <c r="I14" s="1072"/>
      <c r="J14" s="1073"/>
      <c r="K14" s="1153"/>
      <c r="L14" s="1153"/>
      <c r="M14" s="1183"/>
      <c r="N14" s="1187" t="str">
        <f t="shared" si="5"/>
        <v/>
      </c>
      <c r="O14" s="1190" t="str">
        <f t="shared" si="51"/>
        <v/>
      </c>
      <c r="P14" s="525" t="str">
        <f>IF(O14="","",VLOOKUP(O14,所属コード!$A$2:$E$189,2,FALSE))</f>
        <v/>
      </c>
      <c r="Q14" s="1164" t="str">
        <f>IF(O14="","",VLOOKUP(O14,所属コード!$A$2:$G$189,7,FALSE))</f>
        <v/>
      </c>
      <c r="R14" s="1166"/>
      <c r="S14" s="77"/>
      <c r="T14" s="77"/>
      <c r="U14" s="77"/>
      <c r="V14" s="15"/>
      <c r="X14" s="621"/>
      <c r="Y14" s="1090" t="str">
        <f t="shared" si="6"/>
        <v/>
      </c>
      <c r="Z14" s="618" t="str">
        <f t="shared" si="7"/>
        <v/>
      </c>
      <c r="AA14" s="617"/>
      <c r="AB14" s="617"/>
      <c r="AC14" s="617"/>
      <c r="AD14" s="617"/>
      <c r="AE14" s="617"/>
      <c r="AF14" s="617"/>
      <c r="AG14" s="620"/>
      <c r="AH14" s="727"/>
      <c r="AI14" s="728"/>
      <c r="AJ14" s="728"/>
      <c r="AK14" s="728"/>
      <c r="AL14" s="728"/>
      <c r="AM14" s="728"/>
      <c r="AN14" s="728"/>
      <c r="AO14" s="728"/>
      <c r="AP14" s="728"/>
      <c r="AQ14" s="728"/>
      <c r="AR14" s="728"/>
      <c r="AS14" s="728"/>
      <c r="AT14" s="728"/>
      <c r="AU14" s="728"/>
      <c r="AV14" s="728"/>
      <c r="AW14" s="742"/>
      <c r="AX14" s="747">
        <f t="shared" si="8"/>
        <v>0</v>
      </c>
      <c r="AY14" s="738">
        <f t="shared" si="0"/>
        <v>0</v>
      </c>
      <c r="AZ14" s="729">
        <f t="shared" si="1"/>
        <v>0</v>
      </c>
      <c r="BA14" s="730">
        <f t="shared" si="2"/>
        <v>0</v>
      </c>
      <c r="BB14" s="729">
        <f t="shared" si="3"/>
        <v>0</v>
      </c>
      <c r="BC14" s="729">
        <f t="shared" si="9"/>
        <v>0</v>
      </c>
      <c r="BD14" s="729">
        <f t="shared" si="10"/>
        <v>0</v>
      </c>
      <c r="BE14" s="729">
        <f t="shared" si="11"/>
        <v>0</v>
      </c>
      <c r="BF14" s="729">
        <f t="shared" si="12"/>
        <v>0</v>
      </c>
      <c r="BG14" s="729">
        <f t="shared" si="13"/>
        <v>0</v>
      </c>
      <c r="BH14" s="729">
        <f t="shared" si="14"/>
        <v>0</v>
      </c>
      <c r="BI14" s="729">
        <f t="shared" si="15"/>
        <v>0</v>
      </c>
      <c r="BJ14" s="729">
        <f t="shared" si="16"/>
        <v>0</v>
      </c>
      <c r="BK14" s="729">
        <f t="shared" si="17"/>
        <v>0</v>
      </c>
      <c r="BL14" s="729">
        <f t="shared" si="18"/>
        <v>0</v>
      </c>
      <c r="BM14" s="729">
        <f t="shared" si="19"/>
        <v>0</v>
      </c>
      <c r="BN14" s="729">
        <f t="shared" si="20"/>
        <v>0</v>
      </c>
      <c r="BO14" s="729">
        <f t="shared" si="21"/>
        <v>0</v>
      </c>
      <c r="BP14" s="729">
        <f t="shared" si="22"/>
        <v>0</v>
      </c>
      <c r="BQ14" s="729">
        <f t="shared" si="23"/>
        <v>0</v>
      </c>
      <c r="BR14" s="729">
        <f t="shared" si="24"/>
        <v>0</v>
      </c>
      <c r="BS14" s="729">
        <f t="shared" si="25"/>
        <v>0</v>
      </c>
      <c r="BT14" s="729">
        <f t="shared" si="26"/>
        <v>0</v>
      </c>
      <c r="BU14" s="729">
        <f t="shared" si="27"/>
        <v>0</v>
      </c>
      <c r="BV14" s="729">
        <f t="shared" si="28"/>
        <v>0</v>
      </c>
      <c r="BW14" s="729">
        <f t="shared" si="29"/>
        <v>0</v>
      </c>
      <c r="BX14" s="729">
        <f t="shared" si="30"/>
        <v>0</v>
      </c>
      <c r="BY14" s="729">
        <f t="shared" si="31"/>
        <v>0</v>
      </c>
      <c r="BZ14" s="729">
        <f t="shared" si="32"/>
        <v>0</v>
      </c>
      <c r="CA14" s="729">
        <f t="shared" si="33"/>
        <v>0</v>
      </c>
      <c r="CB14" s="729">
        <f t="shared" si="34"/>
        <v>0</v>
      </c>
      <c r="CC14" s="729">
        <f t="shared" si="35"/>
        <v>0</v>
      </c>
      <c r="CD14" s="729">
        <f t="shared" si="36"/>
        <v>0</v>
      </c>
      <c r="CE14" s="729">
        <f t="shared" si="37"/>
        <v>0</v>
      </c>
      <c r="CF14" s="731">
        <f t="shared" si="38"/>
        <v>0</v>
      </c>
      <c r="CG14" s="692" t="str">
        <f t="shared" si="39"/>
        <v/>
      </c>
      <c r="CH14" s="659" t="str">
        <f t="shared" si="40"/>
        <v/>
      </c>
      <c r="CI14" s="659" t="str">
        <f t="shared" si="41"/>
        <v/>
      </c>
      <c r="CJ14" s="659" t="str">
        <f t="shared" si="42"/>
        <v/>
      </c>
      <c r="CK14" s="659" t="str">
        <f t="shared" si="43"/>
        <v/>
      </c>
      <c r="CL14" s="659" t="str">
        <f t="shared" si="44"/>
        <v/>
      </c>
      <c r="CM14" s="82" t="str">
        <f t="shared" si="45"/>
        <v/>
      </c>
      <c r="CN14" s="625" t="str">
        <f t="shared" si="4"/>
        <v/>
      </c>
      <c r="CO14" s="625" t="str">
        <f t="shared" ref="CO14:CO77" si="52">IF(M14&lt;10,CONCATENATE(0,M14),M14)</f>
        <v>0</v>
      </c>
      <c r="CP14" s="620">
        <f t="shared" si="47"/>
        <v>0</v>
      </c>
      <c r="CQ14" s="1051" t="s">
        <v>41</v>
      </c>
      <c r="CR14" s="1080">
        <v>235011</v>
      </c>
      <c r="CS14" s="625">
        <f t="shared" si="48"/>
        <v>0</v>
      </c>
      <c r="CT14" s="625">
        <f t="shared" si="49"/>
        <v>0</v>
      </c>
      <c r="CU14" s="626" t="str">
        <f t="shared" si="50"/>
        <v>00</v>
      </c>
    </row>
    <row r="15" spans="1:101" s="5" customFormat="1" ht="15" customHeight="1">
      <c r="A15" s="1094">
        <v>12</v>
      </c>
      <c r="B15" s="1376"/>
      <c r="C15" s="1377"/>
      <c r="D15" s="1069"/>
      <c r="E15" s="1070"/>
      <c r="F15" s="1382"/>
      <c r="G15" s="1200"/>
      <c r="H15" s="1071"/>
      <c r="I15" s="1072"/>
      <c r="J15" s="1073"/>
      <c r="K15" s="1153"/>
      <c r="L15" s="1153"/>
      <c r="M15" s="1183"/>
      <c r="N15" s="1187" t="str">
        <f t="shared" si="5"/>
        <v/>
      </c>
      <c r="O15" s="1190" t="str">
        <f t="shared" si="51"/>
        <v/>
      </c>
      <c r="P15" s="525" t="str">
        <f>IF(O15="","",VLOOKUP(O15,所属コード!$A$2:$E$189,2,FALSE))</f>
        <v/>
      </c>
      <c r="Q15" s="1164" t="str">
        <f>IF(O15="","",VLOOKUP(O15,所属コード!$A$2:$G$189,7,FALSE))</f>
        <v/>
      </c>
      <c r="R15" s="1166"/>
      <c r="S15" s="77"/>
      <c r="T15" s="77"/>
      <c r="U15" s="77"/>
      <c r="V15" s="15"/>
      <c r="X15" s="621"/>
      <c r="Y15" s="1090" t="str">
        <f t="shared" si="6"/>
        <v/>
      </c>
      <c r="Z15" s="618" t="str">
        <f t="shared" si="7"/>
        <v/>
      </c>
      <c r="AA15" s="617"/>
      <c r="AB15" s="617"/>
      <c r="AC15" s="617"/>
      <c r="AD15" s="617"/>
      <c r="AE15" s="617"/>
      <c r="AF15" s="617"/>
      <c r="AG15" s="620"/>
      <c r="AH15" s="727"/>
      <c r="AI15" s="728"/>
      <c r="AJ15" s="728"/>
      <c r="AK15" s="728"/>
      <c r="AL15" s="728"/>
      <c r="AM15" s="728"/>
      <c r="AN15" s="728"/>
      <c r="AO15" s="728"/>
      <c r="AP15" s="728"/>
      <c r="AQ15" s="728"/>
      <c r="AR15" s="728"/>
      <c r="AS15" s="728"/>
      <c r="AT15" s="728"/>
      <c r="AU15" s="728"/>
      <c r="AV15" s="728"/>
      <c r="AW15" s="742"/>
      <c r="AX15" s="747">
        <f t="shared" si="8"/>
        <v>0</v>
      </c>
      <c r="AY15" s="738">
        <f t="shared" si="0"/>
        <v>0</v>
      </c>
      <c r="AZ15" s="729">
        <f t="shared" si="1"/>
        <v>0</v>
      </c>
      <c r="BA15" s="730">
        <f t="shared" si="2"/>
        <v>0</v>
      </c>
      <c r="BB15" s="729">
        <f t="shared" si="3"/>
        <v>0</v>
      </c>
      <c r="BC15" s="729">
        <f t="shared" si="9"/>
        <v>0</v>
      </c>
      <c r="BD15" s="729">
        <f t="shared" si="10"/>
        <v>0</v>
      </c>
      <c r="BE15" s="729">
        <f t="shared" si="11"/>
        <v>0</v>
      </c>
      <c r="BF15" s="729">
        <f t="shared" si="12"/>
        <v>0</v>
      </c>
      <c r="BG15" s="729">
        <f t="shared" si="13"/>
        <v>0</v>
      </c>
      <c r="BH15" s="729">
        <f t="shared" si="14"/>
        <v>0</v>
      </c>
      <c r="BI15" s="729">
        <f t="shared" si="15"/>
        <v>0</v>
      </c>
      <c r="BJ15" s="729">
        <f t="shared" si="16"/>
        <v>0</v>
      </c>
      <c r="BK15" s="729">
        <f t="shared" si="17"/>
        <v>0</v>
      </c>
      <c r="BL15" s="729">
        <f t="shared" si="18"/>
        <v>0</v>
      </c>
      <c r="BM15" s="729">
        <f t="shared" si="19"/>
        <v>0</v>
      </c>
      <c r="BN15" s="729">
        <f t="shared" si="20"/>
        <v>0</v>
      </c>
      <c r="BO15" s="729">
        <f t="shared" si="21"/>
        <v>0</v>
      </c>
      <c r="BP15" s="729">
        <f t="shared" si="22"/>
        <v>0</v>
      </c>
      <c r="BQ15" s="729">
        <f t="shared" si="23"/>
        <v>0</v>
      </c>
      <c r="BR15" s="729">
        <f t="shared" si="24"/>
        <v>0</v>
      </c>
      <c r="BS15" s="729">
        <f t="shared" si="25"/>
        <v>0</v>
      </c>
      <c r="BT15" s="729">
        <f t="shared" si="26"/>
        <v>0</v>
      </c>
      <c r="BU15" s="729">
        <f t="shared" si="27"/>
        <v>0</v>
      </c>
      <c r="BV15" s="729">
        <f t="shared" si="28"/>
        <v>0</v>
      </c>
      <c r="BW15" s="729">
        <f t="shared" si="29"/>
        <v>0</v>
      </c>
      <c r="BX15" s="729">
        <f t="shared" si="30"/>
        <v>0</v>
      </c>
      <c r="BY15" s="729">
        <f t="shared" si="31"/>
        <v>0</v>
      </c>
      <c r="BZ15" s="729">
        <f t="shared" si="32"/>
        <v>0</v>
      </c>
      <c r="CA15" s="729">
        <f t="shared" si="33"/>
        <v>0</v>
      </c>
      <c r="CB15" s="729">
        <f t="shared" si="34"/>
        <v>0</v>
      </c>
      <c r="CC15" s="729">
        <f t="shared" si="35"/>
        <v>0</v>
      </c>
      <c r="CD15" s="729">
        <f t="shared" si="36"/>
        <v>0</v>
      </c>
      <c r="CE15" s="729">
        <f t="shared" si="37"/>
        <v>0</v>
      </c>
      <c r="CF15" s="731">
        <f t="shared" si="38"/>
        <v>0</v>
      </c>
      <c r="CG15" s="692" t="str">
        <f t="shared" si="39"/>
        <v/>
      </c>
      <c r="CH15" s="659" t="str">
        <f t="shared" si="40"/>
        <v/>
      </c>
      <c r="CI15" s="659" t="str">
        <f t="shared" si="41"/>
        <v/>
      </c>
      <c r="CJ15" s="659" t="str">
        <f t="shared" si="42"/>
        <v/>
      </c>
      <c r="CK15" s="659" t="str">
        <f t="shared" si="43"/>
        <v/>
      </c>
      <c r="CL15" s="659" t="str">
        <f t="shared" si="44"/>
        <v/>
      </c>
      <c r="CM15" s="82" t="str">
        <f t="shared" si="45"/>
        <v/>
      </c>
      <c r="CN15" s="625" t="str">
        <f t="shared" si="4"/>
        <v/>
      </c>
      <c r="CO15" s="625" t="str">
        <f t="shared" si="52"/>
        <v>0</v>
      </c>
      <c r="CP15" s="620">
        <f t="shared" si="47"/>
        <v>0</v>
      </c>
      <c r="CQ15" s="1051" t="s">
        <v>152</v>
      </c>
      <c r="CR15" s="1080">
        <v>235012</v>
      </c>
      <c r="CS15" s="625">
        <f t="shared" si="48"/>
        <v>0</v>
      </c>
      <c r="CT15" s="625">
        <f t="shared" si="49"/>
        <v>0</v>
      </c>
      <c r="CU15" s="626" t="str">
        <f t="shared" si="50"/>
        <v>00</v>
      </c>
    </row>
    <row r="16" spans="1:101" s="5" customFormat="1" ht="15" customHeight="1">
      <c r="A16" s="1094">
        <v>13</v>
      </c>
      <c r="B16" s="1376"/>
      <c r="C16" s="1377"/>
      <c r="D16" s="1068"/>
      <c r="E16" s="1070"/>
      <c r="F16" s="1382"/>
      <c r="G16" s="1200"/>
      <c r="H16" s="1061"/>
      <c r="I16" s="1062"/>
      <c r="J16" s="1063"/>
      <c r="K16" s="1153"/>
      <c r="L16" s="1153"/>
      <c r="M16" s="1183"/>
      <c r="N16" s="1187" t="str">
        <f t="shared" si="5"/>
        <v/>
      </c>
      <c r="O16" s="1190" t="str">
        <f t="shared" si="51"/>
        <v/>
      </c>
      <c r="P16" s="525" t="str">
        <f>IF(O16="","",VLOOKUP(O16,所属コード!$A$2:$E$189,2,FALSE))</f>
        <v/>
      </c>
      <c r="Q16" s="1164" t="str">
        <f>IF(O16="","",VLOOKUP(O16,所属コード!$A$2:$G$189,7,FALSE))</f>
        <v/>
      </c>
      <c r="R16" s="1166"/>
      <c r="S16" s="77"/>
      <c r="T16" s="77"/>
      <c r="U16" s="77"/>
      <c r="V16" s="15"/>
      <c r="X16" s="621"/>
      <c r="Y16" s="1090" t="str">
        <f t="shared" si="6"/>
        <v/>
      </c>
      <c r="Z16" s="618" t="str">
        <f t="shared" si="7"/>
        <v/>
      </c>
      <c r="AA16" s="617"/>
      <c r="AB16" s="617"/>
      <c r="AC16" s="617"/>
      <c r="AD16" s="617"/>
      <c r="AE16" s="617"/>
      <c r="AF16" s="617"/>
      <c r="AG16" s="620"/>
      <c r="AH16" s="727"/>
      <c r="AI16" s="728"/>
      <c r="AJ16" s="728"/>
      <c r="AK16" s="728"/>
      <c r="AL16" s="728"/>
      <c r="AM16" s="728"/>
      <c r="AN16" s="728"/>
      <c r="AO16" s="728"/>
      <c r="AP16" s="728"/>
      <c r="AQ16" s="728"/>
      <c r="AR16" s="728"/>
      <c r="AS16" s="728"/>
      <c r="AT16" s="728"/>
      <c r="AU16" s="728"/>
      <c r="AV16" s="728"/>
      <c r="AW16" s="742"/>
      <c r="AX16" s="747">
        <f t="shared" si="8"/>
        <v>0</v>
      </c>
      <c r="AY16" s="738">
        <f t="shared" si="0"/>
        <v>0</v>
      </c>
      <c r="AZ16" s="729">
        <f t="shared" si="1"/>
        <v>0</v>
      </c>
      <c r="BA16" s="730">
        <f t="shared" si="2"/>
        <v>0</v>
      </c>
      <c r="BB16" s="729">
        <f t="shared" si="3"/>
        <v>0</v>
      </c>
      <c r="BC16" s="729">
        <f t="shared" si="9"/>
        <v>0</v>
      </c>
      <c r="BD16" s="729">
        <f t="shared" si="10"/>
        <v>0</v>
      </c>
      <c r="BE16" s="729">
        <f t="shared" si="11"/>
        <v>0</v>
      </c>
      <c r="BF16" s="729">
        <f t="shared" si="12"/>
        <v>0</v>
      </c>
      <c r="BG16" s="729">
        <f t="shared" si="13"/>
        <v>0</v>
      </c>
      <c r="BH16" s="729">
        <f t="shared" si="14"/>
        <v>0</v>
      </c>
      <c r="BI16" s="729">
        <f t="shared" si="15"/>
        <v>0</v>
      </c>
      <c r="BJ16" s="729">
        <f t="shared" si="16"/>
        <v>0</v>
      </c>
      <c r="BK16" s="729">
        <f t="shared" si="17"/>
        <v>0</v>
      </c>
      <c r="BL16" s="729">
        <f t="shared" si="18"/>
        <v>0</v>
      </c>
      <c r="BM16" s="729">
        <f t="shared" si="19"/>
        <v>0</v>
      </c>
      <c r="BN16" s="729">
        <f t="shared" si="20"/>
        <v>0</v>
      </c>
      <c r="BO16" s="729">
        <f t="shared" si="21"/>
        <v>0</v>
      </c>
      <c r="BP16" s="729">
        <f t="shared" si="22"/>
        <v>0</v>
      </c>
      <c r="BQ16" s="729">
        <f t="shared" si="23"/>
        <v>0</v>
      </c>
      <c r="BR16" s="729">
        <f t="shared" si="24"/>
        <v>0</v>
      </c>
      <c r="BS16" s="729">
        <f t="shared" si="25"/>
        <v>0</v>
      </c>
      <c r="BT16" s="729">
        <f t="shared" si="26"/>
        <v>0</v>
      </c>
      <c r="BU16" s="729">
        <f t="shared" si="27"/>
        <v>0</v>
      </c>
      <c r="BV16" s="729">
        <f t="shared" si="28"/>
        <v>0</v>
      </c>
      <c r="BW16" s="729">
        <f t="shared" si="29"/>
        <v>0</v>
      </c>
      <c r="BX16" s="729">
        <f t="shared" si="30"/>
        <v>0</v>
      </c>
      <c r="BY16" s="729">
        <f t="shared" si="31"/>
        <v>0</v>
      </c>
      <c r="BZ16" s="729">
        <f t="shared" si="32"/>
        <v>0</v>
      </c>
      <c r="CA16" s="729">
        <f t="shared" si="33"/>
        <v>0</v>
      </c>
      <c r="CB16" s="729">
        <f t="shared" si="34"/>
        <v>0</v>
      </c>
      <c r="CC16" s="729">
        <f t="shared" si="35"/>
        <v>0</v>
      </c>
      <c r="CD16" s="729">
        <f t="shared" si="36"/>
        <v>0</v>
      </c>
      <c r="CE16" s="729">
        <f t="shared" si="37"/>
        <v>0</v>
      </c>
      <c r="CF16" s="731">
        <f t="shared" si="38"/>
        <v>0</v>
      </c>
      <c r="CG16" s="692" t="str">
        <f t="shared" si="39"/>
        <v/>
      </c>
      <c r="CH16" s="659" t="str">
        <f t="shared" si="40"/>
        <v/>
      </c>
      <c r="CI16" s="659" t="str">
        <f t="shared" si="41"/>
        <v/>
      </c>
      <c r="CJ16" s="659" t="str">
        <f t="shared" si="42"/>
        <v/>
      </c>
      <c r="CK16" s="659" t="str">
        <f t="shared" si="43"/>
        <v/>
      </c>
      <c r="CL16" s="659" t="str">
        <f t="shared" si="44"/>
        <v/>
      </c>
      <c r="CM16" s="82" t="str">
        <f t="shared" si="45"/>
        <v/>
      </c>
      <c r="CN16" s="625" t="str">
        <f t="shared" si="4"/>
        <v/>
      </c>
      <c r="CO16" s="625" t="str">
        <f t="shared" si="52"/>
        <v>0</v>
      </c>
      <c r="CP16" s="620">
        <f t="shared" si="47"/>
        <v>0</v>
      </c>
      <c r="CQ16" s="1051" t="s">
        <v>8</v>
      </c>
      <c r="CR16" s="1080">
        <v>235013</v>
      </c>
      <c r="CS16" s="625">
        <f t="shared" si="48"/>
        <v>0</v>
      </c>
      <c r="CT16" s="625">
        <f t="shared" si="49"/>
        <v>0</v>
      </c>
      <c r="CU16" s="626" t="str">
        <f t="shared" si="50"/>
        <v>00</v>
      </c>
    </row>
    <row r="17" spans="1:99" s="5" customFormat="1" ht="15" customHeight="1">
      <c r="A17" s="1094">
        <v>14</v>
      </c>
      <c r="B17" s="1376"/>
      <c r="C17" s="1377"/>
      <c r="D17" s="1068"/>
      <c r="E17" s="1070"/>
      <c r="F17" s="1382"/>
      <c r="G17" s="1200"/>
      <c r="H17" s="1061"/>
      <c r="I17" s="1062"/>
      <c r="J17" s="1063"/>
      <c r="K17" s="1153"/>
      <c r="L17" s="1153"/>
      <c r="M17" s="1183"/>
      <c r="N17" s="1187" t="str">
        <f t="shared" si="5"/>
        <v/>
      </c>
      <c r="O17" s="1190" t="str">
        <f t="shared" si="51"/>
        <v/>
      </c>
      <c r="P17" s="525" t="str">
        <f>IF(O17="","",VLOOKUP(O17,所属コード!$A$2:$E$189,2,FALSE))</f>
        <v/>
      </c>
      <c r="Q17" s="1164" t="str">
        <f>IF(O17="","",VLOOKUP(O17,所属コード!$A$2:$G$189,7,FALSE))</f>
        <v/>
      </c>
      <c r="R17" s="1166"/>
      <c r="S17" s="77"/>
      <c r="T17" s="77"/>
      <c r="U17" s="77"/>
      <c r="V17" s="15"/>
      <c r="X17" s="621"/>
      <c r="Y17" s="1090" t="str">
        <f t="shared" si="6"/>
        <v/>
      </c>
      <c r="Z17" s="618" t="str">
        <f t="shared" si="7"/>
        <v/>
      </c>
      <c r="AA17" s="617"/>
      <c r="AB17" s="617"/>
      <c r="AC17" s="617"/>
      <c r="AD17" s="617"/>
      <c r="AE17" s="617"/>
      <c r="AF17" s="617"/>
      <c r="AG17" s="620"/>
      <c r="AH17" s="727"/>
      <c r="AI17" s="728"/>
      <c r="AJ17" s="728"/>
      <c r="AK17" s="728"/>
      <c r="AL17" s="728"/>
      <c r="AM17" s="728"/>
      <c r="AN17" s="728"/>
      <c r="AO17" s="728"/>
      <c r="AP17" s="728"/>
      <c r="AQ17" s="728"/>
      <c r="AR17" s="728"/>
      <c r="AS17" s="728"/>
      <c r="AT17" s="728"/>
      <c r="AU17" s="728"/>
      <c r="AV17" s="728"/>
      <c r="AW17" s="742"/>
      <c r="AX17" s="747">
        <f t="shared" si="8"/>
        <v>0</v>
      </c>
      <c r="AY17" s="738">
        <f t="shared" si="0"/>
        <v>0</v>
      </c>
      <c r="AZ17" s="729">
        <f t="shared" si="1"/>
        <v>0</v>
      </c>
      <c r="BA17" s="730">
        <f t="shared" si="2"/>
        <v>0</v>
      </c>
      <c r="BB17" s="729">
        <f t="shared" si="3"/>
        <v>0</v>
      </c>
      <c r="BC17" s="729">
        <f t="shared" si="9"/>
        <v>0</v>
      </c>
      <c r="BD17" s="729">
        <f t="shared" si="10"/>
        <v>0</v>
      </c>
      <c r="BE17" s="729">
        <f t="shared" si="11"/>
        <v>0</v>
      </c>
      <c r="BF17" s="729">
        <f t="shared" si="12"/>
        <v>0</v>
      </c>
      <c r="BG17" s="729">
        <f t="shared" si="13"/>
        <v>0</v>
      </c>
      <c r="BH17" s="729">
        <f t="shared" si="14"/>
        <v>0</v>
      </c>
      <c r="BI17" s="729">
        <f t="shared" si="15"/>
        <v>0</v>
      </c>
      <c r="BJ17" s="729">
        <f t="shared" si="16"/>
        <v>0</v>
      </c>
      <c r="BK17" s="729">
        <f t="shared" si="17"/>
        <v>0</v>
      </c>
      <c r="BL17" s="729">
        <f t="shared" si="18"/>
        <v>0</v>
      </c>
      <c r="BM17" s="729">
        <f t="shared" si="19"/>
        <v>0</v>
      </c>
      <c r="BN17" s="729">
        <f t="shared" si="20"/>
        <v>0</v>
      </c>
      <c r="BO17" s="729">
        <f t="shared" si="21"/>
        <v>0</v>
      </c>
      <c r="BP17" s="729">
        <f t="shared" si="22"/>
        <v>0</v>
      </c>
      <c r="BQ17" s="729">
        <f t="shared" si="23"/>
        <v>0</v>
      </c>
      <c r="BR17" s="729">
        <f t="shared" si="24"/>
        <v>0</v>
      </c>
      <c r="BS17" s="729">
        <f t="shared" si="25"/>
        <v>0</v>
      </c>
      <c r="BT17" s="729">
        <f t="shared" si="26"/>
        <v>0</v>
      </c>
      <c r="BU17" s="729">
        <f t="shared" si="27"/>
        <v>0</v>
      </c>
      <c r="BV17" s="729">
        <f t="shared" si="28"/>
        <v>0</v>
      </c>
      <c r="BW17" s="729">
        <f t="shared" si="29"/>
        <v>0</v>
      </c>
      <c r="BX17" s="729">
        <f t="shared" si="30"/>
        <v>0</v>
      </c>
      <c r="BY17" s="729">
        <f t="shared" si="31"/>
        <v>0</v>
      </c>
      <c r="BZ17" s="729">
        <f t="shared" si="32"/>
        <v>0</v>
      </c>
      <c r="CA17" s="729">
        <f t="shared" si="33"/>
        <v>0</v>
      </c>
      <c r="CB17" s="729">
        <f t="shared" si="34"/>
        <v>0</v>
      </c>
      <c r="CC17" s="729">
        <f t="shared" si="35"/>
        <v>0</v>
      </c>
      <c r="CD17" s="729">
        <f t="shared" si="36"/>
        <v>0</v>
      </c>
      <c r="CE17" s="729">
        <f t="shared" si="37"/>
        <v>0</v>
      </c>
      <c r="CF17" s="731">
        <f t="shared" si="38"/>
        <v>0</v>
      </c>
      <c r="CG17" s="692" t="str">
        <f t="shared" si="39"/>
        <v/>
      </c>
      <c r="CH17" s="659" t="str">
        <f t="shared" si="40"/>
        <v/>
      </c>
      <c r="CI17" s="659" t="str">
        <f t="shared" si="41"/>
        <v/>
      </c>
      <c r="CJ17" s="659" t="str">
        <f t="shared" si="42"/>
        <v/>
      </c>
      <c r="CK17" s="659" t="str">
        <f t="shared" si="43"/>
        <v/>
      </c>
      <c r="CL17" s="659" t="str">
        <f t="shared" si="44"/>
        <v/>
      </c>
      <c r="CM17" s="82" t="str">
        <f t="shared" si="45"/>
        <v/>
      </c>
      <c r="CN17" s="625" t="str">
        <f t="shared" si="4"/>
        <v/>
      </c>
      <c r="CO17" s="625" t="str">
        <f t="shared" si="52"/>
        <v>0</v>
      </c>
      <c r="CP17" s="620">
        <f t="shared" si="47"/>
        <v>0</v>
      </c>
      <c r="CQ17" s="1051" t="s">
        <v>13</v>
      </c>
      <c r="CR17" s="1080">
        <v>235014</v>
      </c>
      <c r="CS17" s="625">
        <f t="shared" si="48"/>
        <v>0</v>
      </c>
      <c r="CT17" s="625">
        <f t="shared" si="49"/>
        <v>0</v>
      </c>
      <c r="CU17" s="626" t="str">
        <f t="shared" si="50"/>
        <v>00</v>
      </c>
    </row>
    <row r="18" spans="1:99" s="5" customFormat="1" ht="15" customHeight="1">
      <c r="A18" s="1094">
        <v>15</v>
      </c>
      <c r="B18" s="1376"/>
      <c r="C18" s="1377"/>
      <c r="D18" s="1068"/>
      <c r="E18" s="1060"/>
      <c r="F18" s="1382"/>
      <c r="G18" s="1200"/>
      <c r="H18" s="1061"/>
      <c r="I18" s="1062"/>
      <c r="J18" s="1063"/>
      <c r="K18" s="1153"/>
      <c r="L18" s="1153"/>
      <c r="M18" s="1183"/>
      <c r="N18" s="1187" t="str">
        <f t="shared" si="5"/>
        <v/>
      </c>
      <c r="O18" s="1190" t="str">
        <f t="shared" si="51"/>
        <v/>
      </c>
      <c r="P18" s="525" t="str">
        <f>IF(O18="","",VLOOKUP(O18,所属コード!$A$2:$E$189,2,FALSE))</f>
        <v/>
      </c>
      <c r="Q18" s="1164" t="str">
        <f>IF(O18="","",VLOOKUP(O18,所属コード!$A$2:$G$189,7,FALSE))</f>
        <v/>
      </c>
      <c r="R18" s="1166"/>
      <c r="S18" s="77"/>
      <c r="T18" s="77"/>
      <c r="U18" s="77"/>
      <c r="V18" s="15"/>
      <c r="X18" s="621"/>
      <c r="Y18" s="1090" t="str">
        <f t="shared" si="6"/>
        <v/>
      </c>
      <c r="Z18" s="618" t="str">
        <f t="shared" si="7"/>
        <v/>
      </c>
      <c r="AA18" s="617"/>
      <c r="AB18" s="617"/>
      <c r="AC18" s="617"/>
      <c r="AD18" s="617"/>
      <c r="AE18" s="617"/>
      <c r="AF18" s="617"/>
      <c r="AG18" s="620"/>
      <c r="AH18" s="727"/>
      <c r="AI18" s="728"/>
      <c r="AJ18" s="728"/>
      <c r="AK18" s="728"/>
      <c r="AL18" s="728"/>
      <c r="AM18" s="728"/>
      <c r="AN18" s="728"/>
      <c r="AO18" s="728"/>
      <c r="AP18" s="728"/>
      <c r="AQ18" s="728"/>
      <c r="AR18" s="728"/>
      <c r="AS18" s="728"/>
      <c r="AT18" s="728"/>
      <c r="AU18" s="728"/>
      <c r="AV18" s="728"/>
      <c r="AW18" s="742"/>
      <c r="AX18" s="747">
        <f t="shared" si="8"/>
        <v>0</v>
      </c>
      <c r="AY18" s="738">
        <f t="shared" si="0"/>
        <v>0</v>
      </c>
      <c r="AZ18" s="729">
        <f t="shared" si="1"/>
        <v>0</v>
      </c>
      <c r="BA18" s="730">
        <f t="shared" si="2"/>
        <v>0</v>
      </c>
      <c r="BB18" s="729">
        <f t="shared" si="3"/>
        <v>0</v>
      </c>
      <c r="BC18" s="729">
        <f t="shared" si="9"/>
        <v>0</v>
      </c>
      <c r="BD18" s="729">
        <f t="shared" si="10"/>
        <v>0</v>
      </c>
      <c r="BE18" s="729">
        <f t="shared" si="11"/>
        <v>0</v>
      </c>
      <c r="BF18" s="729">
        <f t="shared" si="12"/>
        <v>0</v>
      </c>
      <c r="BG18" s="729">
        <f t="shared" si="13"/>
        <v>0</v>
      </c>
      <c r="BH18" s="729">
        <f t="shared" si="14"/>
        <v>0</v>
      </c>
      <c r="BI18" s="729">
        <f t="shared" si="15"/>
        <v>0</v>
      </c>
      <c r="BJ18" s="729">
        <f t="shared" si="16"/>
        <v>0</v>
      </c>
      <c r="BK18" s="729">
        <f t="shared" si="17"/>
        <v>0</v>
      </c>
      <c r="BL18" s="729">
        <f t="shared" si="18"/>
        <v>0</v>
      </c>
      <c r="BM18" s="729">
        <f t="shared" si="19"/>
        <v>0</v>
      </c>
      <c r="BN18" s="729">
        <f t="shared" si="20"/>
        <v>0</v>
      </c>
      <c r="BO18" s="729">
        <f t="shared" si="21"/>
        <v>0</v>
      </c>
      <c r="BP18" s="729">
        <f t="shared" si="22"/>
        <v>0</v>
      </c>
      <c r="BQ18" s="729">
        <f t="shared" si="23"/>
        <v>0</v>
      </c>
      <c r="BR18" s="729">
        <f t="shared" si="24"/>
        <v>0</v>
      </c>
      <c r="BS18" s="729">
        <f t="shared" si="25"/>
        <v>0</v>
      </c>
      <c r="BT18" s="729">
        <f t="shared" si="26"/>
        <v>0</v>
      </c>
      <c r="BU18" s="729">
        <f t="shared" si="27"/>
        <v>0</v>
      </c>
      <c r="BV18" s="729">
        <f t="shared" si="28"/>
        <v>0</v>
      </c>
      <c r="BW18" s="729">
        <f t="shared" si="29"/>
        <v>0</v>
      </c>
      <c r="BX18" s="729">
        <f t="shared" si="30"/>
        <v>0</v>
      </c>
      <c r="BY18" s="729">
        <f t="shared" si="31"/>
        <v>0</v>
      </c>
      <c r="BZ18" s="729">
        <f t="shared" si="32"/>
        <v>0</v>
      </c>
      <c r="CA18" s="729">
        <f t="shared" si="33"/>
        <v>0</v>
      </c>
      <c r="CB18" s="729">
        <f t="shared" si="34"/>
        <v>0</v>
      </c>
      <c r="CC18" s="729">
        <f t="shared" si="35"/>
        <v>0</v>
      </c>
      <c r="CD18" s="729">
        <f t="shared" si="36"/>
        <v>0</v>
      </c>
      <c r="CE18" s="729">
        <f t="shared" si="37"/>
        <v>0</v>
      </c>
      <c r="CF18" s="731">
        <f t="shared" si="38"/>
        <v>0</v>
      </c>
      <c r="CG18" s="692" t="str">
        <f t="shared" si="39"/>
        <v/>
      </c>
      <c r="CH18" s="659" t="str">
        <f t="shared" si="40"/>
        <v/>
      </c>
      <c r="CI18" s="659" t="str">
        <f t="shared" si="41"/>
        <v/>
      </c>
      <c r="CJ18" s="659" t="str">
        <f t="shared" si="42"/>
        <v/>
      </c>
      <c r="CK18" s="659" t="str">
        <f t="shared" si="43"/>
        <v/>
      </c>
      <c r="CL18" s="659" t="str">
        <f t="shared" si="44"/>
        <v/>
      </c>
      <c r="CM18" s="82" t="str">
        <f t="shared" si="45"/>
        <v/>
      </c>
      <c r="CN18" s="625" t="str">
        <f t="shared" si="4"/>
        <v/>
      </c>
      <c r="CO18" s="625" t="str">
        <f t="shared" si="52"/>
        <v>0</v>
      </c>
      <c r="CP18" s="620">
        <f t="shared" si="47"/>
        <v>0</v>
      </c>
      <c r="CQ18" s="1051" t="s">
        <v>42</v>
      </c>
      <c r="CR18" s="1080">
        <v>235015</v>
      </c>
      <c r="CS18" s="625">
        <f t="shared" si="48"/>
        <v>0</v>
      </c>
      <c r="CT18" s="625">
        <f t="shared" si="49"/>
        <v>0</v>
      </c>
      <c r="CU18" s="626" t="str">
        <f t="shared" si="50"/>
        <v>00</v>
      </c>
    </row>
    <row r="19" spans="1:99" s="5" customFormat="1" ht="15" customHeight="1">
      <c r="A19" s="1094">
        <v>16</v>
      </c>
      <c r="B19" s="1376"/>
      <c r="C19" s="1377"/>
      <c r="D19" s="1068"/>
      <c r="E19" s="1060"/>
      <c r="F19" s="1382"/>
      <c r="G19" s="1200"/>
      <c r="H19" s="1061"/>
      <c r="I19" s="1062"/>
      <c r="J19" s="1063"/>
      <c r="K19" s="1153"/>
      <c r="L19" s="1153"/>
      <c r="M19" s="1183"/>
      <c r="N19" s="1187" t="str">
        <f t="shared" si="5"/>
        <v/>
      </c>
      <c r="O19" s="1190" t="str">
        <f t="shared" si="51"/>
        <v/>
      </c>
      <c r="P19" s="525" t="str">
        <f>IF(O19="","",VLOOKUP(O19,所属コード!$A$2:$E$189,2,FALSE))</f>
        <v/>
      </c>
      <c r="Q19" s="1164" t="str">
        <f>IF(O19="","",VLOOKUP(O19,所属コード!$A$2:$G$189,7,FALSE))</f>
        <v/>
      </c>
      <c r="R19" s="1166"/>
      <c r="S19" s="77"/>
      <c r="T19" s="77"/>
      <c r="U19" s="77"/>
      <c r="V19" s="15"/>
      <c r="X19" s="621"/>
      <c r="Y19" s="1090" t="str">
        <f t="shared" si="6"/>
        <v/>
      </c>
      <c r="Z19" s="618" t="str">
        <f t="shared" si="7"/>
        <v/>
      </c>
      <c r="AA19" s="617"/>
      <c r="AB19" s="617"/>
      <c r="AC19" s="617"/>
      <c r="AD19" s="617"/>
      <c r="AE19" s="617"/>
      <c r="AF19" s="617"/>
      <c r="AG19" s="620"/>
      <c r="AH19" s="727"/>
      <c r="AI19" s="728"/>
      <c r="AJ19" s="728"/>
      <c r="AK19" s="728"/>
      <c r="AL19" s="728"/>
      <c r="AM19" s="728"/>
      <c r="AN19" s="728"/>
      <c r="AO19" s="728"/>
      <c r="AP19" s="728"/>
      <c r="AQ19" s="728"/>
      <c r="AR19" s="728"/>
      <c r="AS19" s="728"/>
      <c r="AT19" s="728"/>
      <c r="AU19" s="728"/>
      <c r="AV19" s="728"/>
      <c r="AW19" s="742"/>
      <c r="AX19" s="747">
        <f t="shared" si="8"/>
        <v>0</v>
      </c>
      <c r="AY19" s="738">
        <f t="shared" si="0"/>
        <v>0</v>
      </c>
      <c r="AZ19" s="729">
        <f t="shared" si="1"/>
        <v>0</v>
      </c>
      <c r="BA19" s="730">
        <f t="shared" si="2"/>
        <v>0</v>
      </c>
      <c r="BB19" s="729">
        <f t="shared" si="3"/>
        <v>0</v>
      </c>
      <c r="BC19" s="729">
        <f t="shared" si="9"/>
        <v>0</v>
      </c>
      <c r="BD19" s="729">
        <f t="shared" si="10"/>
        <v>0</v>
      </c>
      <c r="BE19" s="729">
        <f t="shared" si="11"/>
        <v>0</v>
      </c>
      <c r="BF19" s="729">
        <f t="shared" si="12"/>
        <v>0</v>
      </c>
      <c r="BG19" s="729">
        <f t="shared" si="13"/>
        <v>0</v>
      </c>
      <c r="BH19" s="729">
        <f t="shared" si="14"/>
        <v>0</v>
      </c>
      <c r="BI19" s="729">
        <f t="shared" si="15"/>
        <v>0</v>
      </c>
      <c r="BJ19" s="729">
        <f t="shared" si="16"/>
        <v>0</v>
      </c>
      <c r="BK19" s="729">
        <f t="shared" si="17"/>
        <v>0</v>
      </c>
      <c r="BL19" s="729">
        <f t="shared" si="18"/>
        <v>0</v>
      </c>
      <c r="BM19" s="729">
        <f t="shared" si="19"/>
        <v>0</v>
      </c>
      <c r="BN19" s="729">
        <f t="shared" si="20"/>
        <v>0</v>
      </c>
      <c r="BO19" s="729">
        <f t="shared" si="21"/>
        <v>0</v>
      </c>
      <c r="BP19" s="729">
        <f t="shared" si="22"/>
        <v>0</v>
      </c>
      <c r="BQ19" s="729">
        <f t="shared" si="23"/>
        <v>0</v>
      </c>
      <c r="BR19" s="729">
        <f t="shared" si="24"/>
        <v>0</v>
      </c>
      <c r="BS19" s="729">
        <f t="shared" si="25"/>
        <v>0</v>
      </c>
      <c r="BT19" s="729">
        <f t="shared" si="26"/>
        <v>0</v>
      </c>
      <c r="BU19" s="729">
        <f t="shared" si="27"/>
        <v>0</v>
      </c>
      <c r="BV19" s="729">
        <f t="shared" si="28"/>
        <v>0</v>
      </c>
      <c r="BW19" s="729">
        <f t="shared" si="29"/>
        <v>0</v>
      </c>
      <c r="BX19" s="729">
        <f t="shared" si="30"/>
        <v>0</v>
      </c>
      <c r="BY19" s="729">
        <f t="shared" si="31"/>
        <v>0</v>
      </c>
      <c r="BZ19" s="729">
        <f t="shared" si="32"/>
        <v>0</v>
      </c>
      <c r="CA19" s="729">
        <f t="shared" si="33"/>
        <v>0</v>
      </c>
      <c r="CB19" s="729">
        <f t="shared" si="34"/>
        <v>0</v>
      </c>
      <c r="CC19" s="729">
        <f t="shared" si="35"/>
        <v>0</v>
      </c>
      <c r="CD19" s="729">
        <f t="shared" si="36"/>
        <v>0</v>
      </c>
      <c r="CE19" s="729">
        <f t="shared" si="37"/>
        <v>0</v>
      </c>
      <c r="CF19" s="731">
        <f t="shared" si="38"/>
        <v>0</v>
      </c>
      <c r="CG19" s="692" t="str">
        <f t="shared" si="39"/>
        <v/>
      </c>
      <c r="CH19" s="659" t="str">
        <f t="shared" si="40"/>
        <v/>
      </c>
      <c r="CI19" s="659" t="str">
        <f t="shared" si="41"/>
        <v/>
      </c>
      <c r="CJ19" s="659" t="str">
        <f t="shared" si="42"/>
        <v/>
      </c>
      <c r="CK19" s="659" t="str">
        <f t="shared" si="43"/>
        <v/>
      </c>
      <c r="CL19" s="659" t="str">
        <f t="shared" si="44"/>
        <v/>
      </c>
      <c r="CM19" s="82" t="str">
        <f t="shared" si="45"/>
        <v/>
      </c>
      <c r="CN19" s="625" t="str">
        <f t="shared" si="4"/>
        <v/>
      </c>
      <c r="CO19" s="625" t="str">
        <f t="shared" si="52"/>
        <v>0</v>
      </c>
      <c r="CP19" s="620">
        <f t="shared" si="47"/>
        <v>0</v>
      </c>
      <c r="CQ19" s="1051" t="s">
        <v>14</v>
      </c>
      <c r="CR19" s="1080">
        <v>235016</v>
      </c>
      <c r="CS19" s="625">
        <f t="shared" si="48"/>
        <v>0</v>
      </c>
      <c r="CT19" s="625">
        <f t="shared" si="49"/>
        <v>0</v>
      </c>
      <c r="CU19" s="626" t="str">
        <f t="shared" si="50"/>
        <v>00</v>
      </c>
    </row>
    <row r="20" spans="1:99" s="5" customFormat="1" ht="15" customHeight="1">
      <c r="A20" s="1094">
        <v>17</v>
      </c>
      <c r="B20" s="1376"/>
      <c r="C20" s="1377"/>
      <c r="D20" s="1068"/>
      <c r="E20" s="1060"/>
      <c r="F20" s="1382"/>
      <c r="G20" s="1200"/>
      <c r="H20" s="1061"/>
      <c r="I20" s="1062"/>
      <c r="J20" s="1063"/>
      <c r="K20" s="1153"/>
      <c r="L20" s="1153"/>
      <c r="M20" s="1183"/>
      <c r="N20" s="1187" t="str">
        <f t="shared" si="5"/>
        <v/>
      </c>
      <c r="O20" s="1190" t="str">
        <f t="shared" si="51"/>
        <v/>
      </c>
      <c r="P20" s="525" t="str">
        <f>IF(O20="","",VLOOKUP(O20,所属コード!$A$2:$E$189,2,FALSE))</f>
        <v/>
      </c>
      <c r="Q20" s="1164" t="str">
        <f>IF(O20="","",VLOOKUP(O20,所属コード!$A$2:$G$189,7,FALSE))</f>
        <v/>
      </c>
      <c r="R20" s="1166"/>
      <c r="S20" s="77"/>
      <c r="T20" s="77"/>
      <c r="U20" s="77"/>
      <c r="V20" s="15"/>
      <c r="X20" s="621"/>
      <c r="Y20" s="1090" t="str">
        <f t="shared" si="6"/>
        <v/>
      </c>
      <c r="Z20" s="618" t="str">
        <f t="shared" si="7"/>
        <v/>
      </c>
      <c r="AA20" s="617"/>
      <c r="AB20" s="617"/>
      <c r="AC20" s="617"/>
      <c r="AD20" s="617"/>
      <c r="AE20" s="617"/>
      <c r="AF20" s="617"/>
      <c r="AG20" s="620"/>
      <c r="AH20" s="727"/>
      <c r="AI20" s="728"/>
      <c r="AJ20" s="728"/>
      <c r="AK20" s="728"/>
      <c r="AL20" s="728"/>
      <c r="AM20" s="728"/>
      <c r="AN20" s="728"/>
      <c r="AO20" s="728"/>
      <c r="AP20" s="728"/>
      <c r="AQ20" s="728"/>
      <c r="AR20" s="728"/>
      <c r="AS20" s="728"/>
      <c r="AT20" s="728"/>
      <c r="AU20" s="728"/>
      <c r="AV20" s="728"/>
      <c r="AW20" s="742"/>
      <c r="AX20" s="747">
        <f t="shared" si="8"/>
        <v>0</v>
      </c>
      <c r="AY20" s="738">
        <f t="shared" si="0"/>
        <v>0</v>
      </c>
      <c r="AZ20" s="729">
        <f t="shared" si="1"/>
        <v>0</v>
      </c>
      <c r="BA20" s="730">
        <f t="shared" si="2"/>
        <v>0</v>
      </c>
      <c r="BB20" s="729">
        <f t="shared" si="3"/>
        <v>0</v>
      </c>
      <c r="BC20" s="729">
        <f t="shared" si="9"/>
        <v>0</v>
      </c>
      <c r="BD20" s="729">
        <f t="shared" si="10"/>
        <v>0</v>
      </c>
      <c r="BE20" s="729">
        <f t="shared" si="11"/>
        <v>0</v>
      </c>
      <c r="BF20" s="729">
        <f t="shared" si="12"/>
        <v>0</v>
      </c>
      <c r="BG20" s="729">
        <f t="shared" si="13"/>
        <v>0</v>
      </c>
      <c r="BH20" s="729">
        <f t="shared" si="14"/>
        <v>0</v>
      </c>
      <c r="BI20" s="729">
        <f t="shared" si="15"/>
        <v>0</v>
      </c>
      <c r="BJ20" s="729">
        <f t="shared" si="16"/>
        <v>0</v>
      </c>
      <c r="BK20" s="729">
        <f t="shared" si="17"/>
        <v>0</v>
      </c>
      <c r="BL20" s="729">
        <f t="shared" si="18"/>
        <v>0</v>
      </c>
      <c r="BM20" s="729">
        <f t="shared" si="19"/>
        <v>0</v>
      </c>
      <c r="BN20" s="729">
        <f t="shared" si="20"/>
        <v>0</v>
      </c>
      <c r="BO20" s="729">
        <f t="shared" si="21"/>
        <v>0</v>
      </c>
      <c r="BP20" s="729">
        <f t="shared" si="22"/>
        <v>0</v>
      </c>
      <c r="BQ20" s="729">
        <f t="shared" si="23"/>
        <v>0</v>
      </c>
      <c r="BR20" s="729">
        <f t="shared" si="24"/>
        <v>0</v>
      </c>
      <c r="BS20" s="729">
        <f t="shared" si="25"/>
        <v>0</v>
      </c>
      <c r="BT20" s="729">
        <f t="shared" si="26"/>
        <v>0</v>
      </c>
      <c r="BU20" s="729">
        <f t="shared" si="27"/>
        <v>0</v>
      </c>
      <c r="BV20" s="729">
        <f t="shared" si="28"/>
        <v>0</v>
      </c>
      <c r="BW20" s="729">
        <f t="shared" si="29"/>
        <v>0</v>
      </c>
      <c r="BX20" s="729">
        <f t="shared" si="30"/>
        <v>0</v>
      </c>
      <c r="BY20" s="729">
        <f t="shared" si="31"/>
        <v>0</v>
      </c>
      <c r="BZ20" s="729">
        <f t="shared" si="32"/>
        <v>0</v>
      </c>
      <c r="CA20" s="729">
        <f t="shared" si="33"/>
        <v>0</v>
      </c>
      <c r="CB20" s="729">
        <f t="shared" si="34"/>
        <v>0</v>
      </c>
      <c r="CC20" s="729">
        <f t="shared" si="35"/>
        <v>0</v>
      </c>
      <c r="CD20" s="729">
        <f t="shared" si="36"/>
        <v>0</v>
      </c>
      <c r="CE20" s="729">
        <f t="shared" si="37"/>
        <v>0</v>
      </c>
      <c r="CF20" s="731">
        <f t="shared" si="38"/>
        <v>0</v>
      </c>
      <c r="CG20" s="692" t="str">
        <f t="shared" si="39"/>
        <v/>
      </c>
      <c r="CH20" s="659" t="str">
        <f t="shared" si="40"/>
        <v/>
      </c>
      <c r="CI20" s="659" t="str">
        <f t="shared" si="41"/>
        <v/>
      </c>
      <c r="CJ20" s="659" t="str">
        <f t="shared" si="42"/>
        <v/>
      </c>
      <c r="CK20" s="659" t="str">
        <f t="shared" si="43"/>
        <v/>
      </c>
      <c r="CL20" s="659" t="str">
        <f t="shared" si="44"/>
        <v/>
      </c>
      <c r="CM20" s="82" t="str">
        <f t="shared" si="45"/>
        <v/>
      </c>
      <c r="CN20" s="625" t="str">
        <f t="shared" si="4"/>
        <v/>
      </c>
      <c r="CO20" s="625" t="str">
        <f t="shared" si="52"/>
        <v>0</v>
      </c>
      <c r="CP20" s="620">
        <f t="shared" si="47"/>
        <v>0</v>
      </c>
      <c r="CQ20" s="1051" t="s">
        <v>43</v>
      </c>
      <c r="CR20" s="1080">
        <v>235017</v>
      </c>
      <c r="CS20" s="625">
        <f t="shared" si="48"/>
        <v>0</v>
      </c>
      <c r="CT20" s="625">
        <f t="shared" si="49"/>
        <v>0</v>
      </c>
      <c r="CU20" s="626" t="str">
        <f t="shared" si="50"/>
        <v>00</v>
      </c>
    </row>
    <row r="21" spans="1:99" s="5" customFormat="1" ht="15" customHeight="1">
      <c r="A21" s="1094">
        <v>18</v>
      </c>
      <c r="B21" s="1376"/>
      <c r="C21" s="1377"/>
      <c r="D21" s="1068"/>
      <c r="E21" s="1060"/>
      <c r="F21" s="1382"/>
      <c r="G21" s="1200"/>
      <c r="H21" s="1061"/>
      <c r="I21" s="1062"/>
      <c r="J21" s="1063"/>
      <c r="K21" s="1153"/>
      <c r="L21" s="1153"/>
      <c r="M21" s="1183"/>
      <c r="N21" s="1187" t="str">
        <f t="shared" si="5"/>
        <v/>
      </c>
      <c r="O21" s="1190" t="str">
        <f t="shared" si="51"/>
        <v/>
      </c>
      <c r="P21" s="525" t="str">
        <f>IF(O21="","",VLOOKUP(O21,所属コード!$A$2:$E$189,2,FALSE))</f>
        <v/>
      </c>
      <c r="Q21" s="1164" t="str">
        <f>IF(O21="","",VLOOKUP(O21,所属コード!$A$2:$G$189,7,FALSE))</f>
        <v/>
      </c>
      <c r="R21" s="1166"/>
      <c r="S21" s="77"/>
      <c r="T21" s="77"/>
      <c r="U21" s="77"/>
      <c r="V21" s="15"/>
      <c r="X21" s="621"/>
      <c r="Y21" s="1090" t="str">
        <f t="shared" si="6"/>
        <v/>
      </c>
      <c r="Z21" s="618" t="str">
        <f t="shared" si="7"/>
        <v/>
      </c>
      <c r="AA21" s="617"/>
      <c r="AB21" s="617"/>
      <c r="AC21" s="617"/>
      <c r="AD21" s="617"/>
      <c r="AE21" s="617"/>
      <c r="AF21" s="617"/>
      <c r="AG21" s="620"/>
      <c r="AH21" s="727"/>
      <c r="AI21" s="728"/>
      <c r="AJ21" s="728"/>
      <c r="AK21" s="728"/>
      <c r="AL21" s="728"/>
      <c r="AM21" s="728"/>
      <c r="AN21" s="728"/>
      <c r="AO21" s="728"/>
      <c r="AP21" s="728"/>
      <c r="AQ21" s="728"/>
      <c r="AR21" s="728"/>
      <c r="AS21" s="728"/>
      <c r="AT21" s="728"/>
      <c r="AU21" s="728"/>
      <c r="AV21" s="728"/>
      <c r="AW21" s="742"/>
      <c r="AX21" s="747">
        <f t="shared" si="8"/>
        <v>0</v>
      </c>
      <c r="AY21" s="738">
        <f t="shared" si="0"/>
        <v>0</v>
      </c>
      <c r="AZ21" s="729">
        <f t="shared" si="1"/>
        <v>0</v>
      </c>
      <c r="BA21" s="730">
        <f t="shared" si="2"/>
        <v>0</v>
      </c>
      <c r="BB21" s="729">
        <f t="shared" si="3"/>
        <v>0</v>
      </c>
      <c r="BC21" s="729">
        <f t="shared" si="9"/>
        <v>0</v>
      </c>
      <c r="BD21" s="729">
        <f t="shared" si="10"/>
        <v>0</v>
      </c>
      <c r="BE21" s="729">
        <f t="shared" si="11"/>
        <v>0</v>
      </c>
      <c r="BF21" s="729">
        <f t="shared" si="12"/>
        <v>0</v>
      </c>
      <c r="BG21" s="729">
        <f t="shared" si="13"/>
        <v>0</v>
      </c>
      <c r="BH21" s="729">
        <f t="shared" si="14"/>
        <v>0</v>
      </c>
      <c r="BI21" s="729">
        <f t="shared" si="15"/>
        <v>0</v>
      </c>
      <c r="BJ21" s="729">
        <f t="shared" si="16"/>
        <v>0</v>
      </c>
      <c r="BK21" s="729">
        <f t="shared" si="17"/>
        <v>0</v>
      </c>
      <c r="BL21" s="729">
        <f t="shared" si="18"/>
        <v>0</v>
      </c>
      <c r="BM21" s="729">
        <f t="shared" si="19"/>
        <v>0</v>
      </c>
      <c r="BN21" s="729">
        <f t="shared" si="20"/>
        <v>0</v>
      </c>
      <c r="BO21" s="729">
        <f t="shared" si="21"/>
        <v>0</v>
      </c>
      <c r="BP21" s="729">
        <f t="shared" si="22"/>
        <v>0</v>
      </c>
      <c r="BQ21" s="729">
        <f t="shared" si="23"/>
        <v>0</v>
      </c>
      <c r="BR21" s="729">
        <f t="shared" si="24"/>
        <v>0</v>
      </c>
      <c r="BS21" s="729">
        <f t="shared" si="25"/>
        <v>0</v>
      </c>
      <c r="BT21" s="729">
        <f t="shared" si="26"/>
        <v>0</v>
      </c>
      <c r="BU21" s="729">
        <f t="shared" si="27"/>
        <v>0</v>
      </c>
      <c r="BV21" s="729">
        <f t="shared" si="28"/>
        <v>0</v>
      </c>
      <c r="BW21" s="729">
        <f t="shared" si="29"/>
        <v>0</v>
      </c>
      <c r="BX21" s="729">
        <f t="shared" si="30"/>
        <v>0</v>
      </c>
      <c r="BY21" s="729">
        <f t="shared" si="31"/>
        <v>0</v>
      </c>
      <c r="BZ21" s="729">
        <f t="shared" si="32"/>
        <v>0</v>
      </c>
      <c r="CA21" s="729">
        <f t="shared" si="33"/>
        <v>0</v>
      </c>
      <c r="CB21" s="729">
        <f t="shared" si="34"/>
        <v>0</v>
      </c>
      <c r="CC21" s="729">
        <f t="shared" si="35"/>
        <v>0</v>
      </c>
      <c r="CD21" s="729">
        <f t="shared" si="36"/>
        <v>0</v>
      </c>
      <c r="CE21" s="729">
        <f t="shared" si="37"/>
        <v>0</v>
      </c>
      <c r="CF21" s="731">
        <f t="shared" si="38"/>
        <v>0</v>
      </c>
      <c r="CG21" s="692" t="str">
        <f t="shared" si="39"/>
        <v/>
      </c>
      <c r="CH21" s="659" t="str">
        <f t="shared" si="40"/>
        <v/>
      </c>
      <c r="CI21" s="659" t="str">
        <f t="shared" si="41"/>
        <v/>
      </c>
      <c r="CJ21" s="659" t="str">
        <f t="shared" si="42"/>
        <v/>
      </c>
      <c r="CK21" s="659" t="str">
        <f t="shared" si="43"/>
        <v/>
      </c>
      <c r="CL21" s="659" t="str">
        <f t="shared" si="44"/>
        <v/>
      </c>
      <c r="CM21" s="82" t="str">
        <f t="shared" si="45"/>
        <v/>
      </c>
      <c r="CN21" s="625" t="str">
        <f t="shared" si="4"/>
        <v/>
      </c>
      <c r="CO21" s="625" t="str">
        <f t="shared" si="52"/>
        <v>0</v>
      </c>
      <c r="CP21" s="620">
        <f t="shared" si="47"/>
        <v>0</v>
      </c>
      <c r="CQ21" s="1051" t="s">
        <v>44</v>
      </c>
      <c r="CR21" s="1080">
        <v>235018</v>
      </c>
      <c r="CS21" s="625">
        <f t="shared" si="48"/>
        <v>0</v>
      </c>
      <c r="CT21" s="625">
        <f t="shared" si="49"/>
        <v>0</v>
      </c>
      <c r="CU21" s="626" t="str">
        <f t="shared" si="50"/>
        <v>00</v>
      </c>
    </row>
    <row r="22" spans="1:99" s="5" customFormat="1" ht="15" customHeight="1">
      <c r="A22" s="1094">
        <v>19</v>
      </c>
      <c r="B22" s="1376"/>
      <c r="C22" s="1377"/>
      <c r="D22" s="1068"/>
      <c r="E22" s="1060"/>
      <c r="F22" s="1382"/>
      <c r="G22" s="1200"/>
      <c r="H22" s="1061"/>
      <c r="I22" s="1062"/>
      <c r="J22" s="1063"/>
      <c r="K22" s="1153"/>
      <c r="L22" s="1153"/>
      <c r="M22" s="1183"/>
      <c r="N22" s="1187" t="str">
        <f t="shared" si="5"/>
        <v/>
      </c>
      <c r="O22" s="1190" t="str">
        <f t="shared" si="51"/>
        <v/>
      </c>
      <c r="P22" s="525" t="str">
        <f>IF(O22="","",VLOOKUP(O22,所属コード!$A$2:$E$189,2,FALSE))</f>
        <v/>
      </c>
      <c r="Q22" s="1164" t="str">
        <f>IF(O22="","",VLOOKUP(O22,所属コード!$A$2:$G$189,7,FALSE))</f>
        <v/>
      </c>
      <c r="R22" s="1166"/>
      <c r="S22" s="77"/>
      <c r="T22" s="77"/>
      <c r="U22" s="77"/>
      <c r="V22" s="15"/>
      <c r="X22" s="621"/>
      <c r="Y22" s="1090" t="str">
        <f t="shared" si="6"/>
        <v/>
      </c>
      <c r="Z22" s="618" t="str">
        <f t="shared" si="7"/>
        <v/>
      </c>
      <c r="AA22" s="617"/>
      <c r="AB22" s="617"/>
      <c r="AC22" s="617"/>
      <c r="AD22" s="617"/>
      <c r="AE22" s="617"/>
      <c r="AF22" s="617"/>
      <c r="AG22" s="620"/>
      <c r="AH22" s="727"/>
      <c r="AI22" s="728"/>
      <c r="AJ22" s="728"/>
      <c r="AK22" s="728"/>
      <c r="AL22" s="728"/>
      <c r="AM22" s="728"/>
      <c r="AN22" s="728"/>
      <c r="AO22" s="728"/>
      <c r="AP22" s="728"/>
      <c r="AQ22" s="728"/>
      <c r="AR22" s="728"/>
      <c r="AS22" s="728"/>
      <c r="AT22" s="728"/>
      <c r="AU22" s="728"/>
      <c r="AV22" s="728"/>
      <c r="AW22" s="742"/>
      <c r="AX22" s="747">
        <f t="shared" si="8"/>
        <v>0</v>
      </c>
      <c r="AY22" s="738">
        <f t="shared" si="0"/>
        <v>0</v>
      </c>
      <c r="AZ22" s="729">
        <f t="shared" si="1"/>
        <v>0</v>
      </c>
      <c r="BA22" s="730">
        <f t="shared" si="2"/>
        <v>0</v>
      </c>
      <c r="BB22" s="729">
        <f t="shared" si="3"/>
        <v>0</v>
      </c>
      <c r="BC22" s="729">
        <f t="shared" si="9"/>
        <v>0</v>
      </c>
      <c r="BD22" s="729">
        <f t="shared" si="10"/>
        <v>0</v>
      </c>
      <c r="BE22" s="729">
        <f t="shared" si="11"/>
        <v>0</v>
      </c>
      <c r="BF22" s="729">
        <f t="shared" si="12"/>
        <v>0</v>
      </c>
      <c r="BG22" s="729">
        <f t="shared" si="13"/>
        <v>0</v>
      </c>
      <c r="BH22" s="729">
        <f t="shared" si="14"/>
        <v>0</v>
      </c>
      <c r="BI22" s="729">
        <f t="shared" si="15"/>
        <v>0</v>
      </c>
      <c r="BJ22" s="729">
        <f t="shared" si="16"/>
        <v>0</v>
      </c>
      <c r="BK22" s="729">
        <f t="shared" si="17"/>
        <v>0</v>
      </c>
      <c r="BL22" s="729">
        <f t="shared" si="18"/>
        <v>0</v>
      </c>
      <c r="BM22" s="729">
        <f t="shared" si="19"/>
        <v>0</v>
      </c>
      <c r="BN22" s="729">
        <f t="shared" si="20"/>
        <v>0</v>
      </c>
      <c r="BO22" s="729">
        <f t="shared" si="21"/>
        <v>0</v>
      </c>
      <c r="BP22" s="729">
        <f t="shared" si="22"/>
        <v>0</v>
      </c>
      <c r="BQ22" s="729">
        <f t="shared" si="23"/>
        <v>0</v>
      </c>
      <c r="BR22" s="729">
        <f t="shared" si="24"/>
        <v>0</v>
      </c>
      <c r="BS22" s="729">
        <f t="shared" si="25"/>
        <v>0</v>
      </c>
      <c r="BT22" s="729">
        <f t="shared" si="26"/>
        <v>0</v>
      </c>
      <c r="BU22" s="729">
        <f t="shared" si="27"/>
        <v>0</v>
      </c>
      <c r="BV22" s="729">
        <f t="shared" si="28"/>
        <v>0</v>
      </c>
      <c r="BW22" s="729">
        <f t="shared" si="29"/>
        <v>0</v>
      </c>
      <c r="BX22" s="729">
        <f t="shared" si="30"/>
        <v>0</v>
      </c>
      <c r="BY22" s="729">
        <f t="shared" si="31"/>
        <v>0</v>
      </c>
      <c r="BZ22" s="729">
        <f t="shared" si="32"/>
        <v>0</v>
      </c>
      <c r="CA22" s="729">
        <f t="shared" si="33"/>
        <v>0</v>
      </c>
      <c r="CB22" s="729">
        <f t="shared" si="34"/>
        <v>0</v>
      </c>
      <c r="CC22" s="729">
        <f t="shared" si="35"/>
        <v>0</v>
      </c>
      <c r="CD22" s="729">
        <f t="shared" si="36"/>
        <v>0</v>
      </c>
      <c r="CE22" s="729">
        <f t="shared" si="37"/>
        <v>0</v>
      </c>
      <c r="CF22" s="731">
        <f t="shared" si="38"/>
        <v>0</v>
      </c>
      <c r="CG22" s="692" t="str">
        <f t="shared" si="39"/>
        <v/>
      </c>
      <c r="CH22" s="659" t="str">
        <f t="shared" si="40"/>
        <v/>
      </c>
      <c r="CI22" s="659" t="str">
        <f t="shared" si="41"/>
        <v/>
      </c>
      <c r="CJ22" s="659" t="str">
        <f t="shared" si="42"/>
        <v/>
      </c>
      <c r="CK22" s="659" t="str">
        <f t="shared" si="43"/>
        <v/>
      </c>
      <c r="CL22" s="659" t="str">
        <f t="shared" si="44"/>
        <v/>
      </c>
      <c r="CM22" s="82" t="str">
        <f t="shared" si="45"/>
        <v/>
      </c>
      <c r="CN22" s="625" t="str">
        <f t="shared" si="4"/>
        <v/>
      </c>
      <c r="CO22" s="625" t="str">
        <f t="shared" si="52"/>
        <v>0</v>
      </c>
      <c r="CP22" s="620">
        <f t="shared" si="47"/>
        <v>0</v>
      </c>
      <c r="CQ22" s="1051" t="s">
        <v>45</v>
      </c>
      <c r="CR22" s="1080">
        <v>235019</v>
      </c>
      <c r="CS22" s="625">
        <f t="shared" si="48"/>
        <v>0</v>
      </c>
      <c r="CT22" s="625">
        <f t="shared" si="49"/>
        <v>0</v>
      </c>
      <c r="CU22" s="626" t="str">
        <f t="shared" si="50"/>
        <v>00</v>
      </c>
    </row>
    <row r="23" spans="1:99" s="5" customFormat="1" ht="15" customHeight="1">
      <c r="A23" s="1094">
        <v>20</v>
      </c>
      <c r="B23" s="1376"/>
      <c r="C23" s="1377"/>
      <c r="D23" s="1068"/>
      <c r="E23" s="1060"/>
      <c r="F23" s="1382"/>
      <c r="G23" s="1200"/>
      <c r="H23" s="1061"/>
      <c r="I23" s="1062"/>
      <c r="J23" s="1063"/>
      <c r="K23" s="1153"/>
      <c r="L23" s="1153"/>
      <c r="M23" s="1183"/>
      <c r="N23" s="1187" t="str">
        <f t="shared" si="5"/>
        <v/>
      </c>
      <c r="O23" s="1190" t="str">
        <f t="shared" si="51"/>
        <v/>
      </c>
      <c r="P23" s="525" t="str">
        <f>IF(O23="","",VLOOKUP(O23,所属コード!$A$2:$E$189,2,FALSE))</f>
        <v/>
      </c>
      <c r="Q23" s="1164" t="str">
        <f>IF(O23="","",VLOOKUP(O23,所属コード!$A$2:$G$189,7,FALSE))</f>
        <v/>
      </c>
      <c r="R23" s="1166"/>
      <c r="S23" s="77"/>
      <c r="T23" s="77"/>
      <c r="U23" s="77"/>
      <c r="V23" s="15"/>
      <c r="X23" s="621"/>
      <c r="Y23" s="1090" t="str">
        <f t="shared" si="6"/>
        <v/>
      </c>
      <c r="Z23" s="618" t="str">
        <f t="shared" si="7"/>
        <v/>
      </c>
      <c r="AA23" s="617"/>
      <c r="AB23" s="617"/>
      <c r="AC23" s="617"/>
      <c r="AD23" s="617"/>
      <c r="AE23" s="617"/>
      <c r="AF23" s="617"/>
      <c r="AG23" s="620"/>
      <c r="AH23" s="727"/>
      <c r="AI23" s="728"/>
      <c r="AJ23" s="728"/>
      <c r="AK23" s="728"/>
      <c r="AL23" s="728"/>
      <c r="AM23" s="728"/>
      <c r="AN23" s="728"/>
      <c r="AO23" s="728"/>
      <c r="AP23" s="728"/>
      <c r="AQ23" s="728"/>
      <c r="AR23" s="728"/>
      <c r="AS23" s="728"/>
      <c r="AT23" s="728"/>
      <c r="AU23" s="728"/>
      <c r="AV23" s="728"/>
      <c r="AW23" s="742"/>
      <c r="AX23" s="747">
        <f t="shared" si="8"/>
        <v>0</v>
      </c>
      <c r="AY23" s="738">
        <f t="shared" si="0"/>
        <v>0</v>
      </c>
      <c r="AZ23" s="729">
        <f t="shared" si="1"/>
        <v>0</v>
      </c>
      <c r="BA23" s="730">
        <f t="shared" si="2"/>
        <v>0</v>
      </c>
      <c r="BB23" s="729">
        <f t="shared" si="3"/>
        <v>0</v>
      </c>
      <c r="BC23" s="729">
        <f t="shared" si="9"/>
        <v>0</v>
      </c>
      <c r="BD23" s="729">
        <f t="shared" si="10"/>
        <v>0</v>
      </c>
      <c r="BE23" s="729">
        <f t="shared" si="11"/>
        <v>0</v>
      </c>
      <c r="BF23" s="729">
        <f t="shared" si="12"/>
        <v>0</v>
      </c>
      <c r="BG23" s="729">
        <f t="shared" si="13"/>
        <v>0</v>
      </c>
      <c r="BH23" s="729">
        <f t="shared" si="14"/>
        <v>0</v>
      </c>
      <c r="BI23" s="729">
        <f t="shared" si="15"/>
        <v>0</v>
      </c>
      <c r="BJ23" s="729">
        <f t="shared" si="16"/>
        <v>0</v>
      </c>
      <c r="BK23" s="729">
        <f t="shared" si="17"/>
        <v>0</v>
      </c>
      <c r="BL23" s="729">
        <f t="shared" si="18"/>
        <v>0</v>
      </c>
      <c r="BM23" s="729">
        <f t="shared" si="19"/>
        <v>0</v>
      </c>
      <c r="BN23" s="729">
        <f t="shared" si="20"/>
        <v>0</v>
      </c>
      <c r="BO23" s="729">
        <f t="shared" si="21"/>
        <v>0</v>
      </c>
      <c r="BP23" s="729">
        <f t="shared" si="22"/>
        <v>0</v>
      </c>
      <c r="BQ23" s="729">
        <f t="shared" si="23"/>
        <v>0</v>
      </c>
      <c r="BR23" s="729">
        <f t="shared" si="24"/>
        <v>0</v>
      </c>
      <c r="BS23" s="729">
        <f t="shared" si="25"/>
        <v>0</v>
      </c>
      <c r="BT23" s="729">
        <f t="shared" si="26"/>
        <v>0</v>
      </c>
      <c r="BU23" s="729">
        <f t="shared" si="27"/>
        <v>0</v>
      </c>
      <c r="BV23" s="729">
        <f t="shared" si="28"/>
        <v>0</v>
      </c>
      <c r="BW23" s="729">
        <f t="shared" si="29"/>
        <v>0</v>
      </c>
      <c r="BX23" s="729">
        <f t="shared" si="30"/>
        <v>0</v>
      </c>
      <c r="BY23" s="729">
        <f t="shared" si="31"/>
        <v>0</v>
      </c>
      <c r="BZ23" s="729">
        <f t="shared" si="32"/>
        <v>0</v>
      </c>
      <c r="CA23" s="729">
        <f t="shared" si="33"/>
        <v>0</v>
      </c>
      <c r="CB23" s="729">
        <f t="shared" si="34"/>
        <v>0</v>
      </c>
      <c r="CC23" s="729">
        <f t="shared" si="35"/>
        <v>0</v>
      </c>
      <c r="CD23" s="729">
        <f t="shared" si="36"/>
        <v>0</v>
      </c>
      <c r="CE23" s="729">
        <f t="shared" si="37"/>
        <v>0</v>
      </c>
      <c r="CF23" s="731">
        <f t="shared" si="38"/>
        <v>0</v>
      </c>
      <c r="CG23" s="692" t="str">
        <f t="shared" si="39"/>
        <v/>
      </c>
      <c r="CH23" s="659" t="str">
        <f t="shared" si="40"/>
        <v/>
      </c>
      <c r="CI23" s="659" t="str">
        <f t="shared" si="41"/>
        <v/>
      </c>
      <c r="CJ23" s="659" t="str">
        <f t="shared" si="42"/>
        <v/>
      </c>
      <c r="CK23" s="659" t="str">
        <f t="shared" si="43"/>
        <v/>
      </c>
      <c r="CL23" s="659" t="str">
        <f t="shared" si="44"/>
        <v/>
      </c>
      <c r="CM23" s="82" t="str">
        <f t="shared" si="45"/>
        <v/>
      </c>
      <c r="CN23" s="625" t="str">
        <f t="shared" si="4"/>
        <v/>
      </c>
      <c r="CO23" s="625" t="str">
        <f t="shared" si="52"/>
        <v>0</v>
      </c>
      <c r="CP23" s="620">
        <f t="shared" si="47"/>
        <v>0</v>
      </c>
      <c r="CQ23" s="1051" t="s">
        <v>46</v>
      </c>
      <c r="CR23" s="1080">
        <v>235020</v>
      </c>
      <c r="CS23" s="625">
        <f t="shared" si="48"/>
        <v>0</v>
      </c>
      <c r="CT23" s="625">
        <f t="shared" si="49"/>
        <v>0</v>
      </c>
      <c r="CU23" s="626" t="str">
        <f t="shared" si="50"/>
        <v>00</v>
      </c>
    </row>
    <row r="24" spans="1:99" s="5" customFormat="1" ht="15" customHeight="1">
      <c r="A24" s="1094">
        <v>21</v>
      </c>
      <c r="B24" s="1376"/>
      <c r="C24" s="1377"/>
      <c r="D24" s="1068"/>
      <c r="E24" s="1060"/>
      <c r="F24" s="1382"/>
      <c r="G24" s="1200"/>
      <c r="H24" s="1061"/>
      <c r="I24" s="1062"/>
      <c r="J24" s="1063"/>
      <c r="K24" s="1153"/>
      <c r="L24" s="1153"/>
      <c r="M24" s="1183"/>
      <c r="N24" s="1187" t="str">
        <f t="shared" si="5"/>
        <v/>
      </c>
      <c r="O24" s="1190" t="str">
        <f t="shared" si="51"/>
        <v/>
      </c>
      <c r="P24" s="525" t="str">
        <f>IF(O24="","",VLOOKUP(O24,所属コード!$A$2:$E$189,2,FALSE))</f>
        <v/>
      </c>
      <c r="Q24" s="1164" t="str">
        <f>IF(O24="","",VLOOKUP(O24,所属コード!$A$2:$G$189,7,FALSE))</f>
        <v/>
      </c>
      <c r="R24" s="1166"/>
      <c r="S24" s="77"/>
      <c r="T24" s="77"/>
      <c r="U24" s="77"/>
      <c r="V24" s="15"/>
      <c r="X24" s="621"/>
      <c r="Y24" s="1090" t="str">
        <f t="shared" si="6"/>
        <v/>
      </c>
      <c r="Z24" s="618" t="str">
        <f t="shared" si="7"/>
        <v/>
      </c>
      <c r="AA24" s="617"/>
      <c r="AB24" s="617"/>
      <c r="AC24" s="617"/>
      <c r="AD24" s="617"/>
      <c r="AE24" s="617"/>
      <c r="AF24" s="617"/>
      <c r="AG24" s="620"/>
      <c r="AH24" s="727"/>
      <c r="AI24" s="728"/>
      <c r="AJ24" s="728"/>
      <c r="AK24" s="728"/>
      <c r="AL24" s="728"/>
      <c r="AM24" s="728"/>
      <c r="AN24" s="728"/>
      <c r="AO24" s="728"/>
      <c r="AP24" s="728"/>
      <c r="AQ24" s="728"/>
      <c r="AR24" s="728"/>
      <c r="AS24" s="728"/>
      <c r="AT24" s="728"/>
      <c r="AU24" s="728"/>
      <c r="AV24" s="728"/>
      <c r="AW24" s="742"/>
      <c r="AX24" s="747">
        <f t="shared" si="8"/>
        <v>0</v>
      </c>
      <c r="AY24" s="738">
        <f t="shared" si="0"/>
        <v>0</v>
      </c>
      <c r="AZ24" s="729">
        <f t="shared" si="1"/>
        <v>0</v>
      </c>
      <c r="BA24" s="730">
        <f t="shared" si="2"/>
        <v>0</v>
      </c>
      <c r="BB24" s="729">
        <f t="shared" si="3"/>
        <v>0</v>
      </c>
      <c r="BC24" s="729">
        <f t="shared" si="9"/>
        <v>0</v>
      </c>
      <c r="BD24" s="729">
        <f t="shared" si="10"/>
        <v>0</v>
      </c>
      <c r="BE24" s="729">
        <f t="shared" si="11"/>
        <v>0</v>
      </c>
      <c r="BF24" s="729">
        <f t="shared" si="12"/>
        <v>0</v>
      </c>
      <c r="BG24" s="729">
        <f t="shared" si="13"/>
        <v>0</v>
      </c>
      <c r="BH24" s="729">
        <f t="shared" si="14"/>
        <v>0</v>
      </c>
      <c r="BI24" s="729">
        <f t="shared" si="15"/>
        <v>0</v>
      </c>
      <c r="BJ24" s="729">
        <f t="shared" si="16"/>
        <v>0</v>
      </c>
      <c r="BK24" s="729">
        <f t="shared" si="17"/>
        <v>0</v>
      </c>
      <c r="BL24" s="729">
        <f t="shared" si="18"/>
        <v>0</v>
      </c>
      <c r="BM24" s="729">
        <f t="shared" si="19"/>
        <v>0</v>
      </c>
      <c r="BN24" s="729">
        <f t="shared" si="20"/>
        <v>0</v>
      </c>
      <c r="BO24" s="729">
        <f t="shared" si="21"/>
        <v>0</v>
      </c>
      <c r="BP24" s="729">
        <f t="shared" si="22"/>
        <v>0</v>
      </c>
      <c r="BQ24" s="729">
        <f t="shared" si="23"/>
        <v>0</v>
      </c>
      <c r="BR24" s="729">
        <f t="shared" si="24"/>
        <v>0</v>
      </c>
      <c r="BS24" s="729">
        <f t="shared" si="25"/>
        <v>0</v>
      </c>
      <c r="BT24" s="729">
        <f t="shared" si="26"/>
        <v>0</v>
      </c>
      <c r="BU24" s="729">
        <f t="shared" si="27"/>
        <v>0</v>
      </c>
      <c r="BV24" s="729">
        <f t="shared" si="28"/>
        <v>0</v>
      </c>
      <c r="BW24" s="729">
        <f t="shared" si="29"/>
        <v>0</v>
      </c>
      <c r="BX24" s="729">
        <f t="shared" si="30"/>
        <v>0</v>
      </c>
      <c r="BY24" s="729">
        <f t="shared" si="31"/>
        <v>0</v>
      </c>
      <c r="BZ24" s="729">
        <f t="shared" si="32"/>
        <v>0</v>
      </c>
      <c r="CA24" s="729">
        <f t="shared" si="33"/>
        <v>0</v>
      </c>
      <c r="CB24" s="729">
        <f t="shared" si="34"/>
        <v>0</v>
      </c>
      <c r="CC24" s="729">
        <f t="shared" si="35"/>
        <v>0</v>
      </c>
      <c r="CD24" s="729">
        <f t="shared" si="36"/>
        <v>0</v>
      </c>
      <c r="CE24" s="729">
        <f t="shared" si="37"/>
        <v>0</v>
      </c>
      <c r="CF24" s="731">
        <f t="shared" si="38"/>
        <v>0</v>
      </c>
      <c r="CG24" s="692" t="str">
        <f t="shared" si="39"/>
        <v/>
      </c>
      <c r="CH24" s="659" t="str">
        <f t="shared" si="40"/>
        <v/>
      </c>
      <c r="CI24" s="659" t="str">
        <f t="shared" si="41"/>
        <v/>
      </c>
      <c r="CJ24" s="659" t="str">
        <f t="shared" si="42"/>
        <v/>
      </c>
      <c r="CK24" s="659" t="str">
        <f t="shared" si="43"/>
        <v/>
      </c>
      <c r="CL24" s="659" t="str">
        <f t="shared" si="44"/>
        <v/>
      </c>
      <c r="CM24" s="82" t="str">
        <f t="shared" si="45"/>
        <v/>
      </c>
      <c r="CN24" s="625" t="str">
        <f t="shared" si="4"/>
        <v/>
      </c>
      <c r="CO24" s="625" t="str">
        <f t="shared" si="52"/>
        <v>0</v>
      </c>
      <c r="CP24" s="620">
        <f t="shared" si="47"/>
        <v>0</v>
      </c>
      <c r="CQ24" s="1051" t="s">
        <v>47</v>
      </c>
      <c r="CR24" s="1080">
        <v>235021</v>
      </c>
      <c r="CS24" s="625">
        <f t="shared" si="48"/>
        <v>0</v>
      </c>
      <c r="CT24" s="625">
        <f t="shared" si="49"/>
        <v>0</v>
      </c>
      <c r="CU24" s="626" t="str">
        <f t="shared" si="50"/>
        <v>00</v>
      </c>
    </row>
    <row r="25" spans="1:99" s="5" customFormat="1" ht="15" customHeight="1">
      <c r="A25" s="1094">
        <v>22</v>
      </c>
      <c r="B25" s="1376"/>
      <c r="C25" s="1377"/>
      <c r="D25" s="1068"/>
      <c r="E25" s="1060"/>
      <c r="F25" s="1382"/>
      <c r="G25" s="1200"/>
      <c r="H25" s="1061"/>
      <c r="I25" s="1062"/>
      <c r="J25" s="1063"/>
      <c r="K25" s="1153"/>
      <c r="L25" s="1153"/>
      <c r="M25" s="1183"/>
      <c r="N25" s="1187" t="str">
        <f t="shared" si="5"/>
        <v/>
      </c>
      <c r="O25" s="1190" t="str">
        <f t="shared" si="51"/>
        <v/>
      </c>
      <c r="P25" s="525" t="str">
        <f>IF(O25="","",VLOOKUP(O25,所属コード!$A$2:$E$189,2,FALSE))</f>
        <v/>
      </c>
      <c r="Q25" s="1164" t="str">
        <f>IF(O25="","",VLOOKUP(O25,所属コード!$A$2:$G$189,7,FALSE))</f>
        <v/>
      </c>
      <c r="R25" s="1166"/>
      <c r="S25" s="77"/>
      <c r="T25" s="77"/>
      <c r="U25" s="77"/>
      <c r="V25" s="15"/>
      <c r="X25" s="621"/>
      <c r="Y25" s="1090" t="str">
        <f t="shared" si="6"/>
        <v/>
      </c>
      <c r="Z25" s="618" t="str">
        <f t="shared" si="7"/>
        <v/>
      </c>
      <c r="AA25" s="617"/>
      <c r="AB25" s="617"/>
      <c r="AC25" s="617"/>
      <c r="AD25" s="617"/>
      <c r="AE25" s="617"/>
      <c r="AF25" s="617"/>
      <c r="AG25" s="620"/>
      <c r="AH25" s="727"/>
      <c r="AI25" s="728"/>
      <c r="AJ25" s="728"/>
      <c r="AK25" s="728"/>
      <c r="AL25" s="728"/>
      <c r="AM25" s="728"/>
      <c r="AN25" s="728"/>
      <c r="AO25" s="728"/>
      <c r="AP25" s="728"/>
      <c r="AQ25" s="728"/>
      <c r="AR25" s="728"/>
      <c r="AS25" s="728"/>
      <c r="AT25" s="728"/>
      <c r="AU25" s="728"/>
      <c r="AV25" s="728"/>
      <c r="AW25" s="742"/>
      <c r="AX25" s="747">
        <f t="shared" si="8"/>
        <v>0</v>
      </c>
      <c r="AY25" s="738">
        <f t="shared" si="0"/>
        <v>0</v>
      </c>
      <c r="AZ25" s="729">
        <f t="shared" si="1"/>
        <v>0</v>
      </c>
      <c r="BA25" s="730">
        <f t="shared" si="2"/>
        <v>0</v>
      </c>
      <c r="BB25" s="729">
        <f t="shared" si="3"/>
        <v>0</v>
      </c>
      <c r="BC25" s="729">
        <f t="shared" si="9"/>
        <v>0</v>
      </c>
      <c r="BD25" s="729">
        <f t="shared" si="10"/>
        <v>0</v>
      </c>
      <c r="BE25" s="729">
        <f t="shared" si="11"/>
        <v>0</v>
      </c>
      <c r="BF25" s="729">
        <f t="shared" si="12"/>
        <v>0</v>
      </c>
      <c r="BG25" s="729">
        <f t="shared" si="13"/>
        <v>0</v>
      </c>
      <c r="BH25" s="729">
        <f t="shared" si="14"/>
        <v>0</v>
      </c>
      <c r="BI25" s="729">
        <f t="shared" si="15"/>
        <v>0</v>
      </c>
      <c r="BJ25" s="729">
        <f t="shared" si="16"/>
        <v>0</v>
      </c>
      <c r="BK25" s="729">
        <f t="shared" si="17"/>
        <v>0</v>
      </c>
      <c r="BL25" s="729">
        <f t="shared" si="18"/>
        <v>0</v>
      </c>
      <c r="BM25" s="729">
        <f t="shared" si="19"/>
        <v>0</v>
      </c>
      <c r="BN25" s="729">
        <f t="shared" si="20"/>
        <v>0</v>
      </c>
      <c r="BO25" s="729">
        <f t="shared" si="21"/>
        <v>0</v>
      </c>
      <c r="BP25" s="729">
        <f t="shared" si="22"/>
        <v>0</v>
      </c>
      <c r="BQ25" s="729">
        <f t="shared" si="23"/>
        <v>0</v>
      </c>
      <c r="BR25" s="729">
        <f t="shared" si="24"/>
        <v>0</v>
      </c>
      <c r="BS25" s="729">
        <f t="shared" si="25"/>
        <v>0</v>
      </c>
      <c r="BT25" s="729">
        <f t="shared" si="26"/>
        <v>0</v>
      </c>
      <c r="BU25" s="729">
        <f t="shared" si="27"/>
        <v>0</v>
      </c>
      <c r="BV25" s="729">
        <f t="shared" si="28"/>
        <v>0</v>
      </c>
      <c r="BW25" s="729">
        <f t="shared" si="29"/>
        <v>0</v>
      </c>
      <c r="BX25" s="729">
        <f t="shared" si="30"/>
        <v>0</v>
      </c>
      <c r="BY25" s="729">
        <f t="shared" si="31"/>
        <v>0</v>
      </c>
      <c r="BZ25" s="729">
        <f t="shared" si="32"/>
        <v>0</v>
      </c>
      <c r="CA25" s="729">
        <f t="shared" si="33"/>
        <v>0</v>
      </c>
      <c r="CB25" s="729">
        <f t="shared" si="34"/>
        <v>0</v>
      </c>
      <c r="CC25" s="729">
        <f t="shared" si="35"/>
        <v>0</v>
      </c>
      <c r="CD25" s="729">
        <f t="shared" si="36"/>
        <v>0</v>
      </c>
      <c r="CE25" s="729">
        <f t="shared" si="37"/>
        <v>0</v>
      </c>
      <c r="CF25" s="731">
        <f t="shared" si="38"/>
        <v>0</v>
      </c>
      <c r="CG25" s="692" t="str">
        <f t="shared" si="39"/>
        <v/>
      </c>
      <c r="CH25" s="659" t="str">
        <f t="shared" si="40"/>
        <v/>
      </c>
      <c r="CI25" s="659" t="str">
        <f t="shared" si="41"/>
        <v/>
      </c>
      <c r="CJ25" s="659" t="str">
        <f t="shared" si="42"/>
        <v/>
      </c>
      <c r="CK25" s="659" t="str">
        <f t="shared" si="43"/>
        <v/>
      </c>
      <c r="CL25" s="659" t="str">
        <f t="shared" si="44"/>
        <v/>
      </c>
      <c r="CM25" s="82" t="str">
        <f t="shared" si="45"/>
        <v/>
      </c>
      <c r="CN25" s="625" t="str">
        <f t="shared" si="4"/>
        <v/>
      </c>
      <c r="CO25" s="625" t="str">
        <f t="shared" si="52"/>
        <v>0</v>
      </c>
      <c r="CP25" s="620">
        <f t="shared" si="47"/>
        <v>0</v>
      </c>
      <c r="CQ25" s="1051" t="s">
        <v>48</v>
      </c>
      <c r="CR25" s="1080">
        <v>235022</v>
      </c>
      <c r="CS25" s="625">
        <f t="shared" si="48"/>
        <v>0</v>
      </c>
      <c r="CT25" s="625">
        <f t="shared" si="49"/>
        <v>0</v>
      </c>
      <c r="CU25" s="626" t="str">
        <f t="shared" si="50"/>
        <v>00</v>
      </c>
    </row>
    <row r="26" spans="1:99" s="5" customFormat="1" ht="15" customHeight="1">
      <c r="A26" s="1094">
        <v>23</v>
      </c>
      <c r="B26" s="1376"/>
      <c r="C26" s="1377"/>
      <c r="D26" s="1068"/>
      <c r="E26" s="1060"/>
      <c r="F26" s="1382"/>
      <c r="G26" s="1200"/>
      <c r="H26" s="1061"/>
      <c r="I26" s="1062"/>
      <c r="J26" s="1063"/>
      <c r="K26" s="1153"/>
      <c r="L26" s="1153"/>
      <c r="M26" s="1183"/>
      <c r="N26" s="1187" t="str">
        <f t="shared" si="5"/>
        <v/>
      </c>
      <c r="O26" s="1190" t="str">
        <f t="shared" si="51"/>
        <v/>
      </c>
      <c r="P26" s="525" t="str">
        <f>IF(O26="","",VLOOKUP(O26,所属コード!$A$2:$E$189,2,FALSE))</f>
        <v/>
      </c>
      <c r="Q26" s="1164" t="str">
        <f>IF(O26="","",VLOOKUP(O26,所属コード!$A$2:$G$189,7,FALSE))</f>
        <v/>
      </c>
      <c r="R26" s="1166"/>
      <c r="S26" s="77"/>
      <c r="T26" s="77"/>
      <c r="U26" s="77"/>
      <c r="V26" s="15"/>
      <c r="X26" s="621"/>
      <c r="Y26" s="1090" t="str">
        <f t="shared" si="6"/>
        <v/>
      </c>
      <c r="Z26" s="618" t="str">
        <f t="shared" si="7"/>
        <v/>
      </c>
      <c r="AA26" s="617"/>
      <c r="AB26" s="617"/>
      <c r="AC26" s="617"/>
      <c r="AD26" s="617"/>
      <c r="AE26" s="617"/>
      <c r="AF26" s="617"/>
      <c r="AG26" s="620"/>
      <c r="AH26" s="727"/>
      <c r="AI26" s="728"/>
      <c r="AJ26" s="728"/>
      <c r="AK26" s="728"/>
      <c r="AL26" s="728"/>
      <c r="AM26" s="728"/>
      <c r="AN26" s="728"/>
      <c r="AO26" s="728"/>
      <c r="AP26" s="728"/>
      <c r="AQ26" s="728"/>
      <c r="AR26" s="728"/>
      <c r="AS26" s="728"/>
      <c r="AT26" s="728"/>
      <c r="AU26" s="728"/>
      <c r="AV26" s="728"/>
      <c r="AW26" s="742"/>
      <c r="AX26" s="747">
        <f t="shared" si="8"/>
        <v>0</v>
      </c>
      <c r="AY26" s="738">
        <f t="shared" si="0"/>
        <v>0</v>
      </c>
      <c r="AZ26" s="729">
        <f t="shared" si="1"/>
        <v>0</v>
      </c>
      <c r="BA26" s="730">
        <f t="shared" si="2"/>
        <v>0</v>
      </c>
      <c r="BB26" s="729">
        <f t="shared" si="3"/>
        <v>0</v>
      </c>
      <c r="BC26" s="729">
        <f t="shared" si="9"/>
        <v>0</v>
      </c>
      <c r="BD26" s="729">
        <f t="shared" si="10"/>
        <v>0</v>
      </c>
      <c r="BE26" s="729">
        <f t="shared" si="11"/>
        <v>0</v>
      </c>
      <c r="BF26" s="729">
        <f t="shared" si="12"/>
        <v>0</v>
      </c>
      <c r="BG26" s="729">
        <f t="shared" si="13"/>
        <v>0</v>
      </c>
      <c r="BH26" s="729">
        <f t="shared" si="14"/>
        <v>0</v>
      </c>
      <c r="BI26" s="729">
        <f t="shared" si="15"/>
        <v>0</v>
      </c>
      <c r="BJ26" s="729">
        <f t="shared" si="16"/>
        <v>0</v>
      </c>
      <c r="BK26" s="729">
        <f t="shared" si="17"/>
        <v>0</v>
      </c>
      <c r="BL26" s="729">
        <f t="shared" si="18"/>
        <v>0</v>
      </c>
      <c r="BM26" s="729">
        <f t="shared" si="19"/>
        <v>0</v>
      </c>
      <c r="BN26" s="729">
        <f t="shared" si="20"/>
        <v>0</v>
      </c>
      <c r="BO26" s="729">
        <f t="shared" si="21"/>
        <v>0</v>
      </c>
      <c r="BP26" s="729">
        <f t="shared" si="22"/>
        <v>0</v>
      </c>
      <c r="BQ26" s="729">
        <f t="shared" si="23"/>
        <v>0</v>
      </c>
      <c r="BR26" s="729">
        <f t="shared" si="24"/>
        <v>0</v>
      </c>
      <c r="BS26" s="729">
        <f t="shared" si="25"/>
        <v>0</v>
      </c>
      <c r="BT26" s="729">
        <f t="shared" si="26"/>
        <v>0</v>
      </c>
      <c r="BU26" s="729">
        <f t="shared" si="27"/>
        <v>0</v>
      </c>
      <c r="BV26" s="729">
        <f t="shared" si="28"/>
        <v>0</v>
      </c>
      <c r="BW26" s="729">
        <f t="shared" si="29"/>
        <v>0</v>
      </c>
      <c r="BX26" s="729">
        <f t="shared" si="30"/>
        <v>0</v>
      </c>
      <c r="BY26" s="729">
        <f t="shared" si="31"/>
        <v>0</v>
      </c>
      <c r="BZ26" s="729">
        <f t="shared" si="32"/>
        <v>0</v>
      </c>
      <c r="CA26" s="729">
        <f t="shared" si="33"/>
        <v>0</v>
      </c>
      <c r="CB26" s="729">
        <f t="shared" si="34"/>
        <v>0</v>
      </c>
      <c r="CC26" s="729">
        <f t="shared" si="35"/>
        <v>0</v>
      </c>
      <c r="CD26" s="729">
        <f t="shared" si="36"/>
        <v>0</v>
      </c>
      <c r="CE26" s="729">
        <f t="shared" si="37"/>
        <v>0</v>
      </c>
      <c r="CF26" s="731">
        <f t="shared" si="38"/>
        <v>0</v>
      </c>
      <c r="CG26" s="692" t="str">
        <f t="shared" si="39"/>
        <v/>
      </c>
      <c r="CH26" s="659" t="str">
        <f t="shared" si="40"/>
        <v/>
      </c>
      <c r="CI26" s="659" t="str">
        <f t="shared" si="41"/>
        <v/>
      </c>
      <c r="CJ26" s="659" t="str">
        <f t="shared" si="42"/>
        <v/>
      </c>
      <c r="CK26" s="659" t="str">
        <f t="shared" si="43"/>
        <v/>
      </c>
      <c r="CL26" s="659" t="str">
        <f t="shared" si="44"/>
        <v/>
      </c>
      <c r="CM26" s="82" t="str">
        <f t="shared" si="45"/>
        <v/>
      </c>
      <c r="CN26" s="625" t="str">
        <f t="shared" si="4"/>
        <v/>
      </c>
      <c r="CO26" s="625" t="str">
        <f t="shared" si="52"/>
        <v>0</v>
      </c>
      <c r="CP26" s="620">
        <f t="shared" si="47"/>
        <v>0</v>
      </c>
      <c r="CQ26" s="1051" t="s">
        <v>49</v>
      </c>
      <c r="CR26" s="1080">
        <v>235023</v>
      </c>
      <c r="CS26" s="625">
        <f t="shared" si="48"/>
        <v>0</v>
      </c>
      <c r="CT26" s="625">
        <f t="shared" si="49"/>
        <v>0</v>
      </c>
      <c r="CU26" s="626" t="str">
        <f t="shared" si="50"/>
        <v>00</v>
      </c>
    </row>
    <row r="27" spans="1:99" s="5" customFormat="1" ht="15" customHeight="1">
      <c r="A27" s="1094">
        <v>24</v>
      </c>
      <c r="B27" s="1376"/>
      <c r="C27" s="1377"/>
      <c r="D27" s="1068"/>
      <c r="E27" s="1060"/>
      <c r="F27" s="1382"/>
      <c r="G27" s="1200"/>
      <c r="H27" s="1061"/>
      <c r="I27" s="1062"/>
      <c r="J27" s="1063"/>
      <c r="K27" s="1153"/>
      <c r="L27" s="1153"/>
      <c r="M27" s="1183"/>
      <c r="N27" s="1187" t="str">
        <f t="shared" si="5"/>
        <v/>
      </c>
      <c r="O27" s="1190" t="str">
        <f t="shared" si="51"/>
        <v/>
      </c>
      <c r="P27" s="525" t="str">
        <f>IF(O27="","",VLOOKUP(O27,所属コード!$A$2:$E$189,2,FALSE))</f>
        <v/>
      </c>
      <c r="Q27" s="1164" t="str">
        <f>IF(O27="","",VLOOKUP(O27,所属コード!$A$2:$G$189,7,FALSE))</f>
        <v/>
      </c>
      <c r="R27" s="1166"/>
      <c r="S27" s="77"/>
      <c r="T27" s="77"/>
      <c r="U27" s="77"/>
      <c r="V27" s="15"/>
      <c r="X27" s="621"/>
      <c r="Y27" s="1090" t="str">
        <f t="shared" si="6"/>
        <v/>
      </c>
      <c r="Z27" s="618" t="str">
        <f t="shared" si="7"/>
        <v/>
      </c>
      <c r="AA27" s="617"/>
      <c r="AB27" s="617"/>
      <c r="AC27" s="617"/>
      <c r="AD27" s="617"/>
      <c r="AE27" s="617"/>
      <c r="AF27" s="617"/>
      <c r="AG27" s="620"/>
      <c r="AH27" s="727"/>
      <c r="AI27" s="728"/>
      <c r="AJ27" s="728"/>
      <c r="AK27" s="728"/>
      <c r="AL27" s="728"/>
      <c r="AM27" s="728"/>
      <c r="AN27" s="728"/>
      <c r="AO27" s="728"/>
      <c r="AP27" s="728"/>
      <c r="AQ27" s="728"/>
      <c r="AR27" s="728"/>
      <c r="AS27" s="728"/>
      <c r="AT27" s="728"/>
      <c r="AU27" s="728"/>
      <c r="AV27" s="728"/>
      <c r="AW27" s="742"/>
      <c r="AX27" s="747">
        <f t="shared" si="8"/>
        <v>0</v>
      </c>
      <c r="AY27" s="738">
        <f t="shared" si="0"/>
        <v>0</v>
      </c>
      <c r="AZ27" s="729">
        <f t="shared" si="1"/>
        <v>0</v>
      </c>
      <c r="BA27" s="730">
        <f t="shared" si="2"/>
        <v>0</v>
      </c>
      <c r="BB27" s="729">
        <f t="shared" si="3"/>
        <v>0</v>
      </c>
      <c r="BC27" s="729">
        <f t="shared" si="9"/>
        <v>0</v>
      </c>
      <c r="BD27" s="729">
        <f t="shared" si="10"/>
        <v>0</v>
      </c>
      <c r="BE27" s="729">
        <f t="shared" si="11"/>
        <v>0</v>
      </c>
      <c r="BF27" s="729">
        <f t="shared" si="12"/>
        <v>0</v>
      </c>
      <c r="BG27" s="729">
        <f t="shared" si="13"/>
        <v>0</v>
      </c>
      <c r="BH27" s="729">
        <f t="shared" si="14"/>
        <v>0</v>
      </c>
      <c r="BI27" s="729">
        <f t="shared" si="15"/>
        <v>0</v>
      </c>
      <c r="BJ27" s="729">
        <f t="shared" si="16"/>
        <v>0</v>
      </c>
      <c r="BK27" s="729">
        <f t="shared" si="17"/>
        <v>0</v>
      </c>
      <c r="BL27" s="729">
        <f t="shared" si="18"/>
        <v>0</v>
      </c>
      <c r="BM27" s="729">
        <f t="shared" si="19"/>
        <v>0</v>
      </c>
      <c r="BN27" s="729">
        <f t="shared" si="20"/>
        <v>0</v>
      </c>
      <c r="BO27" s="729">
        <f t="shared" si="21"/>
        <v>0</v>
      </c>
      <c r="BP27" s="729">
        <f t="shared" si="22"/>
        <v>0</v>
      </c>
      <c r="BQ27" s="729">
        <f t="shared" si="23"/>
        <v>0</v>
      </c>
      <c r="BR27" s="729">
        <f t="shared" si="24"/>
        <v>0</v>
      </c>
      <c r="BS27" s="729">
        <f t="shared" si="25"/>
        <v>0</v>
      </c>
      <c r="BT27" s="729">
        <f t="shared" si="26"/>
        <v>0</v>
      </c>
      <c r="BU27" s="729">
        <f t="shared" si="27"/>
        <v>0</v>
      </c>
      <c r="BV27" s="729">
        <f t="shared" si="28"/>
        <v>0</v>
      </c>
      <c r="BW27" s="729">
        <f t="shared" si="29"/>
        <v>0</v>
      </c>
      <c r="BX27" s="729">
        <f t="shared" si="30"/>
        <v>0</v>
      </c>
      <c r="BY27" s="729">
        <f t="shared" si="31"/>
        <v>0</v>
      </c>
      <c r="BZ27" s="729">
        <f t="shared" si="32"/>
        <v>0</v>
      </c>
      <c r="CA27" s="729">
        <f t="shared" si="33"/>
        <v>0</v>
      </c>
      <c r="CB27" s="729">
        <f t="shared" si="34"/>
        <v>0</v>
      </c>
      <c r="CC27" s="729">
        <f t="shared" si="35"/>
        <v>0</v>
      </c>
      <c r="CD27" s="729">
        <f t="shared" si="36"/>
        <v>0</v>
      </c>
      <c r="CE27" s="729">
        <f t="shared" si="37"/>
        <v>0</v>
      </c>
      <c r="CF27" s="731">
        <f t="shared" si="38"/>
        <v>0</v>
      </c>
      <c r="CG27" s="692" t="str">
        <f t="shared" si="39"/>
        <v/>
      </c>
      <c r="CH27" s="659" t="str">
        <f t="shared" si="40"/>
        <v/>
      </c>
      <c r="CI27" s="659" t="str">
        <f t="shared" si="41"/>
        <v/>
      </c>
      <c r="CJ27" s="659" t="str">
        <f t="shared" si="42"/>
        <v/>
      </c>
      <c r="CK27" s="659" t="str">
        <f t="shared" si="43"/>
        <v/>
      </c>
      <c r="CL27" s="659" t="str">
        <f t="shared" si="44"/>
        <v/>
      </c>
      <c r="CM27" s="82" t="str">
        <f t="shared" si="45"/>
        <v/>
      </c>
      <c r="CN27" s="625" t="str">
        <f t="shared" si="4"/>
        <v/>
      </c>
      <c r="CO27" s="625" t="str">
        <f t="shared" si="52"/>
        <v>0</v>
      </c>
      <c r="CP27" s="620">
        <f t="shared" si="47"/>
        <v>0</v>
      </c>
      <c r="CQ27" s="1051" t="s">
        <v>50</v>
      </c>
      <c r="CR27" s="1080">
        <v>235024</v>
      </c>
      <c r="CS27" s="625">
        <f t="shared" si="48"/>
        <v>0</v>
      </c>
      <c r="CT27" s="625">
        <f t="shared" si="49"/>
        <v>0</v>
      </c>
      <c r="CU27" s="626" t="str">
        <f t="shared" si="50"/>
        <v>00</v>
      </c>
    </row>
    <row r="28" spans="1:99" s="5" customFormat="1" ht="15" customHeight="1">
      <c r="A28" s="1094">
        <v>25</v>
      </c>
      <c r="B28" s="1376"/>
      <c r="C28" s="1377"/>
      <c r="D28" s="1068"/>
      <c r="E28" s="1060"/>
      <c r="F28" s="1382"/>
      <c r="G28" s="1200"/>
      <c r="H28" s="1061"/>
      <c r="I28" s="1062"/>
      <c r="J28" s="1063"/>
      <c r="K28" s="1153"/>
      <c r="L28" s="1153"/>
      <c r="M28" s="1183"/>
      <c r="N28" s="1187" t="str">
        <f t="shared" si="5"/>
        <v/>
      </c>
      <c r="O28" s="1190" t="str">
        <f t="shared" si="51"/>
        <v/>
      </c>
      <c r="P28" s="525" t="str">
        <f>IF(O28="","",VLOOKUP(O28,所属コード!$A$2:$E$189,2,FALSE))</f>
        <v/>
      </c>
      <c r="Q28" s="1164" t="str">
        <f>IF(O28="","",VLOOKUP(O28,所属コード!$A$2:$G$189,7,FALSE))</f>
        <v/>
      </c>
      <c r="R28" s="1166"/>
      <c r="S28" s="77"/>
      <c r="T28" s="77"/>
      <c r="U28" s="77"/>
      <c r="V28" s="15"/>
      <c r="X28" s="621"/>
      <c r="Y28" s="1090" t="str">
        <f t="shared" si="6"/>
        <v/>
      </c>
      <c r="Z28" s="618" t="str">
        <f t="shared" si="7"/>
        <v/>
      </c>
      <c r="AA28" s="617"/>
      <c r="AB28" s="617"/>
      <c r="AC28" s="617"/>
      <c r="AD28" s="617"/>
      <c r="AE28" s="617"/>
      <c r="AF28" s="617"/>
      <c r="AG28" s="620"/>
      <c r="AH28" s="727"/>
      <c r="AI28" s="728"/>
      <c r="AJ28" s="728"/>
      <c r="AK28" s="728"/>
      <c r="AL28" s="728"/>
      <c r="AM28" s="728"/>
      <c r="AN28" s="728"/>
      <c r="AO28" s="728"/>
      <c r="AP28" s="728"/>
      <c r="AQ28" s="728"/>
      <c r="AR28" s="728"/>
      <c r="AS28" s="728"/>
      <c r="AT28" s="728"/>
      <c r="AU28" s="728"/>
      <c r="AV28" s="728"/>
      <c r="AW28" s="742"/>
      <c r="AX28" s="747">
        <f t="shared" si="8"/>
        <v>0</v>
      </c>
      <c r="AY28" s="738">
        <f t="shared" si="0"/>
        <v>0</v>
      </c>
      <c r="AZ28" s="729">
        <f t="shared" si="1"/>
        <v>0</v>
      </c>
      <c r="BA28" s="730">
        <f t="shared" si="2"/>
        <v>0</v>
      </c>
      <c r="BB28" s="729">
        <f t="shared" si="3"/>
        <v>0</v>
      </c>
      <c r="BC28" s="729">
        <f t="shared" si="9"/>
        <v>0</v>
      </c>
      <c r="BD28" s="729">
        <f t="shared" si="10"/>
        <v>0</v>
      </c>
      <c r="BE28" s="729">
        <f t="shared" si="11"/>
        <v>0</v>
      </c>
      <c r="BF28" s="729">
        <f t="shared" si="12"/>
        <v>0</v>
      </c>
      <c r="BG28" s="729">
        <f t="shared" si="13"/>
        <v>0</v>
      </c>
      <c r="BH28" s="729">
        <f t="shared" si="14"/>
        <v>0</v>
      </c>
      <c r="BI28" s="729">
        <f t="shared" si="15"/>
        <v>0</v>
      </c>
      <c r="BJ28" s="729">
        <f t="shared" si="16"/>
        <v>0</v>
      </c>
      <c r="BK28" s="729">
        <f t="shared" si="17"/>
        <v>0</v>
      </c>
      <c r="BL28" s="729">
        <f t="shared" si="18"/>
        <v>0</v>
      </c>
      <c r="BM28" s="729">
        <f t="shared" si="19"/>
        <v>0</v>
      </c>
      <c r="BN28" s="729">
        <f t="shared" si="20"/>
        <v>0</v>
      </c>
      <c r="BO28" s="729">
        <f t="shared" si="21"/>
        <v>0</v>
      </c>
      <c r="BP28" s="729">
        <f t="shared" si="22"/>
        <v>0</v>
      </c>
      <c r="BQ28" s="729">
        <f t="shared" si="23"/>
        <v>0</v>
      </c>
      <c r="BR28" s="729">
        <f t="shared" si="24"/>
        <v>0</v>
      </c>
      <c r="BS28" s="729">
        <f t="shared" si="25"/>
        <v>0</v>
      </c>
      <c r="BT28" s="729">
        <f t="shared" si="26"/>
        <v>0</v>
      </c>
      <c r="BU28" s="729">
        <f t="shared" si="27"/>
        <v>0</v>
      </c>
      <c r="BV28" s="729">
        <f t="shared" si="28"/>
        <v>0</v>
      </c>
      <c r="BW28" s="729">
        <f t="shared" si="29"/>
        <v>0</v>
      </c>
      <c r="BX28" s="729">
        <f t="shared" si="30"/>
        <v>0</v>
      </c>
      <c r="BY28" s="729">
        <f t="shared" si="31"/>
        <v>0</v>
      </c>
      <c r="BZ28" s="729">
        <f t="shared" si="32"/>
        <v>0</v>
      </c>
      <c r="CA28" s="729">
        <f t="shared" si="33"/>
        <v>0</v>
      </c>
      <c r="CB28" s="729">
        <f t="shared" si="34"/>
        <v>0</v>
      </c>
      <c r="CC28" s="729">
        <f t="shared" si="35"/>
        <v>0</v>
      </c>
      <c r="CD28" s="729">
        <f t="shared" si="36"/>
        <v>0</v>
      </c>
      <c r="CE28" s="729">
        <f t="shared" si="37"/>
        <v>0</v>
      </c>
      <c r="CF28" s="731">
        <f t="shared" si="38"/>
        <v>0</v>
      </c>
      <c r="CG28" s="692" t="str">
        <f t="shared" si="39"/>
        <v/>
      </c>
      <c r="CH28" s="659" t="str">
        <f t="shared" si="40"/>
        <v/>
      </c>
      <c r="CI28" s="659" t="str">
        <f t="shared" si="41"/>
        <v/>
      </c>
      <c r="CJ28" s="659" t="str">
        <f t="shared" si="42"/>
        <v/>
      </c>
      <c r="CK28" s="659" t="str">
        <f t="shared" si="43"/>
        <v/>
      </c>
      <c r="CL28" s="659" t="str">
        <f t="shared" si="44"/>
        <v/>
      </c>
      <c r="CM28" s="82" t="str">
        <f t="shared" si="45"/>
        <v/>
      </c>
      <c r="CN28" s="625" t="str">
        <f t="shared" si="4"/>
        <v/>
      </c>
      <c r="CO28" s="625" t="str">
        <f t="shared" si="52"/>
        <v>0</v>
      </c>
      <c r="CP28" s="620">
        <f t="shared" si="47"/>
        <v>0</v>
      </c>
      <c r="CQ28" s="1051" t="s">
        <v>279</v>
      </c>
      <c r="CR28" s="1080">
        <v>235025</v>
      </c>
      <c r="CS28" s="625">
        <f t="shared" si="48"/>
        <v>0</v>
      </c>
      <c r="CT28" s="625">
        <f t="shared" si="49"/>
        <v>0</v>
      </c>
      <c r="CU28" s="626" t="str">
        <f t="shared" si="50"/>
        <v>00</v>
      </c>
    </row>
    <row r="29" spans="1:99" s="5" customFormat="1" ht="15" customHeight="1">
      <c r="A29" s="1094">
        <v>26</v>
      </c>
      <c r="B29" s="1376"/>
      <c r="C29" s="1377"/>
      <c r="D29" s="1068"/>
      <c r="E29" s="1060"/>
      <c r="F29" s="1382"/>
      <c r="G29" s="1200"/>
      <c r="H29" s="1061"/>
      <c r="I29" s="1062"/>
      <c r="J29" s="1063"/>
      <c r="K29" s="1153"/>
      <c r="L29" s="1153"/>
      <c r="M29" s="1183"/>
      <c r="N29" s="1187" t="str">
        <f t="shared" si="5"/>
        <v/>
      </c>
      <c r="O29" s="1190" t="str">
        <f t="shared" si="51"/>
        <v/>
      </c>
      <c r="P29" s="525" t="str">
        <f>IF(O29="","",VLOOKUP(O29,所属コード!$A$2:$E$189,2,FALSE))</f>
        <v/>
      </c>
      <c r="Q29" s="1164" t="str">
        <f>IF(O29="","",VLOOKUP(O29,所属コード!$A$2:$G$189,7,FALSE))</f>
        <v/>
      </c>
      <c r="R29" s="1166"/>
      <c r="S29" s="77"/>
      <c r="T29" s="77"/>
      <c r="U29" s="77"/>
      <c r="V29" s="15"/>
      <c r="X29" s="621"/>
      <c r="Y29" s="1090" t="str">
        <f t="shared" si="6"/>
        <v/>
      </c>
      <c r="Z29" s="618" t="str">
        <f t="shared" si="7"/>
        <v/>
      </c>
      <c r="AA29" s="617"/>
      <c r="AB29" s="617"/>
      <c r="AC29" s="617"/>
      <c r="AD29" s="617"/>
      <c r="AE29" s="617"/>
      <c r="AF29" s="617"/>
      <c r="AG29" s="620"/>
      <c r="AH29" s="727"/>
      <c r="AI29" s="728"/>
      <c r="AJ29" s="728"/>
      <c r="AK29" s="728"/>
      <c r="AL29" s="728"/>
      <c r="AM29" s="728"/>
      <c r="AN29" s="728"/>
      <c r="AO29" s="728"/>
      <c r="AP29" s="728"/>
      <c r="AQ29" s="728"/>
      <c r="AR29" s="728"/>
      <c r="AS29" s="728"/>
      <c r="AT29" s="728"/>
      <c r="AU29" s="728"/>
      <c r="AV29" s="728"/>
      <c r="AW29" s="742"/>
      <c r="AX29" s="747">
        <f t="shared" si="8"/>
        <v>0</v>
      </c>
      <c r="AY29" s="738">
        <f t="shared" si="0"/>
        <v>0</v>
      </c>
      <c r="AZ29" s="729">
        <f t="shared" si="1"/>
        <v>0</v>
      </c>
      <c r="BA29" s="730">
        <f t="shared" si="2"/>
        <v>0</v>
      </c>
      <c r="BB29" s="729">
        <f t="shared" si="3"/>
        <v>0</v>
      </c>
      <c r="BC29" s="729">
        <f t="shared" si="9"/>
        <v>0</v>
      </c>
      <c r="BD29" s="729">
        <f t="shared" si="10"/>
        <v>0</v>
      </c>
      <c r="BE29" s="729">
        <f t="shared" si="11"/>
        <v>0</v>
      </c>
      <c r="BF29" s="729">
        <f t="shared" si="12"/>
        <v>0</v>
      </c>
      <c r="BG29" s="729">
        <f t="shared" si="13"/>
        <v>0</v>
      </c>
      <c r="BH29" s="729">
        <f t="shared" si="14"/>
        <v>0</v>
      </c>
      <c r="BI29" s="729">
        <f t="shared" si="15"/>
        <v>0</v>
      </c>
      <c r="BJ29" s="729">
        <f t="shared" si="16"/>
        <v>0</v>
      </c>
      <c r="BK29" s="729">
        <f t="shared" si="17"/>
        <v>0</v>
      </c>
      <c r="BL29" s="729">
        <f t="shared" si="18"/>
        <v>0</v>
      </c>
      <c r="BM29" s="729">
        <f t="shared" si="19"/>
        <v>0</v>
      </c>
      <c r="BN29" s="729">
        <f t="shared" si="20"/>
        <v>0</v>
      </c>
      <c r="BO29" s="729">
        <f t="shared" si="21"/>
        <v>0</v>
      </c>
      <c r="BP29" s="729">
        <f t="shared" si="22"/>
        <v>0</v>
      </c>
      <c r="BQ29" s="729">
        <f t="shared" si="23"/>
        <v>0</v>
      </c>
      <c r="BR29" s="729">
        <f t="shared" si="24"/>
        <v>0</v>
      </c>
      <c r="BS29" s="729">
        <f t="shared" si="25"/>
        <v>0</v>
      </c>
      <c r="BT29" s="729">
        <f t="shared" si="26"/>
        <v>0</v>
      </c>
      <c r="BU29" s="729">
        <f t="shared" si="27"/>
        <v>0</v>
      </c>
      <c r="BV29" s="729">
        <f t="shared" si="28"/>
        <v>0</v>
      </c>
      <c r="BW29" s="729">
        <f t="shared" si="29"/>
        <v>0</v>
      </c>
      <c r="BX29" s="729">
        <f t="shared" si="30"/>
        <v>0</v>
      </c>
      <c r="BY29" s="729">
        <f t="shared" si="31"/>
        <v>0</v>
      </c>
      <c r="BZ29" s="729">
        <f t="shared" si="32"/>
        <v>0</v>
      </c>
      <c r="CA29" s="729">
        <f t="shared" si="33"/>
        <v>0</v>
      </c>
      <c r="CB29" s="729">
        <f t="shared" si="34"/>
        <v>0</v>
      </c>
      <c r="CC29" s="729">
        <f t="shared" si="35"/>
        <v>0</v>
      </c>
      <c r="CD29" s="729">
        <f t="shared" si="36"/>
        <v>0</v>
      </c>
      <c r="CE29" s="729">
        <f t="shared" si="37"/>
        <v>0</v>
      </c>
      <c r="CF29" s="731">
        <f t="shared" si="38"/>
        <v>0</v>
      </c>
      <c r="CG29" s="692" t="str">
        <f t="shared" si="39"/>
        <v/>
      </c>
      <c r="CH29" s="659" t="str">
        <f t="shared" si="40"/>
        <v/>
      </c>
      <c r="CI29" s="659" t="str">
        <f t="shared" si="41"/>
        <v/>
      </c>
      <c r="CJ29" s="659" t="str">
        <f t="shared" si="42"/>
        <v/>
      </c>
      <c r="CK29" s="659" t="str">
        <f t="shared" si="43"/>
        <v/>
      </c>
      <c r="CL29" s="659" t="str">
        <f t="shared" si="44"/>
        <v/>
      </c>
      <c r="CM29" s="82" t="str">
        <f t="shared" si="45"/>
        <v/>
      </c>
      <c r="CN29" s="625" t="str">
        <f t="shared" si="4"/>
        <v/>
      </c>
      <c r="CO29" s="625" t="str">
        <f t="shared" si="52"/>
        <v>0</v>
      </c>
      <c r="CP29" s="620">
        <f t="shared" si="47"/>
        <v>0</v>
      </c>
      <c r="CQ29" s="1051" t="s">
        <v>51</v>
      </c>
      <c r="CR29" s="1080">
        <v>235026</v>
      </c>
      <c r="CS29" s="625">
        <f t="shared" si="48"/>
        <v>0</v>
      </c>
      <c r="CT29" s="625">
        <f t="shared" si="49"/>
        <v>0</v>
      </c>
      <c r="CU29" s="626" t="str">
        <f t="shared" si="50"/>
        <v>00</v>
      </c>
    </row>
    <row r="30" spans="1:99" s="5" customFormat="1" ht="15" customHeight="1">
      <c r="A30" s="1094">
        <v>27</v>
      </c>
      <c r="B30" s="1376"/>
      <c r="C30" s="1377"/>
      <c r="D30" s="1068"/>
      <c r="E30" s="1060"/>
      <c r="F30" s="1382"/>
      <c r="G30" s="1200"/>
      <c r="H30" s="1061"/>
      <c r="I30" s="1062"/>
      <c r="J30" s="1063"/>
      <c r="K30" s="1153"/>
      <c r="L30" s="1153"/>
      <c r="M30" s="1183"/>
      <c r="N30" s="1187" t="str">
        <f t="shared" si="5"/>
        <v/>
      </c>
      <c r="O30" s="1190" t="str">
        <f t="shared" si="51"/>
        <v/>
      </c>
      <c r="P30" s="525" t="str">
        <f>IF(O30="","",VLOOKUP(O30,所属コード!$A$2:$E$189,2,FALSE))</f>
        <v/>
      </c>
      <c r="Q30" s="1164" t="str">
        <f>IF(O30="","",VLOOKUP(O30,所属コード!$A$2:$G$189,7,FALSE))</f>
        <v/>
      </c>
      <c r="R30" s="1166"/>
      <c r="S30" s="77"/>
      <c r="T30" s="77"/>
      <c r="U30" s="77"/>
      <c r="V30" s="15"/>
      <c r="X30" s="621"/>
      <c r="Y30" s="1090" t="str">
        <f t="shared" si="6"/>
        <v/>
      </c>
      <c r="Z30" s="618" t="str">
        <f t="shared" si="7"/>
        <v/>
      </c>
      <c r="AA30" s="617"/>
      <c r="AB30" s="617"/>
      <c r="AC30" s="617"/>
      <c r="AD30" s="617"/>
      <c r="AE30" s="617"/>
      <c r="AF30" s="617"/>
      <c r="AG30" s="620"/>
      <c r="AH30" s="727"/>
      <c r="AI30" s="728"/>
      <c r="AJ30" s="728"/>
      <c r="AK30" s="728"/>
      <c r="AL30" s="728"/>
      <c r="AM30" s="728"/>
      <c r="AN30" s="728"/>
      <c r="AO30" s="728"/>
      <c r="AP30" s="728"/>
      <c r="AQ30" s="728"/>
      <c r="AR30" s="728"/>
      <c r="AS30" s="728"/>
      <c r="AT30" s="728"/>
      <c r="AU30" s="728"/>
      <c r="AV30" s="728"/>
      <c r="AW30" s="742"/>
      <c r="AX30" s="747">
        <f t="shared" si="8"/>
        <v>0</v>
      </c>
      <c r="AY30" s="738">
        <f t="shared" si="0"/>
        <v>0</v>
      </c>
      <c r="AZ30" s="729">
        <f t="shared" si="1"/>
        <v>0</v>
      </c>
      <c r="BA30" s="730">
        <f t="shared" si="2"/>
        <v>0</v>
      </c>
      <c r="BB30" s="729">
        <f t="shared" si="3"/>
        <v>0</v>
      </c>
      <c r="BC30" s="729">
        <f t="shared" si="9"/>
        <v>0</v>
      </c>
      <c r="BD30" s="729">
        <f t="shared" si="10"/>
        <v>0</v>
      </c>
      <c r="BE30" s="729">
        <f t="shared" si="11"/>
        <v>0</v>
      </c>
      <c r="BF30" s="729">
        <f t="shared" si="12"/>
        <v>0</v>
      </c>
      <c r="BG30" s="729">
        <f t="shared" si="13"/>
        <v>0</v>
      </c>
      <c r="BH30" s="729">
        <f t="shared" si="14"/>
        <v>0</v>
      </c>
      <c r="BI30" s="729">
        <f t="shared" si="15"/>
        <v>0</v>
      </c>
      <c r="BJ30" s="729">
        <f t="shared" si="16"/>
        <v>0</v>
      </c>
      <c r="BK30" s="729">
        <f t="shared" si="17"/>
        <v>0</v>
      </c>
      <c r="BL30" s="729">
        <f t="shared" si="18"/>
        <v>0</v>
      </c>
      <c r="BM30" s="729">
        <f t="shared" si="19"/>
        <v>0</v>
      </c>
      <c r="BN30" s="729">
        <f t="shared" si="20"/>
        <v>0</v>
      </c>
      <c r="BO30" s="729">
        <f t="shared" si="21"/>
        <v>0</v>
      </c>
      <c r="BP30" s="729">
        <f t="shared" si="22"/>
        <v>0</v>
      </c>
      <c r="BQ30" s="729">
        <f t="shared" si="23"/>
        <v>0</v>
      </c>
      <c r="BR30" s="729">
        <f t="shared" si="24"/>
        <v>0</v>
      </c>
      <c r="BS30" s="729">
        <f t="shared" si="25"/>
        <v>0</v>
      </c>
      <c r="BT30" s="729">
        <f t="shared" si="26"/>
        <v>0</v>
      </c>
      <c r="BU30" s="729">
        <f t="shared" si="27"/>
        <v>0</v>
      </c>
      <c r="BV30" s="729">
        <f t="shared" si="28"/>
        <v>0</v>
      </c>
      <c r="BW30" s="729">
        <f t="shared" si="29"/>
        <v>0</v>
      </c>
      <c r="BX30" s="729">
        <f t="shared" si="30"/>
        <v>0</v>
      </c>
      <c r="BY30" s="729">
        <f t="shared" si="31"/>
        <v>0</v>
      </c>
      <c r="BZ30" s="729">
        <f t="shared" si="32"/>
        <v>0</v>
      </c>
      <c r="CA30" s="729">
        <f t="shared" si="33"/>
        <v>0</v>
      </c>
      <c r="CB30" s="729">
        <f t="shared" si="34"/>
        <v>0</v>
      </c>
      <c r="CC30" s="729">
        <f t="shared" si="35"/>
        <v>0</v>
      </c>
      <c r="CD30" s="729">
        <f t="shared" si="36"/>
        <v>0</v>
      </c>
      <c r="CE30" s="729">
        <f t="shared" si="37"/>
        <v>0</v>
      </c>
      <c r="CF30" s="731">
        <f t="shared" si="38"/>
        <v>0</v>
      </c>
      <c r="CG30" s="692" t="str">
        <f t="shared" si="39"/>
        <v/>
      </c>
      <c r="CH30" s="659" t="str">
        <f t="shared" si="40"/>
        <v/>
      </c>
      <c r="CI30" s="659" t="str">
        <f t="shared" si="41"/>
        <v/>
      </c>
      <c r="CJ30" s="659" t="str">
        <f t="shared" si="42"/>
        <v/>
      </c>
      <c r="CK30" s="659" t="str">
        <f t="shared" si="43"/>
        <v/>
      </c>
      <c r="CL30" s="659" t="str">
        <f t="shared" si="44"/>
        <v/>
      </c>
      <c r="CM30" s="82" t="str">
        <f t="shared" si="45"/>
        <v/>
      </c>
      <c r="CN30" s="625" t="str">
        <f t="shared" si="4"/>
        <v/>
      </c>
      <c r="CO30" s="625" t="str">
        <f t="shared" si="52"/>
        <v>0</v>
      </c>
      <c r="CP30" s="620">
        <f t="shared" si="47"/>
        <v>0</v>
      </c>
      <c r="CQ30" s="1051" t="s">
        <v>52</v>
      </c>
      <c r="CR30" s="1080">
        <v>235027</v>
      </c>
      <c r="CS30" s="625">
        <f t="shared" si="48"/>
        <v>0</v>
      </c>
      <c r="CT30" s="625">
        <f t="shared" si="49"/>
        <v>0</v>
      </c>
      <c r="CU30" s="626" t="str">
        <f t="shared" si="50"/>
        <v>00</v>
      </c>
    </row>
    <row r="31" spans="1:99" s="5" customFormat="1" ht="15" customHeight="1">
      <c r="A31" s="1094">
        <v>28</v>
      </c>
      <c r="B31" s="1376"/>
      <c r="C31" s="1377"/>
      <c r="D31" s="1068"/>
      <c r="E31" s="1060"/>
      <c r="F31" s="1382"/>
      <c r="G31" s="1200"/>
      <c r="H31" s="1061"/>
      <c r="I31" s="1062"/>
      <c r="J31" s="1063"/>
      <c r="K31" s="1153"/>
      <c r="L31" s="1153"/>
      <c r="M31" s="1183"/>
      <c r="N31" s="1187" t="str">
        <f t="shared" si="5"/>
        <v/>
      </c>
      <c r="O31" s="1190" t="str">
        <f t="shared" si="51"/>
        <v/>
      </c>
      <c r="P31" s="525" t="str">
        <f>IF(O31="","",VLOOKUP(O31,所属コード!$A$2:$E$189,2,FALSE))</f>
        <v/>
      </c>
      <c r="Q31" s="1164" t="str">
        <f>IF(O31="","",VLOOKUP(O31,所属コード!$A$2:$G$189,7,FALSE))</f>
        <v/>
      </c>
      <c r="R31" s="1166"/>
      <c r="S31" s="77"/>
      <c r="T31" s="77"/>
      <c r="U31" s="77"/>
      <c r="V31" s="15"/>
      <c r="X31" s="621"/>
      <c r="Y31" s="1090" t="str">
        <f t="shared" si="6"/>
        <v/>
      </c>
      <c r="Z31" s="618" t="str">
        <f t="shared" si="7"/>
        <v/>
      </c>
      <c r="AA31" s="617"/>
      <c r="AB31" s="617"/>
      <c r="AC31" s="617"/>
      <c r="AD31" s="617"/>
      <c r="AE31" s="617"/>
      <c r="AF31" s="617"/>
      <c r="AG31" s="620"/>
      <c r="AH31" s="727"/>
      <c r="AI31" s="728"/>
      <c r="AJ31" s="728"/>
      <c r="AK31" s="728"/>
      <c r="AL31" s="728"/>
      <c r="AM31" s="728"/>
      <c r="AN31" s="728"/>
      <c r="AO31" s="728"/>
      <c r="AP31" s="728"/>
      <c r="AQ31" s="728"/>
      <c r="AR31" s="728"/>
      <c r="AS31" s="728"/>
      <c r="AT31" s="728"/>
      <c r="AU31" s="728"/>
      <c r="AV31" s="728"/>
      <c r="AW31" s="742"/>
      <c r="AX31" s="747">
        <f t="shared" si="8"/>
        <v>0</v>
      </c>
      <c r="AY31" s="738">
        <f t="shared" si="0"/>
        <v>0</v>
      </c>
      <c r="AZ31" s="729">
        <f t="shared" si="1"/>
        <v>0</v>
      </c>
      <c r="BA31" s="730">
        <f t="shared" si="2"/>
        <v>0</v>
      </c>
      <c r="BB31" s="729">
        <f t="shared" si="3"/>
        <v>0</v>
      </c>
      <c r="BC31" s="729">
        <f t="shared" si="9"/>
        <v>0</v>
      </c>
      <c r="BD31" s="729">
        <f t="shared" si="10"/>
        <v>0</v>
      </c>
      <c r="BE31" s="729">
        <f t="shared" si="11"/>
        <v>0</v>
      </c>
      <c r="BF31" s="729">
        <f t="shared" si="12"/>
        <v>0</v>
      </c>
      <c r="BG31" s="729">
        <f t="shared" si="13"/>
        <v>0</v>
      </c>
      <c r="BH31" s="729">
        <f t="shared" si="14"/>
        <v>0</v>
      </c>
      <c r="BI31" s="729">
        <f t="shared" si="15"/>
        <v>0</v>
      </c>
      <c r="BJ31" s="729">
        <f t="shared" si="16"/>
        <v>0</v>
      </c>
      <c r="BK31" s="729">
        <f t="shared" si="17"/>
        <v>0</v>
      </c>
      <c r="BL31" s="729">
        <f t="shared" si="18"/>
        <v>0</v>
      </c>
      <c r="BM31" s="729">
        <f t="shared" si="19"/>
        <v>0</v>
      </c>
      <c r="BN31" s="729">
        <f t="shared" si="20"/>
        <v>0</v>
      </c>
      <c r="BO31" s="729">
        <f t="shared" si="21"/>
        <v>0</v>
      </c>
      <c r="BP31" s="729">
        <f t="shared" si="22"/>
        <v>0</v>
      </c>
      <c r="BQ31" s="729">
        <f t="shared" si="23"/>
        <v>0</v>
      </c>
      <c r="BR31" s="729">
        <f t="shared" si="24"/>
        <v>0</v>
      </c>
      <c r="BS31" s="729">
        <f t="shared" si="25"/>
        <v>0</v>
      </c>
      <c r="BT31" s="729">
        <f t="shared" si="26"/>
        <v>0</v>
      </c>
      <c r="BU31" s="729">
        <f t="shared" si="27"/>
        <v>0</v>
      </c>
      <c r="BV31" s="729">
        <f t="shared" si="28"/>
        <v>0</v>
      </c>
      <c r="BW31" s="729">
        <f t="shared" si="29"/>
        <v>0</v>
      </c>
      <c r="BX31" s="729">
        <f t="shared" si="30"/>
        <v>0</v>
      </c>
      <c r="BY31" s="729">
        <f t="shared" si="31"/>
        <v>0</v>
      </c>
      <c r="BZ31" s="729">
        <f t="shared" si="32"/>
        <v>0</v>
      </c>
      <c r="CA31" s="729">
        <f t="shared" si="33"/>
        <v>0</v>
      </c>
      <c r="CB31" s="729">
        <f t="shared" si="34"/>
        <v>0</v>
      </c>
      <c r="CC31" s="729">
        <f t="shared" si="35"/>
        <v>0</v>
      </c>
      <c r="CD31" s="729">
        <f t="shared" si="36"/>
        <v>0</v>
      </c>
      <c r="CE31" s="729">
        <f t="shared" si="37"/>
        <v>0</v>
      </c>
      <c r="CF31" s="731">
        <f t="shared" si="38"/>
        <v>0</v>
      </c>
      <c r="CG31" s="692" t="str">
        <f t="shared" si="39"/>
        <v/>
      </c>
      <c r="CH31" s="659" t="str">
        <f t="shared" si="40"/>
        <v/>
      </c>
      <c r="CI31" s="659" t="str">
        <f t="shared" si="41"/>
        <v/>
      </c>
      <c r="CJ31" s="659" t="str">
        <f t="shared" si="42"/>
        <v/>
      </c>
      <c r="CK31" s="659" t="str">
        <f t="shared" si="43"/>
        <v/>
      </c>
      <c r="CL31" s="659" t="str">
        <f t="shared" si="44"/>
        <v/>
      </c>
      <c r="CM31" s="82" t="str">
        <f t="shared" si="45"/>
        <v/>
      </c>
      <c r="CN31" s="625" t="str">
        <f t="shared" si="4"/>
        <v/>
      </c>
      <c r="CO31" s="625" t="str">
        <f t="shared" si="52"/>
        <v>0</v>
      </c>
      <c r="CP31" s="620">
        <f t="shared" si="47"/>
        <v>0</v>
      </c>
      <c r="CQ31" s="1051" t="s">
        <v>53</v>
      </c>
      <c r="CR31" s="1080">
        <v>235028</v>
      </c>
      <c r="CS31" s="625">
        <f t="shared" si="48"/>
        <v>0</v>
      </c>
      <c r="CT31" s="625">
        <f t="shared" si="49"/>
        <v>0</v>
      </c>
      <c r="CU31" s="626" t="str">
        <f t="shared" si="50"/>
        <v>00</v>
      </c>
    </row>
    <row r="32" spans="1:99" s="5" customFormat="1" ht="15" customHeight="1">
      <c r="A32" s="1094">
        <v>29</v>
      </c>
      <c r="B32" s="1376"/>
      <c r="C32" s="1377"/>
      <c r="D32" s="1068"/>
      <c r="E32" s="1060"/>
      <c r="F32" s="1382"/>
      <c r="G32" s="1200"/>
      <c r="H32" s="1061"/>
      <c r="I32" s="1062"/>
      <c r="J32" s="1063"/>
      <c r="K32" s="1153"/>
      <c r="L32" s="1153"/>
      <c r="M32" s="1183"/>
      <c r="N32" s="1187" t="str">
        <f t="shared" si="5"/>
        <v/>
      </c>
      <c r="O32" s="1190" t="str">
        <f t="shared" si="51"/>
        <v/>
      </c>
      <c r="P32" s="525" t="str">
        <f>IF(O32="","",VLOOKUP(O32,所属コード!$A$2:$E$189,2,FALSE))</f>
        <v/>
      </c>
      <c r="Q32" s="1164" t="str">
        <f>IF(O32="","",VLOOKUP(O32,所属コード!$A$2:$G$189,7,FALSE))</f>
        <v/>
      </c>
      <c r="R32" s="1166"/>
      <c r="S32" s="77"/>
      <c r="T32" s="77"/>
      <c r="U32" s="77"/>
      <c r="V32" s="15"/>
      <c r="X32" s="621"/>
      <c r="Y32" s="1090" t="str">
        <f t="shared" si="6"/>
        <v/>
      </c>
      <c r="Z32" s="618" t="str">
        <f t="shared" si="7"/>
        <v/>
      </c>
      <c r="AA32" s="617"/>
      <c r="AB32" s="617"/>
      <c r="AC32" s="617"/>
      <c r="AD32" s="617"/>
      <c r="AE32" s="617"/>
      <c r="AF32" s="617"/>
      <c r="AG32" s="620"/>
      <c r="AH32" s="727"/>
      <c r="AI32" s="728"/>
      <c r="AJ32" s="728"/>
      <c r="AK32" s="728"/>
      <c r="AL32" s="728"/>
      <c r="AM32" s="728"/>
      <c r="AN32" s="728"/>
      <c r="AO32" s="728"/>
      <c r="AP32" s="728"/>
      <c r="AQ32" s="728"/>
      <c r="AR32" s="728"/>
      <c r="AS32" s="728"/>
      <c r="AT32" s="728"/>
      <c r="AU32" s="728"/>
      <c r="AV32" s="728"/>
      <c r="AW32" s="742"/>
      <c r="AX32" s="747">
        <f t="shared" si="8"/>
        <v>0</v>
      </c>
      <c r="AY32" s="738">
        <f t="shared" si="0"/>
        <v>0</v>
      </c>
      <c r="AZ32" s="729">
        <f t="shared" si="1"/>
        <v>0</v>
      </c>
      <c r="BA32" s="730">
        <f t="shared" si="2"/>
        <v>0</v>
      </c>
      <c r="BB32" s="729">
        <f t="shared" si="3"/>
        <v>0</v>
      </c>
      <c r="BC32" s="729">
        <f t="shared" si="9"/>
        <v>0</v>
      </c>
      <c r="BD32" s="729">
        <f t="shared" si="10"/>
        <v>0</v>
      </c>
      <c r="BE32" s="729">
        <f t="shared" si="11"/>
        <v>0</v>
      </c>
      <c r="BF32" s="729">
        <f t="shared" si="12"/>
        <v>0</v>
      </c>
      <c r="BG32" s="729">
        <f t="shared" si="13"/>
        <v>0</v>
      </c>
      <c r="BH32" s="729">
        <f t="shared" si="14"/>
        <v>0</v>
      </c>
      <c r="BI32" s="729">
        <f t="shared" si="15"/>
        <v>0</v>
      </c>
      <c r="BJ32" s="729">
        <f t="shared" si="16"/>
        <v>0</v>
      </c>
      <c r="BK32" s="729">
        <f t="shared" si="17"/>
        <v>0</v>
      </c>
      <c r="BL32" s="729">
        <f t="shared" si="18"/>
        <v>0</v>
      </c>
      <c r="BM32" s="729">
        <f t="shared" si="19"/>
        <v>0</v>
      </c>
      <c r="BN32" s="729">
        <f t="shared" si="20"/>
        <v>0</v>
      </c>
      <c r="BO32" s="729">
        <f t="shared" si="21"/>
        <v>0</v>
      </c>
      <c r="BP32" s="729">
        <f t="shared" si="22"/>
        <v>0</v>
      </c>
      <c r="BQ32" s="729">
        <f t="shared" si="23"/>
        <v>0</v>
      </c>
      <c r="BR32" s="729">
        <f t="shared" si="24"/>
        <v>0</v>
      </c>
      <c r="BS32" s="729">
        <f t="shared" si="25"/>
        <v>0</v>
      </c>
      <c r="BT32" s="729">
        <f t="shared" si="26"/>
        <v>0</v>
      </c>
      <c r="BU32" s="729">
        <f t="shared" si="27"/>
        <v>0</v>
      </c>
      <c r="BV32" s="729">
        <f t="shared" si="28"/>
        <v>0</v>
      </c>
      <c r="BW32" s="729">
        <f t="shared" si="29"/>
        <v>0</v>
      </c>
      <c r="BX32" s="729">
        <f t="shared" si="30"/>
        <v>0</v>
      </c>
      <c r="BY32" s="729">
        <f t="shared" si="31"/>
        <v>0</v>
      </c>
      <c r="BZ32" s="729">
        <f t="shared" si="32"/>
        <v>0</v>
      </c>
      <c r="CA32" s="729">
        <f t="shared" si="33"/>
        <v>0</v>
      </c>
      <c r="CB32" s="729">
        <f t="shared" si="34"/>
        <v>0</v>
      </c>
      <c r="CC32" s="729">
        <f t="shared" si="35"/>
        <v>0</v>
      </c>
      <c r="CD32" s="729">
        <f t="shared" si="36"/>
        <v>0</v>
      </c>
      <c r="CE32" s="729">
        <f t="shared" si="37"/>
        <v>0</v>
      </c>
      <c r="CF32" s="731">
        <f t="shared" si="38"/>
        <v>0</v>
      </c>
      <c r="CG32" s="692" t="str">
        <f t="shared" si="39"/>
        <v/>
      </c>
      <c r="CH32" s="659" t="str">
        <f t="shared" si="40"/>
        <v/>
      </c>
      <c r="CI32" s="659" t="str">
        <f t="shared" si="41"/>
        <v/>
      </c>
      <c r="CJ32" s="659" t="str">
        <f t="shared" si="42"/>
        <v/>
      </c>
      <c r="CK32" s="659" t="str">
        <f t="shared" si="43"/>
        <v/>
      </c>
      <c r="CL32" s="659" t="str">
        <f t="shared" si="44"/>
        <v/>
      </c>
      <c r="CM32" s="82" t="str">
        <f t="shared" si="45"/>
        <v/>
      </c>
      <c r="CN32" s="625" t="str">
        <f t="shared" si="4"/>
        <v/>
      </c>
      <c r="CO32" s="625" t="str">
        <f t="shared" si="52"/>
        <v>0</v>
      </c>
      <c r="CP32" s="620">
        <f t="shared" si="47"/>
        <v>0</v>
      </c>
      <c r="CQ32" s="1051" t="s">
        <v>175</v>
      </c>
      <c r="CR32" s="1080">
        <v>235029</v>
      </c>
      <c r="CS32" s="625">
        <f t="shared" si="48"/>
        <v>0</v>
      </c>
      <c r="CT32" s="625">
        <f t="shared" si="49"/>
        <v>0</v>
      </c>
      <c r="CU32" s="626" t="str">
        <f t="shared" si="50"/>
        <v>00</v>
      </c>
    </row>
    <row r="33" spans="1:99" s="5" customFormat="1" ht="15" customHeight="1">
      <c r="A33" s="1094">
        <v>30</v>
      </c>
      <c r="B33" s="1376"/>
      <c r="C33" s="1377"/>
      <c r="D33" s="1068"/>
      <c r="E33" s="1060"/>
      <c r="F33" s="1382"/>
      <c r="G33" s="1200"/>
      <c r="H33" s="1061"/>
      <c r="I33" s="1062"/>
      <c r="J33" s="1063"/>
      <c r="K33" s="1153"/>
      <c r="L33" s="1153"/>
      <c r="M33" s="1183"/>
      <c r="N33" s="1187" t="str">
        <f t="shared" si="5"/>
        <v/>
      </c>
      <c r="O33" s="1190" t="str">
        <f t="shared" si="51"/>
        <v/>
      </c>
      <c r="P33" s="525" t="str">
        <f>IF(O33="","",VLOOKUP(O33,所属コード!$A$2:$E$189,2,FALSE))</f>
        <v/>
      </c>
      <c r="Q33" s="1164" t="str">
        <f>IF(O33="","",VLOOKUP(O33,所属コード!$A$2:$G$189,7,FALSE))</f>
        <v/>
      </c>
      <c r="R33" s="1166"/>
      <c r="S33" s="77"/>
      <c r="T33" s="77"/>
      <c r="U33" s="77"/>
      <c r="V33" s="15"/>
      <c r="X33" s="621"/>
      <c r="Y33" s="1090" t="str">
        <f t="shared" si="6"/>
        <v/>
      </c>
      <c r="Z33" s="618" t="str">
        <f t="shared" si="7"/>
        <v/>
      </c>
      <c r="AA33" s="617"/>
      <c r="AB33" s="617"/>
      <c r="AC33" s="617"/>
      <c r="AD33" s="617"/>
      <c r="AE33" s="617"/>
      <c r="AF33" s="617"/>
      <c r="AG33" s="620"/>
      <c r="AH33" s="727"/>
      <c r="AI33" s="728"/>
      <c r="AJ33" s="728"/>
      <c r="AK33" s="728"/>
      <c r="AL33" s="728"/>
      <c r="AM33" s="728"/>
      <c r="AN33" s="728"/>
      <c r="AO33" s="728"/>
      <c r="AP33" s="728"/>
      <c r="AQ33" s="728"/>
      <c r="AR33" s="728"/>
      <c r="AS33" s="728"/>
      <c r="AT33" s="728"/>
      <c r="AU33" s="728"/>
      <c r="AV33" s="728"/>
      <c r="AW33" s="742"/>
      <c r="AX33" s="747">
        <f t="shared" si="8"/>
        <v>0</v>
      </c>
      <c r="AY33" s="738">
        <f t="shared" si="0"/>
        <v>0</v>
      </c>
      <c r="AZ33" s="729">
        <f t="shared" si="1"/>
        <v>0</v>
      </c>
      <c r="BA33" s="730">
        <f t="shared" si="2"/>
        <v>0</v>
      </c>
      <c r="BB33" s="729">
        <f t="shared" si="3"/>
        <v>0</v>
      </c>
      <c r="BC33" s="729">
        <f t="shared" si="9"/>
        <v>0</v>
      </c>
      <c r="BD33" s="729">
        <f t="shared" si="10"/>
        <v>0</v>
      </c>
      <c r="BE33" s="729">
        <f t="shared" si="11"/>
        <v>0</v>
      </c>
      <c r="BF33" s="729">
        <f t="shared" si="12"/>
        <v>0</v>
      </c>
      <c r="BG33" s="729">
        <f t="shared" si="13"/>
        <v>0</v>
      </c>
      <c r="BH33" s="729">
        <f t="shared" si="14"/>
        <v>0</v>
      </c>
      <c r="BI33" s="729">
        <f t="shared" si="15"/>
        <v>0</v>
      </c>
      <c r="BJ33" s="729">
        <f t="shared" si="16"/>
        <v>0</v>
      </c>
      <c r="BK33" s="729">
        <f t="shared" si="17"/>
        <v>0</v>
      </c>
      <c r="BL33" s="729">
        <f t="shared" si="18"/>
        <v>0</v>
      </c>
      <c r="BM33" s="729">
        <f t="shared" si="19"/>
        <v>0</v>
      </c>
      <c r="BN33" s="729">
        <f t="shared" si="20"/>
        <v>0</v>
      </c>
      <c r="BO33" s="729">
        <f t="shared" si="21"/>
        <v>0</v>
      </c>
      <c r="BP33" s="729">
        <f t="shared" si="22"/>
        <v>0</v>
      </c>
      <c r="BQ33" s="729">
        <f t="shared" si="23"/>
        <v>0</v>
      </c>
      <c r="BR33" s="729">
        <f t="shared" si="24"/>
        <v>0</v>
      </c>
      <c r="BS33" s="729">
        <f t="shared" si="25"/>
        <v>0</v>
      </c>
      <c r="BT33" s="729">
        <f t="shared" si="26"/>
        <v>0</v>
      </c>
      <c r="BU33" s="729">
        <f t="shared" si="27"/>
        <v>0</v>
      </c>
      <c r="BV33" s="729">
        <f t="shared" si="28"/>
        <v>0</v>
      </c>
      <c r="BW33" s="729">
        <f t="shared" si="29"/>
        <v>0</v>
      </c>
      <c r="BX33" s="729">
        <f t="shared" si="30"/>
        <v>0</v>
      </c>
      <c r="BY33" s="729">
        <f t="shared" si="31"/>
        <v>0</v>
      </c>
      <c r="BZ33" s="729">
        <f t="shared" si="32"/>
        <v>0</v>
      </c>
      <c r="CA33" s="729">
        <f t="shared" si="33"/>
        <v>0</v>
      </c>
      <c r="CB33" s="729">
        <f t="shared" si="34"/>
        <v>0</v>
      </c>
      <c r="CC33" s="729">
        <f t="shared" si="35"/>
        <v>0</v>
      </c>
      <c r="CD33" s="729">
        <f t="shared" si="36"/>
        <v>0</v>
      </c>
      <c r="CE33" s="729">
        <f t="shared" si="37"/>
        <v>0</v>
      </c>
      <c r="CF33" s="731">
        <f t="shared" si="38"/>
        <v>0</v>
      </c>
      <c r="CG33" s="692" t="str">
        <f t="shared" si="39"/>
        <v/>
      </c>
      <c r="CH33" s="659" t="str">
        <f t="shared" si="40"/>
        <v/>
      </c>
      <c r="CI33" s="659" t="str">
        <f t="shared" si="41"/>
        <v/>
      </c>
      <c r="CJ33" s="659" t="str">
        <f t="shared" si="42"/>
        <v/>
      </c>
      <c r="CK33" s="659" t="str">
        <f t="shared" si="43"/>
        <v/>
      </c>
      <c r="CL33" s="659" t="str">
        <f t="shared" si="44"/>
        <v/>
      </c>
      <c r="CM33" s="82" t="str">
        <f t="shared" si="45"/>
        <v/>
      </c>
      <c r="CN33" s="625" t="str">
        <f t="shared" si="4"/>
        <v/>
      </c>
      <c r="CO33" s="625" t="str">
        <f t="shared" si="52"/>
        <v>0</v>
      </c>
      <c r="CP33" s="620">
        <f t="shared" si="47"/>
        <v>0</v>
      </c>
      <c r="CQ33" s="1051" t="s">
        <v>54</v>
      </c>
      <c r="CR33" s="1080">
        <v>235030</v>
      </c>
      <c r="CS33" s="625">
        <f t="shared" si="48"/>
        <v>0</v>
      </c>
      <c r="CT33" s="625">
        <f t="shared" si="49"/>
        <v>0</v>
      </c>
      <c r="CU33" s="626" t="str">
        <f t="shared" si="50"/>
        <v>00</v>
      </c>
    </row>
    <row r="34" spans="1:99" s="5" customFormat="1" ht="15" customHeight="1">
      <c r="A34" s="1094">
        <v>31</v>
      </c>
      <c r="B34" s="1376"/>
      <c r="C34" s="1377"/>
      <c r="D34" s="1068"/>
      <c r="E34" s="1060"/>
      <c r="F34" s="1382"/>
      <c r="G34" s="1200"/>
      <c r="H34" s="1061"/>
      <c r="I34" s="1062"/>
      <c r="J34" s="1063"/>
      <c r="K34" s="1153"/>
      <c r="L34" s="1153"/>
      <c r="M34" s="1183"/>
      <c r="N34" s="1187" t="str">
        <f t="shared" si="5"/>
        <v/>
      </c>
      <c r="O34" s="1190" t="str">
        <f t="shared" si="51"/>
        <v/>
      </c>
      <c r="P34" s="525" t="str">
        <f>IF(O34="","",VLOOKUP(O34,所属コード!$A$2:$E$189,2,FALSE))</f>
        <v/>
      </c>
      <c r="Q34" s="1164" t="str">
        <f>IF(O34="","",VLOOKUP(O34,所属コード!$A$2:$G$189,7,FALSE))</f>
        <v/>
      </c>
      <c r="R34" s="1166"/>
      <c r="S34" s="77"/>
      <c r="T34" s="77"/>
      <c r="U34" s="77"/>
      <c r="V34" s="15"/>
      <c r="X34" s="621"/>
      <c r="Y34" s="1090" t="str">
        <f t="shared" si="6"/>
        <v/>
      </c>
      <c r="Z34" s="618" t="str">
        <f t="shared" si="7"/>
        <v/>
      </c>
      <c r="AA34" s="617"/>
      <c r="AB34" s="617"/>
      <c r="AC34" s="617"/>
      <c r="AD34" s="617"/>
      <c r="AE34" s="617"/>
      <c r="AF34" s="617"/>
      <c r="AG34" s="620"/>
      <c r="AH34" s="727"/>
      <c r="AI34" s="728"/>
      <c r="AJ34" s="728"/>
      <c r="AK34" s="728"/>
      <c r="AL34" s="728"/>
      <c r="AM34" s="728"/>
      <c r="AN34" s="728"/>
      <c r="AO34" s="728"/>
      <c r="AP34" s="728"/>
      <c r="AQ34" s="728"/>
      <c r="AR34" s="728"/>
      <c r="AS34" s="728"/>
      <c r="AT34" s="728"/>
      <c r="AU34" s="728"/>
      <c r="AV34" s="728"/>
      <c r="AW34" s="742"/>
      <c r="AX34" s="747">
        <f t="shared" si="8"/>
        <v>0</v>
      </c>
      <c r="AY34" s="738">
        <f t="shared" si="0"/>
        <v>0</v>
      </c>
      <c r="AZ34" s="729">
        <f t="shared" si="1"/>
        <v>0</v>
      </c>
      <c r="BA34" s="730">
        <f t="shared" si="2"/>
        <v>0</v>
      </c>
      <c r="BB34" s="729">
        <f t="shared" si="3"/>
        <v>0</v>
      </c>
      <c r="BC34" s="729">
        <f t="shared" si="9"/>
        <v>0</v>
      </c>
      <c r="BD34" s="729">
        <f t="shared" si="10"/>
        <v>0</v>
      </c>
      <c r="BE34" s="729">
        <f t="shared" si="11"/>
        <v>0</v>
      </c>
      <c r="BF34" s="729">
        <f t="shared" si="12"/>
        <v>0</v>
      </c>
      <c r="BG34" s="729">
        <f t="shared" si="13"/>
        <v>0</v>
      </c>
      <c r="BH34" s="729">
        <f t="shared" si="14"/>
        <v>0</v>
      </c>
      <c r="BI34" s="729">
        <f t="shared" si="15"/>
        <v>0</v>
      </c>
      <c r="BJ34" s="729">
        <f t="shared" si="16"/>
        <v>0</v>
      </c>
      <c r="BK34" s="729">
        <f t="shared" si="17"/>
        <v>0</v>
      </c>
      <c r="BL34" s="729">
        <f t="shared" si="18"/>
        <v>0</v>
      </c>
      <c r="BM34" s="729">
        <f t="shared" si="19"/>
        <v>0</v>
      </c>
      <c r="BN34" s="729">
        <f t="shared" si="20"/>
        <v>0</v>
      </c>
      <c r="BO34" s="729">
        <f t="shared" si="21"/>
        <v>0</v>
      </c>
      <c r="BP34" s="729">
        <f t="shared" si="22"/>
        <v>0</v>
      </c>
      <c r="BQ34" s="729">
        <f t="shared" si="23"/>
        <v>0</v>
      </c>
      <c r="BR34" s="729">
        <f t="shared" si="24"/>
        <v>0</v>
      </c>
      <c r="BS34" s="729">
        <f t="shared" si="25"/>
        <v>0</v>
      </c>
      <c r="BT34" s="729">
        <f t="shared" si="26"/>
        <v>0</v>
      </c>
      <c r="BU34" s="729">
        <f t="shared" si="27"/>
        <v>0</v>
      </c>
      <c r="BV34" s="729">
        <f t="shared" si="28"/>
        <v>0</v>
      </c>
      <c r="BW34" s="729">
        <f t="shared" si="29"/>
        <v>0</v>
      </c>
      <c r="BX34" s="729">
        <f t="shared" si="30"/>
        <v>0</v>
      </c>
      <c r="BY34" s="729">
        <f t="shared" si="31"/>
        <v>0</v>
      </c>
      <c r="BZ34" s="729">
        <f t="shared" si="32"/>
        <v>0</v>
      </c>
      <c r="CA34" s="729">
        <f t="shared" si="33"/>
        <v>0</v>
      </c>
      <c r="CB34" s="729">
        <f t="shared" si="34"/>
        <v>0</v>
      </c>
      <c r="CC34" s="729">
        <f t="shared" si="35"/>
        <v>0</v>
      </c>
      <c r="CD34" s="729">
        <f t="shared" si="36"/>
        <v>0</v>
      </c>
      <c r="CE34" s="729">
        <f t="shared" si="37"/>
        <v>0</v>
      </c>
      <c r="CF34" s="731">
        <f t="shared" si="38"/>
        <v>0</v>
      </c>
      <c r="CG34" s="692" t="str">
        <f t="shared" si="39"/>
        <v/>
      </c>
      <c r="CH34" s="659" t="str">
        <f t="shared" si="40"/>
        <v/>
      </c>
      <c r="CI34" s="659" t="str">
        <f t="shared" si="41"/>
        <v/>
      </c>
      <c r="CJ34" s="659" t="str">
        <f t="shared" si="42"/>
        <v/>
      </c>
      <c r="CK34" s="659" t="str">
        <f t="shared" si="43"/>
        <v/>
      </c>
      <c r="CL34" s="659" t="str">
        <f t="shared" si="44"/>
        <v/>
      </c>
      <c r="CM34" s="82" t="str">
        <f t="shared" si="45"/>
        <v/>
      </c>
      <c r="CN34" s="625" t="str">
        <f t="shared" si="4"/>
        <v/>
      </c>
      <c r="CO34" s="625" t="str">
        <f t="shared" si="52"/>
        <v>0</v>
      </c>
      <c r="CP34" s="620">
        <f t="shared" si="47"/>
        <v>0</v>
      </c>
      <c r="CQ34" s="1051" t="s">
        <v>751</v>
      </c>
      <c r="CR34" s="1080">
        <v>235031</v>
      </c>
      <c r="CS34" s="625">
        <f t="shared" si="48"/>
        <v>0</v>
      </c>
      <c r="CT34" s="625">
        <f t="shared" si="49"/>
        <v>0</v>
      </c>
      <c r="CU34" s="626" t="str">
        <f t="shared" si="50"/>
        <v>00</v>
      </c>
    </row>
    <row r="35" spans="1:99" s="5" customFormat="1" ht="15" customHeight="1">
      <c r="A35" s="1094">
        <v>32</v>
      </c>
      <c r="B35" s="1376"/>
      <c r="C35" s="1377"/>
      <c r="D35" s="1068"/>
      <c r="E35" s="1060"/>
      <c r="F35" s="1382"/>
      <c r="G35" s="1200"/>
      <c r="H35" s="1061"/>
      <c r="I35" s="1062"/>
      <c r="J35" s="1063"/>
      <c r="K35" s="1153"/>
      <c r="L35" s="1153"/>
      <c r="M35" s="1183"/>
      <c r="N35" s="1187" t="str">
        <f t="shared" si="5"/>
        <v/>
      </c>
      <c r="O35" s="1190" t="str">
        <f t="shared" si="51"/>
        <v/>
      </c>
      <c r="P35" s="525" t="str">
        <f>IF(O35="","",VLOOKUP(O35,所属コード!$A$2:$E$189,2,FALSE))</f>
        <v/>
      </c>
      <c r="Q35" s="1164" t="str">
        <f>IF(O35="","",VLOOKUP(O35,所属コード!$A$2:$G$189,7,FALSE))</f>
        <v/>
      </c>
      <c r="R35" s="1166"/>
      <c r="S35" s="77"/>
      <c r="T35" s="77"/>
      <c r="U35" s="77"/>
      <c r="V35" s="15"/>
      <c r="X35" s="621"/>
      <c r="Y35" s="1090" t="str">
        <f t="shared" si="6"/>
        <v/>
      </c>
      <c r="Z35" s="618" t="str">
        <f t="shared" si="7"/>
        <v/>
      </c>
      <c r="AA35" s="617"/>
      <c r="AB35" s="617"/>
      <c r="AC35" s="617"/>
      <c r="AD35" s="617"/>
      <c r="AE35" s="617"/>
      <c r="AF35" s="617"/>
      <c r="AG35" s="620"/>
      <c r="AH35" s="727"/>
      <c r="AI35" s="728"/>
      <c r="AJ35" s="728"/>
      <c r="AK35" s="728"/>
      <c r="AL35" s="728"/>
      <c r="AM35" s="728"/>
      <c r="AN35" s="728"/>
      <c r="AO35" s="728"/>
      <c r="AP35" s="728"/>
      <c r="AQ35" s="728"/>
      <c r="AR35" s="728"/>
      <c r="AS35" s="728"/>
      <c r="AT35" s="728"/>
      <c r="AU35" s="728"/>
      <c r="AV35" s="728"/>
      <c r="AW35" s="742"/>
      <c r="AX35" s="747">
        <f t="shared" si="8"/>
        <v>0</v>
      </c>
      <c r="AY35" s="738">
        <f t="shared" si="0"/>
        <v>0</v>
      </c>
      <c r="AZ35" s="729">
        <f t="shared" si="1"/>
        <v>0</v>
      </c>
      <c r="BA35" s="730">
        <f t="shared" si="2"/>
        <v>0</v>
      </c>
      <c r="BB35" s="729">
        <f t="shared" si="3"/>
        <v>0</v>
      </c>
      <c r="BC35" s="729">
        <f t="shared" si="9"/>
        <v>0</v>
      </c>
      <c r="BD35" s="729">
        <f t="shared" si="10"/>
        <v>0</v>
      </c>
      <c r="BE35" s="729">
        <f t="shared" si="11"/>
        <v>0</v>
      </c>
      <c r="BF35" s="729">
        <f t="shared" si="12"/>
        <v>0</v>
      </c>
      <c r="BG35" s="729">
        <f t="shared" si="13"/>
        <v>0</v>
      </c>
      <c r="BH35" s="729">
        <f t="shared" si="14"/>
        <v>0</v>
      </c>
      <c r="BI35" s="729">
        <f t="shared" si="15"/>
        <v>0</v>
      </c>
      <c r="BJ35" s="729">
        <f t="shared" si="16"/>
        <v>0</v>
      </c>
      <c r="BK35" s="729">
        <f t="shared" si="17"/>
        <v>0</v>
      </c>
      <c r="BL35" s="729">
        <f t="shared" si="18"/>
        <v>0</v>
      </c>
      <c r="BM35" s="729">
        <f t="shared" si="19"/>
        <v>0</v>
      </c>
      <c r="BN35" s="729">
        <f t="shared" si="20"/>
        <v>0</v>
      </c>
      <c r="BO35" s="729">
        <f t="shared" si="21"/>
        <v>0</v>
      </c>
      <c r="BP35" s="729">
        <f t="shared" si="22"/>
        <v>0</v>
      </c>
      <c r="BQ35" s="729">
        <f t="shared" si="23"/>
        <v>0</v>
      </c>
      <c r="BR35" s="729">
        <f t="shared" si="24"/>
        <v>0</v>
      </c>
      <c r="BS35" s="729">
        <f t="shared" si="25"/>
        <v>0</v>
      </c>
      <c r="BT35" s="729">
        <f t="shared" si="26"/>
        <v>0</v>
      </c>
      <c r="BU35" s="729">
        <f t="shared" si="27"/>
        <v>0</v>
      </c>
      <c r="BV35" s="729">
        <f t="shared" si="28"/>
        <v>0</v>
      </c>
      <c r="BW35" s="729">
        <f t="shared" si="29"/>
        <v>0</v>
      </c>
      <c r="BX35" s="729">
        <f t="shared" si="30"/>
        <v>0</v>
      </c>
      <c r="BY35" s="729">
        <f t="shared" si="31"/>
        <v>0</v>
      </c>
      <c r="BZ35" s="729">
        <f t="shared" si="32"/>
        <v>0</v>
      </c>
      <c r="CA35" s="729">
        <f t="shared" si="33"/>
        <v>0</v>
      </c>
      <c r="CB35" s="729">
        <f t="shared" si="34"/>
        <v>0</v>
      </c>
      <c r="CC35" s="729">
        <f t="shared" si="35"/>
        <v>0</v>
      </c>
      <c r="CD35" s="729">
        <f t="shared" si="36"/>
        <v>0</v>
      </c>
      <c r="CE35" s="729">
        <f t="shared" si="37"/>
        <v>0</v>
      </c>
      <c r="CF35" s="731">
        <f t="shared" si="38"/>
        <v>0</v>
      </c>
      <c r="CG35" s="692" t="str">
        <f t="shared" si="39"/>
        <v/>
      </c>
      <c r="CH35" s="659" t="str">
        <f t="shared" si="40"/>
        <v/>
      </c>
      <c r="CI35" s="659" t="str">
        <f t="shared" si="41"/>
        <v/>
      </c>
      <c r="CJ35" s="659" t="str">
        <f t="shared" si="42"/>
        <v/>
      </c>
      <c r="CK35" s="659" t="str">
        <f t="shared" si="43"/>
        <v/>
      </c>
      <c r="CL35" s="659" t="str">
        <f t="shared" si="44"/>
        <v/>
      </c>
      <c r="CM35" s="82" t="str">
        <f t="shared" si="45"/>
        <v/>
      </c>
      <c r="CN35" s="625" t="str">
        <f t="shared" si="4"/>
        <v/>
      </c>
      <c r="CO35" s="625" t="str">
        <f t="shared" si="52"/>
        <v>0</v>
      </c>
      <c r="CP35" s="620">
        <f t="shared" si="47"/>
        <v>0</v>
      </c>
      <c r="CQ35" s="1051" t="s">
        <v>55</v>
      </c>
      <c r="CR35" s="1080">
        <v>235032</v>
      </c>
      <c r="CS35" s="625">
        <f t="shared" si="48"/>
        <v>0</v>
      </c>
      <c r="CT35" s="625">
        <f t="shared" si="49"/>
        <v>0</v>
      </c>
      <c r="CU35" s="626" t="str">
        <f t="shared" si="50"/>
        <v>00</v>
      </c>
    </row>
    <row r="36" spans="1:99" s="5" customFormat="1" ht="15" customHeight="1">
      <c r="A36" s="1094">
        <v>33</v>
      </c>
      <c r="B36" s="1376"/>
      <c r="C36" s="1377"/>
      <c r="D36" s="1068"/>
      <c r="E36" s="1060"/>
      <c r="F36" s="1382"/>
      <c r="G36" s="1200"/>
      <c r="H36" s="1061"/>
      <c r="I36" s="1062"/>
      <c r="J36" s="1063"/>
      <c r="K36" s="1153"/>
      <c r="L36" s="1153"/>
      <c r="M36" s="1183"/>
      <c r="N36" s="1187" t="str">
        <f t="shared" si="5"/>
        <v/>
      </c>
      <c r="O36" s="1190" t="str">
        <f t="shared" si="51"/>
        <v/>
      </c>
      <c r="P36" s="525" t="str">
        <f>IF(O36="","",VLOOKUP(O36,所属コード!$A$2:$E$189,2,FALSE))</f>
        <v/>
      </c>
      <c r="Q36" s="1164" t="str">
        <f>IF(O36="","",VLOOKUP(O36,所属コード!$A$2:$G$189,7,FALSE))</f>
        <v/>
      </c>
      <c r="R36" s="1166"/>
      <c r="S36" s="77"/>
      <c r="T36" s="77"/>
      <c r="U36" s="77"/>
      <c r="V36" s="15"/>
      <c r="X36" s="621"/>
      <c r="Y36" s="1090" t="str">
        <f t="shared" si="6"/>
        <v/>
      </c>
      <c r="Z36" s="618" t="str">
        <f t="shared" si="7"/>
        <v/>
      </c>
      <c r="AA36" s="617"/>
      <c r="AB36" s="617"/>
      <c r="AC36" s="617"/>
      <c r="AD36" s="617"/>
      <c r="AE36" s="617"/>
      <c r="AF36" s="617"/>
      <c r="AG36" s="620"/>
      <c r="AH36" s="727"/>
      <c r="AI36" s="728"/>
      <c r="AJ36" s="728"/>
      <c r="AK36" s="728"/>
      <c r="AL36" s="728"/>
      <c r="AM36" s="728"/>
      <c r="AN36" s="728"/>
      <c r="AO36" s="728"/>
      <c r="AP36" s="728"/>
      <c r="AQ36" s="728"/>
      <c r="AR36" s="728"/>
      <c r="AS36" s="728"/>
      <c r="AT36" s="728"/>
      <c r="AU36" s="728"/>
      <c r="AV36" s="728"/>
      <c r="AW36" s="742"/>
      <c r="AX36" s="747">
        <f t="shared" si="8"/>
        <v>0</v>
      </c>
      <c r="AY36" s="738">
        <f t="shared" ref="AY36:AY67" si="53">AO36</f>
        <v>0</v>
      </c>
      <c r="AZ36" s="729">
        <f t="shared" ref="AZ36:AZ67" si="54">AO36</f>
        <v>0</v>
      </c>
      <c r="BA36" s="730">
        <f t="shared" ref="BA36:BA67" si="55">AO36</f>
        <v>0</v>
      </c>
      <c r="BB36" s="729">
        <f t="shared" ref="BB36:BB67" si="56">AP36</f>
        <v>0</v>
      </c>
      <c r="BC36" s="729">
        <f t="shared" si="9"/>
        <v>0</v>
      </c>
      <c r="BD36" s="729">
        <f t="shared" si="10"/>
        <v>0</v>
      </c>
      <c r="BE36" s="729">
        <f t="shared" si="11"/>
        <v>0</v>
      </c>
      <c r="BF36" s="729">
        <f t="shared" si="12"/>
        <v>0</v>
      </c>
      <c r="BG36" s="729">
        <f t="shared" si="13"/>
        <v>0</v>
      </c>
      <c r="BH36" s="729">
        <f t="shared" si="14"/>
        <v>0</v>
      </c>
      <c r="BI36" s="729">
        <f t="shared" si="15"/>
        <v>0</v>
      </c>
      <c r="BJ36" s="729">
        <f t="shared" si="16"/>
        <v>0</v>
      </c>
      <c r="BK36" s="729">
        <f t="shared" si="17"/>
        <v>0</v>
      </c>
      <c r="BL36" s="729">
        <f t="shared" si="18"/>
        <v>0</v>
      </c>
      <c r="BM36" s="729">
        <f t="shared" si="19"/>
        <v>0</v>
      </c>
      <c r="BN36" s="729">
        <f t="shared" si="20"/>
        <v>0</v>
      </c>
      <c r="BO36" s="729">
        <f t="shared" si="21"/>
        <v>0</v>
      </c>
      <c r="BP36" s="729">
        <f t="shared" si="22"/>
        <v>0</v>
      </c>
      <c r="BQ36" s="729">
        <f t="shared" si="23"/>
        <v>0</v>
      </c>
      <c r="BR36" s="729">
        <f t="shared" si="24"/>
        <v>0</v>
      </c>
      <c r="BS36" s="729">
        <f t="shared" si="25"/>
        <v>0</v>
      </c>
      <c r="BT36" s="729">
        <f t="shared" si="26"/>
        <v>0</v>
      </c>
      <c r="BU36" s="729">
        <f t="shared" si="27"/>
        <v>0</v>
      </c>
      <c r="BV36" s="729">
        <f t="shared" si="28"/>
        <v>0</v>
      </c>
      <c r="BW36" s="729">
        <f t="shared" si="29"/>
        <v>0</v>
      </c>
      <c r="BX36" s="729">
        <f t="shared" si="30"/>
        <v>0</v>
      </c>
      <c r="BY36" s="729">
        <f t="shared" si="31"/>
        <v>0</v>
      </c>
      <c r="BZ36" s="729">
        <f t="shared" si="32"/>
        <v>0</v>
      </c>
      <c r="CA36" s="729">
        <f t="shared" si="33"/>
        <v>0</v>
      </c>
      <c r="CB36" s="729">
        <f t="shared" si="34"/>
        <v>0</v>
      </c>
      <c r="CC36" s="729">
        <f t="shared" si="35"/>
        <v>0</v>
      </c>
      <c r="CD36" s="729">
        <f t="shared" si="36"/>
        <v>0</v>
      </c>
      <c r="CE36" s="729">
        <f t="shared" si="37"/>
        <v>0</v>
      </c>
      <c r="CF36" s="731">
        <f t="shared" si="38"/>
        <v>0</v>
      </c>
      <c r="CG36" s="692" t="str">
        <f t="shared" si="39"/>
        <v/>
      </c>
      <c r="CH36" s="659" t="str">
        <f t="shared" si="40"/>
        <v/>
      </c>
      <c r="CI36" s="659" t="str">
        <f t="shared" si="41"/>
        <v/>
      </c>
      <c r="CJ36" s="659" t="str">
        <f t="shared" si="42"/>
        <v/>
      </c>
      <c r="CK36" s="659" t="str">
        <f t="shared" si="43"/>
        <v/>
      </c>
      <c r="CL36" s="659" t="str">
        <f t="shared" si="44"/>
        <v/>
      </c>
      <c r="CM36" s="82" t="str">
        <f t="shared" si="45"/>
        <v/>
      </c>
      <c r="CN36" s="625" t="str">
        <f t="shared" ref="CN36:CN67" si="57">IF(I36="3",3,IF(I36="2",2,IF(I36="1",1,IF(I36=1,1,IF(I36=2,2,IF(I36=3,3,""))))))</f>
        <v/>
      </c>
      <c r="CO36" s="625" t="str">
        <f t="shared" si="52"/>
        <v>0</v>
      </c>
      <c r="CP36" s="620">
        <f t="shared" si="47"/>
        <v>0</v>
      </c>
      <c r="CQ36" s="1051" t="s">
        <v>56</v>
      </c>
      <c r="CR36" s="1080">
        <v>235033</v>
      </c>
      <c r="CS36" s="625">
        <f t="shared" si="48"/>
        <v>0</v>
      </c>
      <c r="CT36" s="625">
        <f t="shared" si="49"/>
        <v>0</v>
      </c>
      <c r="CU36" s="626" t="str">
        <f t="shared" si="50"/>
        <v>00</v>
      </c>
    </row>
    <row r="37" spans="1:99" s="5" customFormat="1" ht="15" customHeight="1">
      <c r="A37" s="1094">
        <v>34</v>
      </c>
      <c r="B37" s="1376"/>
      <c r="C37" s="1377"/>
      <c r="D37" s="1068"/>
      <c r="E37" s="1060"/>
      <c r="F37" s="1382"/>
      <c r="G37" s="1200"/>
      <c r="H37" s="1061"/>
      <c r="I37" s="1062"/>
      <c r="J37" s="1063"/>
      <c r="K37" s="1153"/>
      <c r="L37" s="1153"/>
      <c r="M37" s="1183"/>
      <c r="N37" s="1187" t="str">
        <f t="shared" si="5"/>
        <v/>
      </c>
      <c r="O37" s="1190" t="str">
        <f t="shared" si="51"/>
        <v/>
      </c>
      <c r="P37" s="525" t="str">
        <f>IF(O37="","",VLOOKUP(O37,所属コード!$A$2:$E$189,2,FALSE))</f>
        <v/>
      </c>
      <c r="Q37" s="1164" t="str">
        <f>IF(O37="","",VLOOKUP(O37,所属コード!$A$2:$G$189,7,FALSE))</f>
        <v/>
      </c>
      <c r="R37" s="1166"/>
      <c r="S37" s="77"/>
      <c r="T37" s="77"/>
      <c r="U37" s="77"/>
      <c r="V37" s="15"/>
      <c r="X37" s="621"/>
      <c r="Y37" s="1090" t="str">
        <f t="shared" si="6"/>
        <v/>
      </c>
      <c r="Z37" s="618" t="str">
        <f t="shared" si="7"/>
        <v/>
      </c>
      <c r="AA37" s="617"/>
      <c r="AB37" s="617"/>
      <c r="AC37" s="617"/>
      <c r="AD37" s="617"/>
      <c r="AE37" s="617"/>
      <c r="AF37" s="617"/>
      <c r="AG37" s="620"/>
      <c r="AH37" s="727"/>
      <c r="AI37" s="728"/>
      <c r="AJ37" s="728"/>
      <c r="AK37" s="728"/>
      <c r="AL37" s="728"/>
      <c r="AM37" s="728"/>
      <c r="AN37" s="728"/>
      <c r="AO37" s="728"/>
      <c r="AP37" s="728"/>
      <c r="AQ37" s="728"/>
      <c r="AR37" s="728"/>
      <c r="AS37" s="728"/>
      <c r="AT37" s="728"/>
      <c r="AU37" s="728"/>
      <c r="AV37" s="728"/>
      <c r="AW37" s="742"/>
      <c r="AX37" s="747">
        <f t="shared" si="8"/>
        <v>0</v>
      </c>
      <c r="AY37" s="738">
        <f t="shared" si="53"/>
        <v>0</v>
      </c>
      <c r="AZ37" s="729">
        <f t="shared" si="54"/>
        <v>0</v>
      </c>
      <c r="BA37" s="730">
        <f t="shared" si="55"/>
        <v>0</v>
      </c>
      <c r="BB37" s="729">
        <f t="shared" si="56"/>
        <v>0</v>
      </c>
      <c r="BC37" s="729">
        <f t="shared" si="9"/>
        <v>0</v>
      </c>
      <c r="BD37" s="729">
        <f t="shared" si="10"/>
        <v>0</v>
      </c>
      <c r="BE37" s="729">
        <f t="shared" si="11"/>
        <v>0</v>
      </c>
      <c r="BF37" s="729">
        <f t="shared" si="12"/>
        <v>0</v>
      </c>
      <c r="BG37" s="729">
        <f t="shared" si="13"/>
        <v>0</v>
      </c>
      <c r="BH37" s="729">
        <f t="shared" si="14"/>
        <v>0</v>
      </c>
      <c r="BI37" s="729">
        <f t="shared" si="15"/>
        <v>0</v>
      </c>
      <c r="BJ37" s="729">
        <f t="shared" si="16"/>
        <v>0</v>
      </c>
      <c r="BK37" s="729">
        <f t="shared" si="17"/>
        <v>0</v>
      </c>
      <c r="BL37" s="729">
        <f t="shared" si="18"/>
        <v>0</v>
      </c>
      <c r="BM37" s="729">
        <f t="shared" si="19"/>
        <v>0</v>
      </c>
      <c r="BN37" s="729">
        <f t="shared" si="20"/>
        <v>0</v>
      </c>
      <c r="BO37" s="729">
        <f t="shared" si="21"/>
        <v>0</v>
      </c>
      <c r="BP37" s="729">
        <f t="shared" si="22"/>
        <v>0</v>
      </c>
      <c r="BQ37" s="729">
        <f t="shared" si="23"/>
        <v>0</v>
      </c>
      <c r="BR37" s="729">
        <f t="shared" si="24"/>
        <v>0</v>
      </c>
      <c r="BS37" s="729">
        <f t="shared" si="25"/>
        <v>0</v>
      </c>
      <c r="BT37" s="729">
        <f t="shared" si="26"/>
        <v>0</v>
      </c>
      <c r="BU37" s="729">
        <f t="shared" si="27"/>
        <v>0</v>
      </c>
      <c r="BV37" s="729">
        <f t="shared" si="28"/>
        <v>0</v>
      </c>
      <c r="BW37" s="729">
        <f t="shared" si="29"/>
        <v>0</v>
      </c>
      <c r="BX37" s="729">
        <f t="shared" si="30"/>
        <v>0</v>
      </c>
      <c r="BY37" s="729">
        <f t="shared" si="31"/>
        <v>0</v>
      </c>
      <c r="BZ37" s="729">
        <f t="shared" si="32"/>
        <v>0</v>
      </c>
      <c r="CA37" s="729">
        <f t="shared" si="33"/>
        <v>0</v>
      </c>
      <c r="CB37" s="729">
        <f t="shared" si="34"/>
        <v>0</v>
      </c>
      <c r="CC37" s="729">
        <f t="shared" si="35"/>
        <v>0</v>
      </c>
      <c r="CD37" s="729">
        <f t="shared" si="36"/>
        <v>0</v>
      </c>
      <c r="CE37" s="729">
        <f t="shared" si="37"/>
        <v>0</v>
      </c>
      <c r="CF37" s="731">
        <f t="shared" si="38"/>
        <v>0</v>
      </c>
      <c r="CG37" s="692" t="str">
        <f t="shared" si="39"/>
        <v/>
      </c>
      <c r="CH37" s="659" t="str">
        <f t="shared" si="40"/>
        <v/>
      </c>
      <c r="CI37" s="659" t="str">
        <f t="shared" si="41"/>
        <v/>
      </c>
      <c r="CJ37" s="659" t="str">
        <f t="shared" si="42"/>
        <v/>
      </c>
      <c r="CK37" s="659" t="str">
        <f t="shared" si="43"/>
        <v/>
      </c>
      <c r="CL37" s="659" t="str">
        <f t="shared" si="44"/>
        <v/>
      </c>
      <c r="CM37" s="82" t="str">
        <f t="shared" si="45"/>
        <v/>
      </c>
      <c r="CN37" s="625" t="str">
        <f t="shared" si="57"/>
        <v/>
      </c>
      <c r="CO37" s="625" t="str">
        <f t="shared" si="52"/>
        <v>0</v>
      </c>
      <c r="CP37" s="620">
        <f t="shared" si="47"/>
        <v>0</v>
      </c>
      <c r="CQ37" s="1051" t="s">
        <v>57</v>
      </c>
      <c r="CR37" s="1080">
        <v>235034</v>
      </c>
      <c r="CS37" s="625">
        <f t="shared" si="48"/>
        <v>0</v>
      </c>
      <c r="CT37" s="625">
        <f t="shared" si="49"/>
        <v>0</v>
      </c>
      <c r="CU37" s="626" t="str">
        <f t="shared" si="50"/>
        <v>00</v>
      </c>
    </row>
    <row r="38" spans="1:99" s="5" customFormat="1" ht="15" customHeight="1">
      <c r="A38" s="1094">
        <v>35</v>
      </c>
      <c r="B38" s="1376"/>
      <c r="C38" s="1377"/>
      <c r="D38" s="1068"/>
      <c r="E38" s="1060"/>
      <c r="F38" s="1382"/>
      <c r="G38" s="1200"/>
      <c r="H38" s="1061"/>
      <c r="I38" s="1062"/>
      <c r="J38" s="1063"/>
      <c r="K38" s="1153"/>
      <c r="L38" s="1153"/>
      <c r="M38" s="1183"/>
      <c r="N38" s="1187" t="str">
        <f t="shared" si="5"/>
        <v/>
      </c>
      <c r="O38" s="1190" t="str">
        <f t="shared" si="51"/>
        <v/>
      </c>
      <c r="P38" s="525" t="str">
        <f>IF(O38="","",VLOOKUP(O38,所属コード!$A$2:$E$189,2,FALSE))</f>
        <v/>
      </c>
      <c r="Q38" s="1164" t="str">
        <f>IF(O38="","",VLOOKUP(O38,所属コード!$A$2:$G$189,7,FALSE))</f>
        <v/>
      </c>
      <c r="R38" s="1166"/>
      <c r="S38" s="77"/>
      <c r="T38" s="77"/>
      <c r="U38" s="77"/>
      <c r="V38" s="15"/>
      <c r="X38" s="621"/>
      <c r="Y38" s="1090" t="str">
        <f t="shared" si="6"/>
        <v/>
      </c>
      <c r="Z38" s="618" t="str">
        <f t="shared" si="7"/>
        <v/>
      </c>
      <c r="AA38" s="617"/>
      <c r="AB38" s="617"/>
      <c r="AC38" s="617"/>
      <c r="AD38" s="617"/>
      <c r="AE38" s="617"/>
      <c r="AF38" s="617"/>
      <c r="AG38" s="620"/>
      <c r="AH38" s="727"/>
      <c r="AI38" s="728"/>
      <c r="AJ38" s="728"/>
      <c r="AK38" s="728"/>
      <c r="AL38" s="728"/>
      <c r="AM38" s="728"/>
      <c r="AN38" s="728"/>
      <c r="AO38" s="728"/>
      <c r="AP38" s="728"/>
      <c r="AQ38" s="728"/>
      <c r="AR38" s="728"/>
      <c r="AS38" s="728"/>
      <c r="AT38" s="728"/>
      <c r="AU38" s="728"/>
      <c r="AV38" s="728"/>
      <c r="AW38" s="742"/>
      <c r="AX38" s="747">
        <f t="shared" si="8"/>
        <v>0</v>
      </c>
      <c r="AY38" s="738">
        <f t="shared" si="53"/>
        <v>0</v>
      </c>
      <c r="AZ38" s="729">
        <f t="shared" si="54"/>
        <v>0</v>
      </c>
      <c r="BA38" s="730">
        <f t="shared" si="55"/>
        <v>0</v>
      </c>
      <c r="BB38" s="729">
        <f t="shared" si="56"/>
        <v>0</v>
      </c>
      <c r="BC38" s="729">
        <f t="shared" si="9"/>
        <v>0</v>
      </c>
      <c r="BD38" s="729">
        <f t="shared" si="10"/>
        <v>0</v>
      </c>
      <c r="BE38" s="729">
        <f t="shared" si="11"/>
        <v>0</v>
      </c>
      <c r="BF38" s="729">
        <f t="shared" si="12"/>
        <v>0</v>
      </c>
      <c r="BG38" s="729">
        <f t="shared" si="13"/>
        <v>0</v>
      </c>
      <c r="BH38" s="729">
        <f t="shared" si="14"/>
        <v>0</v>
      </c>
      <c r="BI38" s="729">
        <f t="shared" si="15"/>
        <v>0</v>
      </c>
      <c r="BJ38" s="729">
        <f t="shared" si="16"/>
        <v>0</v>
      </c>
      <c r="BK38" s="729">
        <f t="shared" si="17"/>
        <v>0</v>
      </c>
      <c r="BL38" s="729">
        <f t="shared" si="18"/>
        <v>0</v>
      </c>
      <c r="BM38" s="729">
        <f t="shared" si="19"/>
        <v>0</v>
      </c>
      <c r="BN38" s="729">
        <f t="shared" si="20"/>
        <v>0</v>
      </c>
      <c r="BO38" s="729">
        <f t="shared" si="21"/>
        <v>0</v>
      </c>
      <c r="BP38" s="729">
        <f t="shared" si="22"/>
        <v>0</v>
      </c>
      <c r="BQ38" s="729">
        <f t="shared" si="23"/>
        <v>0</v>
      </c>
      <c r="BR38" s="729">
        <f t="shared" si="24"/>
        <v>0</v>
      </c>
      <c r="BS38" s="729">
        <f t="shared" si="25"/>
        <v>0</v>
      </c>
      <c r="BT38" s="729">
        <f t="shared" si="26"/>
        <v>0</v>
      </c>
      <c r="BU38" s="729">
        <f t="shared" si="27"/>
        <v>0</v>
      </c>
      <c r="BV38" s="729">
        <f t="shared" si="28"/>
        <v>0</v>
      </c>
      <c r="BW38" s="729">
        <f t="shared" si="29"/>
        <v>0</v>
      </c>
      <c r="BX38" s="729">
        <f t="shared" si="30"/>
        <v>0</v>
      </c>
      <c r="BY38" s="729">
        <f t="shared" si="31"/>
        <v>0</v>
      </c>
      <c r="BZ38" s="729">
        <f t="shared" si="32"/>
        <v>0</v>
      </c>
      <c r="CA38" s="729">
        <f t="shared" si="33"/>
        <v>0</v>
      </c>
      <c r="CB38" s="729">
        <f t="shared" si="34"/>
        <v>0</v>
      </c>
      <c r="CC38" s="729">
        <f t="shared" si="35"/>
        <v>0</v>
      </c>
      <c r="CD38" s="729">
        <f t="shared" si="36"/>
        <v>0</v>
      </c>
      <c r="CE38" s="729">
        <f t="shared" si="37"/>
        <v>0</v>
      </c>
      <c r="CF38" s="731">
        <f t="shared" si="38"/>
        <v>0</v>
      </c>
      <c r="CG38" s="692" t="str">
        <f t="shared" si="39"/>
        <v/>
      </c>
      <c r="CH38" s="659" t="str">
        <f t="shared" si="40"/>
        <v/>
      </c>
      <c r="CI38" s="659" t="str">
        <f t="shared" si="41"/>
        <v/>
      </c>
      <c r="CJ38" s="659" t="str">
        <f t="shared" si="42"/>
        <v/>
      </c>
      <c r="CK38" s="659" t="str">
        <f t="shared" si="43"/>
        <v/>
      </c>
      <c r="CL38" s="659" t="str">
        <f t="shared" si="44"/>
        <v/>
      </c>
      <c r="CM38" s="82" t="str">
        <f t="shared" si="45"/>
        <v/>
      </c>
      <c r="CN38" s="625" t="str">
        <f t="shared" si="57"/>
        <v/>
      </c>
      <c r="CO38" s="625" t="str">
        <f t="shared" si="52"/>
        <v>0</v>
      </c>
      <c r="CP38" s="620">
        <f t="shared" si="47"/>
        <v>0</v>
      </c>
      <c r="CQ38" s="1051" t="s">
        <v>58</v>
      </c>
      <c r="CR38" s="1080">
        <v>235035</v>
      </c>
      <c r="CS38" s="625">
        <f t="shared" si="48"/>
        <v>0</v>
      </c>
      <c r="CT38" s="625">
        <f t="shared" si="49"/>
        <v>0</v>
      </c>
      <c r="CU38" s="626" t="str">
        <f t="shared" si="50"/>
        <v>00</v>
      </c>
    </row>
    <row r="39" spans="1:99" s="5" customFormat="1" ht="15" customHeight="1">
      <c r="A39" s="1094">
        <v>36</v>
      </c>
      <c r="B39" s="1376"/>
      <c r="C39" s="1377"/>
      <c r="D39" s="1068"/>
      <c r="E39" s="1060"/>
      <c r="F39" s="1382"/>
      <c r="G39" s="1200"/>
      <c r="H39" s="1061"/>
      <c r="I39" s="1062"/>
      <c r="J39" s="1063"/>
      <c r="K39" s="1153"/>
      <c r="L39" s="1153"/>
      <c r="M39" s="1183"/>
      <c r="N39" s="1187" t="str">
        <f t="shared" si="5"/>
        <v/>
      </c>
      <c r="O39" s="1190" t="str">
        <f t="shared" si="51"/>
        <v/>
      </c>
      <c r="P39" s="525" t="str">
        <f>IF(O39="","",VLOOKUP(O39,所属コード!$A$2:$E$189,2,FALSE))</f>
        <v/>
      </c>
      <c r="Q39" s="1164" t="str">
        <f>IF(O39="","",VLOOKUP(O39,所属コード!$A$2:$G$189,7,FALSE))</f>
        <v/>
      </c>
      <c r="R39" s="1166"/>
      <c r="S39" s="77"/>
      <c r="T39" s="77"/>
      <c r="U39" s="77"/>
      <c r="V39" s="15"/>
      <c r="X39" s="621"/>
      <c r="Y39" s="1090" t="str">
        <f t="shared" si="6"/>
        <v/>
      </c>
      <c r="Z39" s="618" t="str">
        <f t="shared" si="7"/>
        <v/>
      </c>
      <c r="AA39" s="617"/>
      <c r="AB39" s="617"/>
      <c r="AC39" s="617"/>
      <c r="AD39" s="617"/>
      <c r="AE39" s="617"/>
      <c r="AF39" s="617"/>
      <c r="AG39" s="620"/>
      <c r="AH39" s="727"/>
      <c r="AI39" s="728"/>
      <c r="AJ39" s="728"/>
      <c r="AK39" s="728"/>
      <c r="AL39" s="728"/>
      <c r="AM39" s="728"/>
      <c r="AN39" s="728"/>
      <c r="AO39" s="728"/>
      <c r="AP39" s="728"/>
      <c r="AQ39" s="728"/>
      <c r="AR39" s="728"/>
      <c r="AS39" s="728"/>
      <c r="AT39" s="728"/>
      <c r="AU39" s="728"/>
      <c r="AV39" s="728"/>
      <c r="AW39" s="742"/>
      <c r="AX39" s="747">
        <f t="shared" si="8"/>
        <v>0</v>
      </c>
      <c r="AY39" s="738">
        <f t="shared" si="53"/>
        <v>0</v>
      </c>
      <c r="AZ39" s="729">
        <f t="shared" si="54"/>
        <v>0</v>
      </c>
      <c r="BA39" s="730">
        <f t="shared" si="55"/>
        <v>0</v>
      </c>
      <c r="BB39" s="729">
        <f t="shared" si="56"/>
        <v>0</v>
      </c>
      <c r="BC39" s="729">
        <f t="shared" si="9"/>
        <v>0</v>
      </c>
      <c r="BD39" s="729">
        <f t="shared" si="10"/>
        <v>0</v>
      </c>
      <c r="BE39" s="729">
        <f t="shared" si="11"/>
        <v>0</v>
      </c>
      <c r="BF39" s="729">
        <f t="shared" si="12"/>
        <v>0</v>
      </c>
      <c r="BG39" s="729">
        <f t="shared" si="13"/>
        <v>0</v>
      </c>
      <c r="BH39" s="729">
        <f t="shared" si="14"/>
        <v>0</v>
      </c>
      <c r="BI39" s="729">
        <f t="shared" si="15"/>
        <v>0</v>
      </c>
      <c r="BJ39" s="729">
        <f t="shared" si="16"/>
        <v>0</v>
      </c>
      <c r="BK39" s="729">
        <f t="shared" si="17"/>
        <v>0</v>
      </c>
      <c r="BL39" s="729">
        <f t="shared" si="18"/>
        <v>0</v>
      </c>
      <c r="BM39" s="729">
        <f t="shared" si="19"/>
        <v>0</v>
      </c>
      <c r="BN39" s="729">
        <f t="shared" si="20"/>
        <v>0</v>
      </c>
      <c r="BO39" s="729">
        <f t="shared" si="21"/>
        <v>0</v>
      </c>
      <c r="BP39" s="729">
        <f t="shared" si="22"/>
        <v>0</v>
      </c>
      <c r="BQ39" s="729">
        <f t="shared" si="23"/>
        <v>0</v>
      </c>
      <c r="BR39" s="729">
        <f t="shared" si="24"/>
        <v>0</v>
      </c>
      <c r="BS39" s="729">
        <f t="shared" si="25"/>
        <v>0</v>
      </c>
      <c r="BT39" s="729">
        <f t="shared" si="26"/>
        <v>0</v>
      </c>
      <c r="BU39" s="729">
        <f t="shared" si="27"/>
        <v>0</v>
      </c>
      <c r="BV39" s="729">
        <f t="shared" si="28"/>
        <v>0</v>
      </c>
      <c r="BW39" s="729">
        <f t="shared" si="29"/>
        <v>0</v>
      </c>
      <c r="BX39" s="729">
        <f t="shared" si="30"/>
        <v>0</v>
      </c>
      <c r="BY39" s="729">
        <f t="shared" si="31"/>
        <v>0</v>
      </c>
      <c r="BZ39" s="729">
        <f t="shared" si="32"/>
        <v>0</v>
      </c>
      <c r="CA39" s="729">
        <f t="shared" si="33"/>
        <v>0</v>
      </c>
      <c r="CB39" s="729">
        <f t="shared" si="34"/>
        <v>0</v>
      </c>
      <c r="CC39" s="729">
        <f t="shared" si="35"/>
        <v>0</v>
      </c>
      <c r="CD39" s="729">
        <f t="shared" si="36"/>
        <v>0</v>
      </c>
      <c r="CE39" s="729">
        <f t="shared" si="37"/>
        <v>0</v>
      </c>
      <c r="CF39" s="731">
        <f t="shared" si="38"/>
        <v>0</v>
      </c>
      <c r="CG39" s="692" t="str">
        <f t="shared" si="39"/>
        <v/>
      </c>
      <c r="CH39" s="659" t="str">
        <f t="shared" si="40"/>
        <v/>
      </c>
      <c r="CI39" s="659" t="str">
        <f t="shared" si="41"/>
        <v/>
      </c>
      <c r="CJ39" s="659" t="str">
        <f t="shared" si="42"/>
        <v/>
      </c>
      <c r="CK39" s="659" t="str">
        <f t="shared" si="43"/>
        <v/>
      </c>
      <c r="CL39" s="659" t="str">
        <f t="shared" si="44"/>
        <v/>
      </c>
      <c r="CM39" s="82" t="str">
        <f t="shared" si="45"/>
        <v/>
      </c>
      <c r="CN39" s="625" t="str">
        <f t="shared" si="57"/>
        <v/>
      </c>
      <c r="CO39" s="625" t="str">
        <f t="shared" si="52"/>
        <v>0</v>
      </c>
      <c r="CP39" s="620">
        <f t="shared" si="47"/>
        <v>0</v>
      </c>
      <c r="CQ39" s="1051" t="s">
        <v>59</v>
      </c>
      <c r="CR39" s="1080">
        <v>235036</v>
      </c>
      <c r="CS39" s="625">
        <f t="shared" si="48"/>
        <v>0</v>
      </c>
      <c r="CT39" s="625">
        <f t="shared" si="49"/>
        <v>0</v>
      </c>
      <c r="CU39" s="626" t="str">
        <f t="shared" si="50"/>
        <v>00</v>
      </c>
    </row>
    <row r="40" spans="1:99" s="5" customFormat="1" ht="15" customHeight="1">
      <c r="A40" s="1094">
        <v>37</v>
      </c>
      <c r="B40" s="1376"/>
      <c r="C40" s="1377"/>
      <c r="D40" s="1068"/>
      <c r="E40" s="1060"/>
      <c r="F40" s="1382"/>
      <c r="G40" s="1200"/>
      <c r="H40" s="1061"/>
      <c r="I40" s="1062"/>
      <c r="J40" s="1063"/>
      <c r="K40" s="1153"/>
      <c r="L40" s="1153"/>
      <c r="M40" s="1183"/>
      <c r="N40" s="1187" t="str">
        <f t="shared" si="5"/>
        <v/>
      </c>
      <c r="O40" s="1190" t="str">
        <f t="shared" si="51"/>
        <v/>
      </c>
      <c r="P40" s="525" t="str">
        <f>IF(O40="","",VLOOKUP(O40,所属コード!$A$2:$E$189,2,FALSE))</f>
        <v/>
      </c>
      <c r="Q40" s="1164" t="str">
        <f>IF(O40="","",VLOOKUP(O40,所属コード!$A$2:$G$189,7,FALSE))</f>
        <v/>
      </c>
      <c r="R40" s="1166"/>
      <c r="S40" s="77"/>
      <c r="T40" s="77"/>
      <c r="U40" s="77"/>
      <c r="V40" s="15"/>
      <c r="X40" s="621"/>
      <c r="Y40" s="1090" t="str">
        <f t="shared" si="6"/>
        <v/>
      </c>
      <c r="Z40" s="618" t="str">
        <f t="shared" si="7"/>
        <v/>
      </c>
      <c r="AA40" s="617"/>
      <c r="AB40" s="617"/>
      <c r="AC40" s="617"/>
      <c r="AD40" s="617"/>
      <c r="AE40" s="617"/>
      <c r="AF40" s="617"/>
      <c r="AG40" s="620"/>
      <c r="AH40" s="727"/>
      <c r="AI40" s="728"/>
      <c r="AJ40" s="728"/>
      <c r="AK40" s="728"/>
      <c r="AL40" s="728"/>
      <c r="AM40" s="728"/>
      <c r="AN40" s="728"/>
      <c r="AO40" s="728"/>
      <c r="AP40" s="728"/>
      <c r="AQ40" s="728"/>
      <c r="AR40" s="728"/>
      <c r="AS40" s="728"/>
      <c r="AT40" s="728"/>
      <c r="AU40" s="728"/>
      <c r="AV40" s="728"/>
      <c r="AW40" s="742"/>
      <c r="AX40" s="747">
        <f t="shared" si="8"/>
        <v>0</v>
      </c>
      <c r="AY40" s="738">
        <f t="shared" si="53"/>
        <v>0</v>
      </c>
      <c r="AZ40" s="729">
        <f t="shared" si="54"/>
        <v>0</v>
      </c>
      <c r="BA40" s="730">
        <f t="shared" si="55"/>
        <v>0</v>
      </c>
      <c r="BB40" s="729">
        <f t="shared" si="56"/>
        <v>0</v>
      </c>
      <c r="BC40" s="729">
        <f t="shared" si="9"/>
        <v>0</v>
      </c>
      <c r="BD40" s="729">
        <f t="shared" si="10"/>
        <v>0</v>
      </c>
      <c r="BE40" s="729">
        <f t="shared" si="11"/>
        <v>0</v>
      </c>
      <c r="BF40" s="729">
        <f t="shared" si="12"/>
        <v>0</v>
      </c>
      <c r="BG40" s="729">
        <f t="shared" si="13"/>
        <v>0</v>
      </c>
      <c r="BH40" s="729">
        <f t="shared" si="14"/>
        <v>0</v>
      </c>
      <c r="BI40" s="729">
        <f t="shared" si="15"/>
        <v>0</v>
      </c>
      <c r="BJ40" s="729">
        <f t="shared" si="16"/>
        <v>0</v>
      </c>
      <c r="BK40" s="729">
        <f t="shared" si="17"/>
        <v>0</v>
      </c>
      <c r="BL40" s="729">
        <f t="shared" si="18"/>
        <v>0</v>
      </c>
      <c r="BM40" s="729">
        <f t="shared" si="19"/>
        <v>0</v>
      </c>
      <c r="BN40" s="729">
        <f t="shared" si="20"/>
        <v>0</v>
      </c>
      <c r="BO40" s="729">
        <f t="shared" si="21"/>
        <v>0</v>
      </c>
      <c r="BP40" s="729">
        <f t="shared" si="22"/>
        <v>0</v>
      </c>
      <c r="BQ40" s="729">
        <f t="shared" si="23"/>
        <v>0</v>
      </c>
      <c r="BR40" s="729">
        <f t="shared" si="24"/>
        <v>0</v>
      </c>
      <c r="BS40" s="729">
        <f t="shared" si="25"/>
        <v>0</v>
      </c>
      <c r="BT40" s="729">
        <f t="shared" si="26"/>
        <v>0</v>
      </c>
      <c r="BU40" s="729">
        <f t="shared" si="27"/>
        <v>0</v>
      </c>
      <c r="BV40" s="729">
        <f t="shared" si="28"/>
        <v>0</v>
      </c>
      <c r="BW40" s="729">
        <f t="shared" si="29"/>
        <v>0</v>
      </c>
      <c r="BX40" s="729">
        <f t="shared" si="30"/>
        <v>0</v>
      </c>
      <c r="BY40" s="729">
        <f t="shared" si="31"/>
        <v>0</v>
      </c>
      <c r="BZ40" s="729">
        <f t="shared" si="32"/>
        <v>0</v>
      </c>
      <c r="CA40" s="729">
        <f t="shared" si="33"/>
        <v>0</v>
      </c>
      <c r="CB40" s="729">
        <f t="shared" si="34"/>
        <v>0</v>
      </c>
      <c r="CC40" s="729">
        <f t="shared" si="35"/>
        <v>0</v>
      </c>
      <c r="CD40" s="729">
        <f t="shared" si="36"/>
        <v>0</v>
      </c>
      <c r="CE40" s="729">
        <f t="shared" si="37"/>
        <v>0</v>
      </c>
      <c r="CF40" s="731">
        <f t="shared" si="38"/>
        <v>0</v>
      </c>
      <c r="CG40" s="692" t="str">
        <f t="shared" si="39"/>
        <v/>
      </c>
      <c r="CH40" s="659" t="str">
        <f t="shared" si="40"/>
        <v/>
      </c>
      <c r="CI40" s="659" t="str">
        <f t="shared" si="41"/>
        <v/>
      </c>
      <c r="CJ40" s="659" t="str">
        <f t="shared" si="42"/>
        <v/>
      </c>
      <c r="CK40" s="659" t="str">
        <f t="shared" si="43"/>
        <v/>
      </c>
      <c r="CL40" s="659" t="str">
        <f t="shared" si="44"/>
        <v/>
      </c>
      <c r="CM40" s="82" t="str">
        <f t="shared" si="45"/>
        <v/>
      </c>
      <c r="CN40" s="625" t="str">
        <f t="shared" si="57"/>
        <v/>
      </c>
      <c r="CO40" s="625" t="str">
        <f t="shared" si="52"/>
        <v>0</v>
      </c>
      <c r="CP40" s="620">
        <f t="shared" si="47"/>
        <v>0</v>
      </c>
      <c r="CQ40" s="1051" t="s">
        <v>60</v>
      </c>
      <c r="CR40" s="1080">
        <v>235037</v>
      </c>
      <c r="CS40" s="625">
        <f t="shared" si="48"/>
        <v>0</v>
      </c>
      <c r="CT40" s="625">
        <f t="shared" si="49"/>
        <v>0</v>
      </c>
      <c r="CU40" s="626" t="str">
        <f t="shared" si="50"/>
        <v>00</v>
      </c>
    </row>
    <row r="41" spans="1:99" ht="15" customHeight="1">
      <c r="A41" s="1094">
        <v>38</v>
      </c>
      <c r="B41" s="1376"/>
      <c r="C41" s="1377"/>
      <c r="D41" s="1068"/>
      <c r="E41" s="1060"/>
      <c r="F41" s="1382"/>
      <c r="G41" s="1200"/>
      <c r="H41" s="1061"/>
      <c r="I41" s="1062"/>
      <c r="J41" s="1063"/>
      <c r="K41" s="1153"/>
      <c r="L41" s="1153"/>
      <c r="M41" s="1183"/>
      <c r="N41" s="1187" t="str">
        <f t="shared" si="5"/>
        <v/>
      </c>
      <c r="O41" s="1190" t="str">
        <f t="shared" si="51"/>
        <v/>
      </c>
      <c r="P41" s="525" t="str">
        <f>IF(O41="","",VLOOKUP(O41,所属コード!$A$2:$E$189,2,FALSE))</f>
        <v/>
      </c>
      <c r="Q41" s="1164" t="str">
        <f>IF(O41="","",VLOOKUP(O41,所属コード!$A$2:$G$189,7,FALSE))</f>
        <v/>
      </c>
      <c r="R41" s="1166"/>
      <c r="S41" s="77"/>
      <c r="T41" s="77"/>
      <c r="U41" s="77"/>
      <c r="V41" s="15"/>
      <c r="X41" s="621"/>
      <c r="Y41" s="1090" t="str">
        <f t="shared" si="6"/>
        <v/>
      </c>
      <c r="Z41" s="618" t="str">
        <f t="shared" si="7"/>
        <v/>
      </c>
      <c r="AA41" s="617"/>
      <c r="AB41" s="617"/>
      <c r="AC41" s="617"/>
      <c r="AD41" s="617"/>
      <c r="AE41" s="617"/>
      <c r="AF41" s="617"/>
      <c r="AG41" s="620"/>
      <c r="AH41" s="727"/>
      <c r="AI41" s="728"/>
      <c r="AJ41" s="728"/>
      <c r="AK41" s="728"/>
      <c r="AL41" s="728"/>
      <c r="AM41" s="728"/>
      <c r="AN41" s="728"/>
      <c r="AO41" s="728"/>
      <c r="AP41" s="728"/>
      <c r="AQ41" s="728"/>
      <c r="AR41" s="728"/>
      <c r="AS41" s="728"/>
      <c r="AT41" s="728"/>
      <c r="AU41" s="728"/>
      <c r="AV41" s="728"/>
      <c r="AW41" s="742"/>
      <c r="AX41" s="747">
        <f t="shared" si="8"/>
        <v>0</v>
      </c>
      <c r="AY41" s="738">
        <f t="shared" si="53"/>
        <v>0</v>
      </c>
      <c r="AZ41" s="729">
        <f t="shared" si="54"/>
        <v>0</v>
      </c>
      <c r="BA41" s="730">
        <f t="shared" si="55"/>
        <v>0</v>
      </c>
      <c r="BB41" s="729">
        <f t="shared" si="56"/>
        <v>0</v>
      </c>
      <c r="BC41" s="729">
        <f t="shared" si="9"/>
        <v>0</v>
      </c>
      <c r="BD41" s="729">
        <f t="shared" si="10"/>
        <v>0</v>
      </c>
      <c r="BE41" s="729">
        <f t="shared" si="11"/>
        <v>0</v>
      </c>
      <c r="BF41" s="729">
        <f t="shared" si="12"/>
        <v>0</v>
      </c>
      <c r="BG41" s="729">
        <f t="shared" si="13"/>
        <v>0</v>
      </c>
      <c r="BH41" s="729">
        <f t="shared" si="14"/>
        <v>0</v>
      </c>
      <c r="BI41" s="729">
        <f t="shared" si="15"/>
        <v>0</v>
      </c>
      <c r="BJ41" s="729">
        <f t="shared" si="16"/>
        <v>0</v>
      </c>
      <c r="BK41" s="729">
        <f t="shared" si="17"/>
        <v>0</v>
      </c>
      <c r="BL41" s="729">
        <f t="shared" si="18"/>
        <v>0</v>
      </c>
      <c r="BM41" s="729">
        <f t="shared" si="19"/>
        <v>0</v>
      </c>
      <c r="BN41" s="729">
        <f t="shared" si="20"/>
        <v>0</v>
      </c>
      <c r="BO41" s="729">
        <f t="shared" si="21"/>
        <v>0</v>
      </c>
      <c r="BP41" s="729">
        <f t="shared" si="22"/>
        <v>0</v>
      </c>
      <c r="BQ41" s="729">
        <f t="shared" si="23"/>
        <v>0</v>
      </c>
      <c r="BR41" s="729">
        <f t="shared" si="24"/>
        <v>0</v>
      </c>
      <c r="BS41" s="729">
        <f t="shared" si="25"/>
        <v>0</v>
      </c>
      <c r="BT41" s="729">
        <f t="shared" si="26"/>
        <v>0</v>
      </c>
      <c r="BU41" s="729">
        <f t="shared" si="27"/>
        <v>0</v>
      </c>
      <c r="BV41" s="729">
        <f t="shared" si="28"/>
        <v>0</v>
      </c>
      <c r="BW41" s="729">
        <f t="shared" si="29"/>
        <v>0</v>
      </c>
      <c r="BX41" s="729">
        <f t="shared" si="30"/>
        <v>0</v>
      </c>
      <c r="BY41" s="729">
        <f t="shared" si="31"/>
        <v>0</v>
      </c>
      <c r="BZ41" s="729">
        <f t="shared" si="32"/>
        <v>0</v>
      </c>
      <c r="CA41" s="729">
        <f t="shared" si="33"/>
        <v>0</v>
      </c>
      <c r="CB41" s="729">
        <f t="shared" si="34"/>
        <v>0</v>
      </c>
      <c r="CC41" s="729">
        <f t="shared" si="35"/>
        <v>0</v>
      </c>
      <c r="CD41" s="729">
        <f t="shared" si="36"/>
        <v>0</v>
      </c>
      <c r="CE41" s="729">
        <f t="shared" si="37"/>
        <v>0</v>
      </c>
      <c r="CF41" s="731">
        <f t="shared" si="38"/>
        <v>0</v>
      </c>
      <c r="CG41" s="692" t="str">
        <f t="shared" si="39"/>
        <v/>
      </c>
      <c r="CH41" s="659" t="str">
        <f t="shared" si="40"/>
        <v/>
      </c>
      <c r="CI41" s="659" t="str">
        <f t="shared" si="41"/>
        <v/>
      </c>
      <c r="CJ41" s="659" t="str">
        <f t="shared" si="42"/>
        <v/>
      </c>
      <c r="CK41" s="659" t="str">
        <f t="shared" si="43"/>
        <v/>
      </c>
      <c r="CL41" s="659" t="str">
        <f t="shared" si="44"/>
        <v/>
      </c>
      <c r="CM41" s="82" t="str">
        <f t="shared" si="45"/>
        <v/>
      </c>
      <c r="CN41" s="625" t="str">
        <f t="shared" si="57"/>
        <v/>
      </c>
      <c r="CO41" s="625" t="str">
        <f t="shared" si="52"/>
        <v>0</v>
      </c>
      <c r="CP41" s="620">
        <f t="shared" si="47"/>
        <v>0</v>
      </c>
      <c r="CQ41" s="1051" t="s">
        <v>301</v>
      </c>
      <c r="CR41" s="1080">
        <v>235038</v>
      </c>
      <c r="CS41" s="625">
        <f t="shared" si="48"/>
        <v>0</v>
      </c>
      <c r="CT41" s="625">
        <f t="shared" si="49"/>
        <v>0</v>
      </c>
      <c r="CU41" s="626" t="str">
        <f t="shared" si="50"/>
        <v>00</v>
      </c>
    </row>
    <row r="42" spans="1:99" ht="15" customHeight="1">
      <c r="A42" s="1094">
        <v>39</v>
      </c>
      <c r="B42" s="1376"/>
      <c r="C42" s="1377"/>
      <c r="D42" s="1068"/>
      <c r="E42" s="1060"/>
      <c r="F42" s="1382"/>
      <c r="G42" s="1200"/>
      <c r="H42" s="1061"/>
      <c r="I42" s="1062"/>
      <c r="J42" s="1063"/>
      <c r="K42" s="1153"/>
      <c r="L42" s="1153"/>
      <c r="M42" s="1183"/>
      <c r="N42" s="1187" t="str">
        <f t="shared" si="5"/>
        <v/>
      </c>
      <c r="O42" s="1190" t="str">
        <f t="shared" si="51"/>
        <v/>
      </c>
      <c r="P42" s="525" t="str">
        <f>IF(O42="","",VLOOKUP(O42,所属コード!$A$2:$E$189,2,FALSE))</f>
        <v/>
      </c>
      <c r="Q42" s="1164" t="str">
        <f>IF(O42="","",VLOOKUP(O42,所属コード!$A$2:$G$189,7,FALSE))</f>
        <v/>
      </c>
      <c r="R42" s="1166"/>
      <c r="S42" s="77"/>
      <c r="T42" s="77"/>
      <c r="U42" s="77"/>
      <c r="V42" s="15"/>
      <c r="X42" s="621"/>
      <c r="Y42" s="1090" t="str">
        <f t="shared" si="6"/>
        <v/>
      </c>
      <c r="Z42" s="618" t="str">
        <f t="shared" si="7"/>
        <v/>
      </c>
      <c r="AA42" s="617"/>
      <c r="AB42" s="617"/>
      <c r="AC42" s="617"/>
      <c r="AD42" s="617"/>
      <c r="AE42" s="617"/>
      <c r="AF42" s="617"/>
      <c r="AG42" s="620"/>
      <c r="AH42" s="727"/>
      <c r="AI42" s="728"/>
      <c r="AJ42" s="728"/>
      <c r="AK42" s="728"/>
      <c r="AL42" s="728"/>
      <c r="AM42" s="728"/>
      <c r="AN42" s="728"/>
      <c r="AO42" s="728"/>
      <c r="AP42" s="728"/>
      <c r="AQ42" s="728"/>
      <c r="AR42" s="728"/>
      <c r="AS42" s="728"/>
      <c r="AT42" s="728"/>
      <c r="AU42" s="728"/>
      <c r="AV42" s="728"/>
      <c r="AW42" s="742"/>
      <c r="AX42" s="747">
        <f t="shared" si="8"/>
        <v>0</v>
      </c>
      <c r="AY42" s="738">
        <f t="shared" si="53"/>
        <v>0</v>
      </c>
      <c r="AZ42" s="729">
        <f t="shared" si="54"/>
        <v>0</v>
      </c>
      <c r="BA42" s="730">
        <f t="shared" si="55"/>
        <v>0</v>
      </c>
      <c r="BB42" s="729">
        <f t="shared" si="56"/>
        <v>0</v>
      </c>
      <c r="BC42" s="729">
        <f t="shared" si="9"/>
        <v>0</v>
      </c>
      <c r="BD42" s="729">
        <f t="shared" si="10"/>
        <v>0</v>
      </c>
      <c r="BE42" s="729">
        <f t="shared" si="11"/>
        <v>0</v>
      </c>
      <c r="BF42" s="729">
        <f t="shared" si="12"/>
        <v>0</v>
      </c>
      <c r="BG42" s="729">
        <f t="shared" si="13"/>
        <v>0</v>
      </c>
      <c r="BH42" s="729">
        <f t="shared" si="14"/>
        <v>0</v>
      </c>
      <c r="BI42" s="729">
        <f t="shared" si="15"/>
        <v>0</v>
      </c>
      <c r="BJ42" s="729">
        <f t="shared" si="16"/>
        <v>0</v>
      </c>
      <c r="BK42" s="729">
        <f t="shared" si="17"/>
        <v>0</v>
      </c>
      <c r="BL42" s="729">
        <f t="shared" si="18"/>
        <v>0</v>
      </c>
      <c r="BM42" s="729">
        <f t="shared" si="19"/>
        <v>0</v>
      </c>
      <c r="BN42" s="729">
        <f t="shared" si="20"/>
        <v>0</v>
      </c>
      <c r="BO42" s="729">
        <f t="shared" si="21"/>
        <v>0</v>
      </c>
      <c r="BP42" s="729">
        <f t="shared" si="22"/>
        <v>0</v>
      </c>
      <c r="BQ42" s="729">
        <f t="shared" si="23"/>
        <v>0</v>
      </c>
      <c r="BR42" s="729">
        <f t="shared" si="24"/>
        <v>0</v>
      </c>
      <c r="BS42" s="729">
        <f t="shared" si="25"/>
        <v>0</v>
      </c>
      <c r="BT42" s="729">
        <f t="shared" si="26"/>
        <v>0</v>
      </c>
      <c r="BU42" s="729">
        <f t="shared" si="27"/>
        <v>0</v>
      </c>
      <c r="BV42" s="729">
        <f t="shared" si="28"/>
        <v>0</v>
      </c>
      <c r="BW42" s="729">
        <f t="shared" si="29"/>
        <v>0</v>
      </c>
      <c r="BX42" s="729">
        <f t="shared" si="30"/>
        <v>0</v>
      </c>
      <c r="BY42" s="729">
        <f t="shared" si="31"/>
        <v>0</v>
      </c>
      <c r="BZ42" s="729">
        <f t="shared" si="32"/>
        <v>0</v>
      </c>
      <c r="CA42" s="729">
        <f t="shared" si="33"/>
        <v>0</v>
      </c>
      <c r="CB42" s="729">
        <f t="shared" si="34"/>
        <v>0</v>
      </c>
      <c r="CC42" s="729">
        <f t="shared" si="35"/>
        <v>0</v>
      </c>
      <c r="CD42" s="729">
        <f t="shared" si="36"/>
        <v>0</v>
      </c>
      <c r="CE42" s="729">
        <f t="shared" si="37"/>
        <v>0</v>
      </c>
      <c r="CF42" s="731">
        <f t="shared" si="38"/>
        <v>0</v>
      </c>
      <c r="CG42" s="692" t="str">
        <f t="shared" si="39"/>
        <v/>
      </c>
      <c r="CH42" s="659" t="str">
        <f t="shared" si="40"/>
        <v/>
      </c>
      <c r="CI42" s="659" t="str">
        <f t="shared" si="41"/>
        <v/>
      </c>
      <c r="CJ42" s="659" t="str">
        <f t="shared" si="42"/>
        <v/>
      </c>
      <c r="CK42" s="659" t="str">
        <f t="shared" si="43"/>
        <v/>
      </c>
      <c r="CL42" s="659" t="str">
        <f t="shared" si="44"/>
        <v/>
      </c>
      <c r="CM42" s="82" t="str">
        <f t="shared" si="45"/>
        <v/>
      </c>
      <c r="CN42" s="625" t="str">
        <f t="shared" si="57"/>
        <v/>
      </c>
      <c r="CO42" s="625" t="str">
        <f t="shared" si="52"/>
        <v>0</v>
      </c>
      <c r="CP42" s="620">
        <f t="shared" si="47"/>
        <v>0</v>
      </c>
      <c r="CQ42" s="1051" t="s">
        <v>167</v>
      </c>
      <c r="CR42" s="1080">
        <v>235039</v>
      </c>
      <c r="CS42" s="625">
        <f t="shared" si="48"/>
        <v>0</v>
      </c>
      <c r="CT42" s="625">
        <f t="shared" si="49"/>
        <v>0</v>
      </c>
      <c r="CU42" s="626" t="str">
        <f t="shared" si="50"/>
        <v>00</v>
      </c>
    </row>
    <row r="43" spans="1:99" ht="15" customHeight="1">
      <c r="A43" s="1094">
        <v>40</v>
      </c>
      <c r="B43" s="1376"/>
      <c r="C43" s="1377"/>
      <c r="D43" s="1068"/>
      <c r="E43" s="1060"/>
      <c r="F43" s="1382"/>
      <c r="G43" s="1200"/>
      <c r="H43" s="1061"/>
      <c r="I43" s="1062"/>
      <c r="J43" s="1063"/>
      <c r="K43" s="1153"/>
      <c r="L43" s="1153"/>
      <c r="M43" s="1183"/>
      <c r="N43" s="1187" t="str">
        <f t="shared" si="5"/>
        <v/>
      </c>
      <c r="O43" s="1190" t="str">
        <f t="shared" si="51"/>
        <v/>
      </c>
      <c r="P43" s="525" t="str">
        <f>IF(O43="","",VLOOKUP(O43,所属コード!$A$2:$E$189,2,FALSE))</f>
        <v/>
      </c>
      <c r="Q43" s="1164" t="str">
        <f>IF(O43="","",VLOOKUP(O43,所属コード!$A$2:$G$189,7,FALSE))</f>
        <v/>
      </c>
      <c r="R43" s="1166"/>
      <c r="S43" s="77"/>
      <c r="T43" s="77"/>
      <c r="U43" s="77"/>
      <c r="V43" s="15"/>
      <c r="X43" s="621"/>
      <c r="Y43" s="1090" t="str">
        <f t="shared" si="6"/>
        <v/>
      </c>
      <c r="Z43" s="618" t="str">
        <f t="shared" si="7"/>
        <v/>
      </c>
      <c r="AA43" s="617"/>
      <c r="AB43" s="617"/>
      <c r="AC43" s="617"/>
      <c r="AD43" s="617"/>
      <c r="AE43" s="617"/>
      <c r="AF43" s="617"/>
      <c r="AG43" s="620"/>
      <c r="AH43" s="727"/>
      <c r="AI43" s="728"/>
      <c r="AJ43" s="728"/>
      <c r="AK43" s="728"/>
      <c r="AL43" s="728"/>
      <c r="AM43" s="728"/>
      <c r="AN43" s="728"/>
      <c r="AO43" s="728"/>
      <c r="AP43" s="728"/>
      <c r="AQ43" s="728"/>
      <c r="AR43" s="728"/>
      <c r="AS43" s="728"/>
      <c r="AT43" s="728"/>
      <c r="AU43" s="728"/>
      <c r="AV43" s="728"/>
      <c r="AW43" s="742"/>
      <c r="AX43" s="747">
        <f t="shared" si="8"/>
        <v>0</v>
      </c>
      <c r="AY43" s="738">
        <f t="shared" si="53"/>
        <v>0</v>
      </c>
      <c r="AZ43" s="729">
        <f t="shared" si="54"/>
        <v>0</v>
      </c>
      <c r="BA43" s="730">
        <f t="shared" si="55"/>
        <v>0</v>
      </c>
      <c r="BB43" s="729">
        <f t="shared" si="56"/>
        <v>0</v>
      </c>
      <c r="BC43" s="729">
        <f t="shared" si="9"/>
        <v>0</v>
      </c>
      <c r="BD43" s="729">
        <f t="shared" si="10"/>
        <v>0</v>
      </c>
      <c r="BE43" s="729">
        <f t="shared" si="11"/>
        <v>0</v>
      </c>
      <c r="BF43" s="729">
        <f t="shared" si="12"/>
        <v>0</v>
      </c>
      <c r="BG43" s="729">
        <f t="shared" si="13"/>
        <v>0</v>
      </c>
      <c r="BH43" s="729">
        <f t="shared" si="14"/>
        <v>0</v>
      </c>
      <c r="BI43" s="729">
        <f t="shared" si="15"/>
        <v>0</v>
      </c>
      <c r="BJ43" s="729">
        <f t="shared" si="16"/>
        <v>0</v>
      </c>
      <c r="BK43" s="729">
        <f t="shared" si="17"/>
        <v>0</v>
      </c>
      <c r="BL43" s="729">
        <f t="shared" si="18"/>
        <v>0</v>
      </c>
      <c r="BM43" s="729">
        <f t="shared" si="19"/>
        <v>0</v>
      </c>
      <c r="BN43" s="729">
        <f t="shared" si="20"/>
        <v>0</v>
      </c>
      <c r="BO43" s="729">
        <f t="shared" si="21"/>
        <v>0</v>
      </c>
      <c r="BP43" s="729">
        <f t="shared" si="22"/>
        <v>0</v>
      </c>
      <c r="BQ43" s="729">
        <f t="shared" si="23"/>
        <v>0</v>
      </c>
      <c r="BR43" s="729">
        <f t="shared" si="24"/>
        <v>0</v>
      </c>
      <c r="BS43" s="729">
        <f t="shared" si="25"/>
        <v>0</v>
      </c>
      <c r="BT43" s="729">
        <f t="shared" si="26"/>
        <v>0</v>
      </c>
      <c r="BU43" s="729">
        <f t="shared" si="27"/>
        <v>0</v>
      </c>
      <c r="BV43" s="729">
        <f t="shared" si="28"/>
        <v>0</v>
      </c>
      <c r="BW43" s="729">
        <f t="shared" si="29"/>
        <v>0</v>
      </c>
      <c r="BX43" s="729">
        <f t="shared" si="30"/>
        <v>0</v>
      </c>
      <c r="BY43" s="729">
        <f t="shared" si="31"/>
        <v>0</v>
      </c>
      <c r="BZ43" s="729">
        <f t="shared" si="32"/>
        <v>0</v>
      </c>
      <c r="CA43" s="729">
        <f t="shared" si="33"/>
        <v>0</v>
      </c>
      <c r="CB43" s="729">
        <f t="shared" si="34"/>
        <v>0</v>
      </c>
      <c r="CC43" s="729">
        <f t="shared" si="35"/>
        <v>0</v>
      </c>
      <c r="CD43" s="729">
        <f t="shared" si="36"/>
        <v>0</v>
      </c>
      <c r="CE43" s="729">
        <f t="shared" si="37"/>
        <v>0</v>
      </c>
      <c r="CF43" s="731">
        <f t="shared" si="38"/>
        <v>0</v>
      </c>
      <c r="CG43" s="692" t="str">
        <f t="shared" si="39"/>
        <v/>
      </c>
      <c r="CH43" s="659" t="str">
        <f t="shared" si="40"/>
        <v/>
      </c>
      <c r="CI43" s="659" t="str">
        <f t="shared" si="41"/>
        <v/>
      </c>
      <c r="CJ43" s="659" t="str">
        <f t="shared" si="42"/>
        <v/>
      </c>
      <c r="CK43" s="659" t="str">
        <f t="shared" si="43"/>
        <v/>
      </c>
      <c r="CL43" s="659" t="str">
        <f t="shared" si="44"/>
        <v/>
      </c>
      <c r="CM43" s="82" t="str">
        <f t="shared" si="45"/>
        <v/>
      </c>
      <c r="CN43" s="625" t="str">
        <f t="shared" si="57"/>
        <v/>
      </c>
      <c r="CO43" s="625" t="str">
        <f t="shared" si="52"/>
        <v>0</v>
      </c>
      <c r="CP43" s="620">
        <f t="shared" si="47"/>
        <v>0</v>
      </c>
      <c r="CQ43" s="1051" t="s">
        <v>114</v>
      </c>
      <c r="CR43" s="1080">
        <v>235040</v>
      </c>
      <c r="CS43" s="625">
        <f t="shared" si="48"/>
        <v>0</v>
      </c>
      <c r="CT43" s="625">
        <f t="shared" si="49"/>
        <v>0</v>
      </c>
      <c r="CU43" s="626" t="str">
        <f t="shared" si="50"/>
        <v>00</v>
      </c>
    </row>
    <row r="44" spans="1:99" ht="15" customHeight="1">
      <c r="A44" s="1094">
        <v>41</v>
      </c>
      <c r="B44" s="1376"/>
      <c r="C44" s="1377"/>
      <c r="D44" s="1068"/>
      <c r="E44" s="1060"/>
      <c r="F44" s="1382"/>
      <c r="G44" s="1200"/>
      <c r="H44" s="1061"/>
      <c r="I44" s="1062"/>
      <c r="J44" s="1063"/>
      <c r="K44" s="1153"/>
      <c r="L44" s="1153"/>
      <c r="M44" s="1183"/>
      <c r="N44" s="1187" t="str">
        <f t="shared" si="5"/>
        <v/>
      </c>
      <c r="O44" s="1190" t="str">
        <f t="shared" si="51"/>
        <v/>
      </c>
      <c r="P44" s="525" t="str">
        <f>IF(O44="","",VLOOKUP(O44,所属コード!$A$2:$E$189,2,FALSE))</f>
        <v/>
      </c>
      <c r="Q44" s="1164" t="str">
        <f>IF(O44="","",VLOOKUP(O44,所属コード!$A$2:$G$189,7,FALSE))</f>
        <v/>
      </c>
      <c r="R44" s="1166"/>
      <c r="S44" s="77"/>
      <c r="T44" s="77"/>
      <c r="U44" s="77"/>
      <c r="V44" s="15"/>
      <c r="X44" s="621"/>
      <c r="Y44" s="1090" t="str">
        <f t="shared" si="6"/>
        <v/>
      </c>
      <c r="Z44" s="618" t="str">
        <f t="shared" si="7"/>
        <v/>
      </c>
      <c r="AA44" s="617"/>
      <c r="AB44" s="617"/>
      <c r="AC44" s="617"/>
      <c r="AD44" s="617"/>
      <c r="AE44" s="617"/>
      <c r="AF44" s="617"/>
      <c r="AG44" s="620"/>
      <c r="AH44" s="727"/>
      <c r="AI44" s="728"/>
      <c r="AJ44" s="728"/>
      <c r="AK44" s="728"/>
      <c r="AL44" s="728"/>
      <c r="AM44" s="728"/>
      <c r="AN44" s="728"/>
      <c r="AO44" s="728"/>
      <c r="AP44" s="728"/>
      <c r="AQ44" s="728"/>
      <c r="AR44" s="728"/>
      <c r="AS44" s="728"/>
      <c r="AT44" s="728"/>
      <c r="AU44" s="728"/>
      <c r="AV44" s="728"/>
      <c r="AW44" s="742"/>
      <c r="AX44" s="747">
        <f t="shared" si="8"/>
        <v>0</v>
      </c>
      <c r="AY44" s="738">
        <f t="shared" si="53"/>
        <v>0</v>
      </c>
      <c r="AZ44" s="729">
        <f t="shared" si="54"/>
        <v>0</v>
      </c>
      <c r="BA44" s="730">
        <f t="shared" si="55"/>
        <v>0</v>
      </c>
      <c r="BB44" s="729">
        <f t="shared" si="56"/>
        <v>0</v>
      </c>
      <c r="BC44" s="729">
        <f t="shared" si="9"/>
        <v>0</v>
      </c>
      <c r="BD44" s="729">
        <f t="shared" si="10"/>
        <v>0</v>
      </c>
      <c r="BE44" s="729">
        <f t="shared" si="11"/>
        <v>0</v>
      </c>
      <c r="BF44" s="729">
        <f t="shared" si="12"/>
        <v>0</v>
      </c>
      <c r="BG44" s="729">
        <f t="shared" si="13"/>
        <v>0</v>
      </c>
      <c r="BH44" s="729">
        <f t="shared" si="14"/>
        <v>0</v>
      </c>
      <c r="BI44" s="729">
        <f t="shared" si="15"/>
        <v>0</v>
      </c>
      <c r="BJ44" s="729">
        <f t="shared" si="16"/>
        <v>0</v>
      </c>
      <c r="BK44" s="729">
        <f t="shared" si="17"/>
        <v>0</v>
      </c>
      <c r="BL44" s="729">
        <f t="shared" si="18"/>
        <v>0</v>
      </c>
      <c r="BM44" s="729">
        <f t="shared" si="19"/>
        <v>0</v>
      </c>
      <c r="BN44" s="729">
        <f t="shared" si="20"/>
        <v>0</v>
      </c>
      <c r="BO44" s="729">
        <f t="shared" si="21"/>
        <v>0</v>
      </c>
      <c r="BP44" s="729">
        <f t="shared" si="22"/>
        <v>0</v>
      </c>
      <c r="BQ44" s="729">
        <f t="shared" si="23"/>
        <v>0</v>
      </c>
      <c r="BR44" s="729">
        <f t="shared" si="24"/>
        <v>0</v>
      </c>
      <c r="BS44" s="729">
        <f t="shared" si="25"/>
        <v>0</v>
      </c>
      <c r="BT44" s="729">
        <f t="shared" si="26"/>
        <v>0</v>
      </c>
      <c r="BU44" s="729">
        <f t="shared" si="27"/>
        <v>0</v>
      </c>
      <c r="BV44" s="729">
        <f t="shared" si="28"/>
        <v>0</v>
      </c>
      <c r="BW44" s="729">
        <f t="shared" si="29"/>
        <v>0</v>
      </c>
      <c r="BX44" s="729">
        <f t="shared" si="30"/>
        <v>0</v>
      </c>
      <c r="BY44" s="729">
        <f t="shared" si="31"/>
        <v>0</v>
      </c>
      <c r="BZ44" s="729">
        <f t="shared" si="32"/>
        <v>0</v>
      </c>
      <c r="CA44" s="729">
        <f t="shared" si="33"/>
        <v>0</v>
      </c>
      <c r="CB44" s="729">
        <f t="shared" si="34"/>
        <v>0</v>
      </c>
      <c r="CC44" s="729">
        <f t="shared" si="35"/>
        <v>0</v>
      </c>
      <c r="CD44" s="729">
        <f t="shared" si="36"/>
        <v>0</v>
      </c>
      <c r="CE44" s="729">
        <f t="shared" si="37"/>
        <v>0</v>
      </c>
      <c r="CF44" s="731">
        <f t="shared" si="38"/>
        <v>0</v>
      </c>
      <c r="CG44" s="692" t="str">
        <f t="shared" si="39"/>
        <v/>
      </c>
      <c r="CH44" s="659" t="str">
        <f t="shared" si="40"/>
        <v/>
      </c>
      <c r="CI44" s="659" t="str">
        <f t="shared" si="41"/>
        <v/>
      </c>
      <c r="CJ44" s="659" t="str">
        <f t="shared" si="42"/>
        <v/>
      </c>
      <c r="CK44" s="659" t="str">
        <f t="shared" si="43"/>
        <v/>
      </c>
      <c r="CL44" s="659" t="str">
        <f t="shared" si="44"/>
        <v/>
      </c>
      <c r="CM44" s="82" t="str">
        <f t="shared" si="45"/>
        <v/>
      </c>
      <c r="CN44" s="625" t="str">
        <f t="shared" si="57"/>
        <v/>
      </c>
      <c r="CO44" s="625" t="str">
        <f t="shared" si="52"/>
        <v>0</v>
      </c>
      <c r="CP44" s="620">
        <f t="shared" si="47"/>
        <v>0</v>
      </c>
      <c r="CQ44" s="1051" t="s">
        <v>280</v>
      </c>
      <c r="CR44" s="1080">
        <v>235041</v>
      </c>
      <c r="CS44" s="625">
        <f t="shared" si="48"/>
        <v>0</v>
      </c>
      <c r="CT44" s="625">
        <f t="shared" si="49"/>
        <v>0</v>
      </c>
      <c r="CU44" s="626" t="str">
        <f t="shared" si="50"/>
        <v>00</v>
      </c>
    </row>
    <row r="45" spans="1:99" ht="15" customHeight="1">
      <c r="A45" s="1094">
        <v>42</v>
      </c>
      <c r="B45" s="1376"/>
      <c r="C45" s="1377"/>
      <c r="D45" s="1068"/>
      <c r="E45" s="1060"/>
      <c r="F45" s="1382"/>
      <c r="G45" s="1200"/>
      <c r="H45" s="1061"/>
      <c r="I45" s="1062"/>
      <c r="J45" s="1063"/>
      <c r="K45" s="1153"/>
      <c r="L45" s="1153"/>
      <c r="M45" s="1183"/>
      <c r="N45" s="1187" t="str">
        <f t="shared" si="5"/>
        <v/>
      </c>
      <c r="O45" s="1190" t="str">
        <f t="shared" si="51"/>
        <v/>
      </c>
      <c r="P45" s="525" t="str">
        <f>IF(O45="","",VLOOKUP(O45,所属コード!$A$2:$E$189,2,FALSE))</f>
        <v/>
      </c>
      <c r="Q45" s="1164" t="str">
        <f>IF(O45="","",VLOOKUP(O45,所属コード!$A$2:$G$189,7,FALSE))</f>
        <v/>
      </c>
      <c r="R45" s="1166"/>
      <c r="S45" s="77"/>
      <c r="T45" s="77"/>
      <c r="U45" s="77"/>
      <c r="V45" s="15"/>
      <c r="X45" s="621"/>
      <c r="Y45" s="1090" t="str">
        <f t="shared" si="6"/>
        <v/>
      </c>
      <c r="Z45" s="618" t="str">
        <f t="shared" si="7"/>
        <v/>
      </c>
      <c r="AA45" s="617"/>
      <c r="AB45" s="617"/>
      <c r="AC45" s="617"/>
      <c r="AD45" s="617"/>
      <c r="AE45" s="617"/>
      <c r="AF45" s="617"/>
      <c r="AG45" s="620"/>
      <c r="AH45" s="727"/>
      <c r="AI45" s="728"/>
      <c r="AJ45" s="728"/>
      <c r="AK45" s="728"/>
      <c r="AL45" s="728"/>
      <c r="AM45" s="728"/>
      <c r="AN45" s="728"/>
      <c r="AO45" s="728"/>
      <c r="AP45" s="728"/>
      <c r="AQ45" s="728"/>
      <c r="AR45" s="728"/>
      <c r="AS45" s="728"/>
      <c r="AT45" s="728"/>
      <c r="AU45" s="728"/>
      <c r="AV45" s="728"/>
      <c r="AW45" s="742"/>
      <c r="AX45" s="747">
        <f t="shared" si="8"/>
        <v>0</v>
      </c>
      <c r="AY45" s="738">
        <f t="shared" si="53"/>
        <v>0</v>
      </c>
      <c r="AZ45" s="729">
        <f t="shared" si="54"/>
        <v>0</v>
      </c>
      <c r="BA45" s="730">
        <f t="shared" si="55"/>
        <v>0</v>
      </c>
      <c r="BB45" s="729">
        <f t="shared" si="56"/>
        <v>0</v>
      </c>
      <c r="BC45" s="729">
        <f t="shared" si="9"/>
        <v>0</v>
      </c>
      <c r="BD45" s="729">
        <f t="shared" si="10"/>
        <v>0</v>
      </c>
      <c r="BE45" s="729">
        <f t="shared" si="11"/>
        <v>0</v>
      </c>
      <c r="BF45" s="729">
        <f t="shared" si="12"/>
        <v>0</v>
      </c>
      <c r="BG45" s="729">
        <f t="shared" si="13"/>
        <v>0</v>
      </c>
      <c r="BH45" s="729">
        <f t="shared" si="14"/>
        <v>0</v>
      </c>
      <c r="BI45" s="729">
        <f t="shared" si="15"/>
        <v>0</v>
      </c>
      <c r="BJ45" s="729">
        <f t="shared" si="16"/>
        <v>0</v>
      </c>
      <c r="BK45" s="729">
        <f t="shared" si="17"/>
        <v>0</v>
      </c>
      <c r="BL45" s="729">
        <f t="shared" si="18"/>
        <v>0</v>
      </c>
      <c r="BM45" s="729">
        <f t="shared" si="19"/>
        <v>0</v>
      </c>
      <c r="BN45" s="729">
        <f t="shared" si="20"/>
        <v>0</v>
      </c>
      <c r="BO45" s="729">
        <f t="shared" si="21"/>
        <v>0</v>
      </c>
      <c r="BP45" s="729">
        <f t="shared" si="22"/>
        <v>0</v>
      </c>
      <c r="BQ45" s="729">
        <f t="shared" si="23"/>
        <v>0</v>
      </c>
      <c r="BR45" s="729">
        <f t="shared" si="24"/>
        <v>0</v>
      </c>
      <c r="BS45" s="729">
        <f t="shared" si="25"/>
        <v>0</v>
      </c>
      <c r="BT45" s="729">
        <f t="shared" si="26"/>
        <v>0</v>
      </c>
      <c r="BU45" s="729">
        <f t="shared" si="27"/>
        <v>0</v>
      </c>
      <c r="BV45" s="729">
        <f t="shared" si="28"/>
        <v>0</v>
      </c>
      <c r="BW45" s="729">
        <f t="shared" si="29"/>
        <v>0</v>
      </c>
      <c r="BX45" s="729">
        <f t="shared" si="30"/>
        <v>0</v>
      </c>
      <c r="BY45" s="729">
        <f t="shared" si="31"/>
        <v>0</v>
      </c>
      <c r="BZ45" s="729">
        <f t="shared" si="32"/>
        <v>0</v>
      </c>
      <c r="CA45" s="729">
        <f t="shared" si="33"/>
        <v>0</v>
      </c>
      <c r="CB45" s="729">
        <f t="shared" si="34"/>
        <v>0</v>
      </c>
      <c r="CC45" s="729">
        <f t="shared" si="35"/>
        <v>0</v>
      </c>
      <c r="CD45" s="729">
        <f t="shared" si="36"/>
        <v>0</v>
      </c>
      <c r="CE45" s="729">
        <f t="shared" si="37"/>
        <v>0</v>
      </c>
      <c r="CF45" s="731">
        <f t="shared" si="38"/>
        <v>0</v>
      </c>
      <c r="CG45" s="692" t="str">
        <f t="shared" si="39"/>
        <v/>
      </c>
      <c r="CH45" s="659" t="str">
        <f t="shared" si="40"/>
        <v/>
      </c>
      <c r="CI45" s="659" t="str">
        <f t="shared" si="41"/>
        <v/>
      </c>
      <c r="CJ45" s="659" t="str">
        <f t="shared" si="42"/>
        <v/>
      </c>
      <c r="CK45" s="659" t="str">
        <f t="shared" si="43"/>
        <v/>
      </c>
      <c r="CL45" s="659" t="str">
        <f t="shared" si="44"/>
        <v/>
      </c>
      <c r="CM45" s="82" t="str">
        <f t="shared" si="45"/>
        <v/>
      </c>
      <c r="CN45" s="625" t="str">
        <f t="shared" si="57"/>
        <v/>
      </c>
      <c r="CO45" s="625" t="str">
        <f t="shared" si="52"/>
        <v>0</v>
      </c>
      <c r="CP45" s="620">
        <f t="shared" si="47"/>
        <v>0</v>
      </c>
      <c r="CQ45" s="1051" t="s">
        <v>61</v>
      </c>
      <c r="CR45" s="1080">
        <v>235042</v>
      </c>
      <c r="CS45" s="625">
        <f t="shared" si="48"/>
        <v>0</v>
      </c>
      <c r="CT45" s="625">
        <f t="shared" si="49"/>
        <v>0</v>
      </c>
      <c r="CU45" s="626" t="str">
        <f t="shared" si="50"/>
        <v>00</v>
      </c>
    </row>
    <row r="46" spans="1:99" ht="15" customHeight="1">
      <c r="A46" s="1094">
        <v>43</v>
      </c>
      <c r="B46" s="1376"/>
      <c r="C46" s="1377"/>
      <c r="D46" s="1068"/>
      <c r="E46" s="1060"/>
      <c r="F46" s="1382"/>
      <c r="G46" s="1200"/>
      <c r="H46" s="1061"/>
      <c r="I46" s="1062"/>
      <c r="J46" s="1063"/>
      <c r="K46" s="1153"/>
      <c r="L46" s="1153"/>
      <c r="M46" s="1183"/>
      <c r="N46" s="1187" t="str">
        <f t="shared" si="5"/>
        <v/>
      </c>
      <c r="O46" s="1190" t="str">
        <f t="shared" si="51"/>
        <v/>
      </c>
      <c r="P46" s="525" t="str">
        <f>IF(O46="","",VLOOKUP(O46,所属コード!$A$2:$E$189,2,FALSE))</f>
        <v/>
      </c>
      <c r="Q46" s="1164" t="str">
        <f>IF(O46="","",VLOOKUP(O46,所属コード!$A$2:$G$189,7,FALSE))</f>
        <v/>
      </c>
      <c r="R46" s="1166"/>
      <c r="S46" s="77"/>
      <c r="T46" s="77"/>
      <c r="U46" s="77"/>
      <c r="V46" s="15"/>
      <c r="X46" s="621"/>
      <c r="Y46" s="1090" t="str">
        <f t="shared" si="6"/>
        <v/>
      </c>
      <c r="Z46" s="618" t="str">
        <f t="shared" si="7"/>
        <v/>
      </c>
      <c r="AA46" s="617"/>
      <c r="AB46" s="617"/>
      <c r="AC46" s="617"/>
      <c r="AD46" s="617"/>
      <c r="AE46" s="617"/>
      <c r="AF46" s="617"/>
      <c r="AG46" s="620"/>
      <c r="AH46" s="727"/>
      <c r="AI46" s="728"/>
      <c r="AJ46" s="728"/>
      <c r="AK46" s="728"/>
      <c r="AL46" s="728"/>
      <c r="AM46" s="728"/>
      <c r="AN46" s="728"/>
      <c r="AO46" s="728"/>
      <c r="AP46" s="728"/>
      <c r="AQ46" s="728"/>
      <c r="AR46" s="728"/>
      <c r="AS46" s="728"/>
      <c r="AT46" s="728"/>
      <c r="AU46" s="728"/>
      <c r="AV46" s="728"/>
      <c r="AW46" s="742"/>
      <c r="AX46" s="747">
        <f t="shared" si="8"/>
        <v>0</v>
      </c>
      <c r="AY46" s="738">
        <f t="shared" si="53"/>
        <v>0</v>
      </c>
      <c r="AZ46" s="729">
        <f t="shared" si="54"/>
        <v>0</v>
      </c>
      <c r="BA46" s="730">
        <f t="shared" si="55"/>
        <v>0</v>
      </c>
      <c r="BB46" s="729">
        <f t="shared" si="56"/>
        <v>0</v>
      </c>
      <c r="BC46" s="729">
        <f t="shared" si="9"/>
        <v>0</v>
      </c>
      <c r="BD46" s="729">
        <f t="shared" si="10"/>
        <v>0</v>
      </c>
      <c r="BE46" s="729">
        <f t="shared" si="11"/>
        <v>0</v>
      </c>
      <c r="BF46" s="729">
        <f t="shared" si="12"/>
        <v>0</v>
      </c>
      <c r="BG46" s="729">
        <f t="shared" si="13"/>
        <v>0</v>
      </c>
      <c r="BH46" s="729">
        <f t="shared" si="14"/>
        <v>0</v>
      </c>
      <c r="BI46" s="729">
        <f t="shared" si="15"/>
        <v>0</v>
      </c>
      <c r="BJ46" s="729">
        <f t="shared" si="16"/>
        <v>0</v>
      </c>
      <c r="BK46" s="729">
        <f t="shared" si="17"/>
        <v>0</v>
      </c>
      <c r="BL46" s="729">
        <f t="shared" si="18"/>
        <v>0</v>
      </c>
      <c r="BM46" s="729">
        <f t="shared" si="19"/>
        <v>0</v>
      </c>
      <c r="BN46" s="729">
        <f t="shared" si="20"/>
        <v>0</v>
      </c>
      <c r="BO46" s="729">
        <f t="shared" si="21"/>
        <v>0</v>
      </c>
      <c r="BP46" s="729">
        <f t="shared" si="22"/>
        <v>0</v>
      </c>
      <c r="BQ46" s="729">
        <f t="shared" si="23"/>
        <v>0</v>
      </c>
      <c r="BR46" s="729">
        <f t="shared" si="24"/>
        <v>0</v>
      </c>
      <c r="BS46" s="729">
        <f t="shared" si="25"/>
        <v>0</v>
      </c>
      <c r="BT46" s="729">
        <f t="shared" si="26"/>
        <v>0</v>
      </c>
      <c r="BU46" s="729">
        <f t="shared" si="27"/>
        <v>0</v>
      </c>
      <c r="BV46" s="729">
        <f t="shared" si="28"/>
        <v>0</v>
      </c>
      <c r="BW46" s="729">
        <f t="shared" si="29"/>
        <v>0</v>
      </c>
      <c r="BX46" s="729">
        <f t="shared" si="30"/>
        <v>0</v>
      </c>
      <c r="BY46" s="729">
        <f t="shared" si="31"/>
        <v>0</v>
      </c>
      <c r="BZ46" s="729">
        <f t="shared" si="32"/>
        <v>0</v>
      </c>
      <c r="CA46" s="729">
        <f t="shared" si="33"/>
        <v>0</v>
      </c>
      <c r="CB46" s="729">
        <f t="shared" si="34"/>
        <v>0</v>
      </c>
      <c r="CC46" s="729">
        <f t="shared" si="35"/>
        <v>0</v>
      </c>
      <c r="CD46" s="729">
        <f t="shared" si="36"/>
        <v>0</v>
      </c>
      <c r="CE46" s="729">
        <f t="shared" si="37"/>
        <v>0</v>
      </c>
      <c r="CF46" s="731">
        <f t="shared" si="38"/>
        <v>0</v>
      </c>
      <c r="CG46" s="692" t="str">
        <f t="shared" si="39"/>
        <v/>
      </c>
      <c r="CH46" s="659" t="str">
        <f t="shared" si="40"/>
        <v/>
      </c>
      <c r="CI46" s="659" t="str">
        <f t="shared" si="41"/>
        <v/>
      </c>
      <c r="CJ46" s="659" t="str">
        <f t="shared" si="42"/>
        <v/>
      </c>
      <c r="CK46" s="659" t="str">
        <f t="shared" si="43"/>
        <v/>
      </c>
      <c r="CL46" s="659" t="str">
        <f t="shared" si="44"/>
        <v/>
      </c>
      <c r="CM46" s="82" t="str">
        <f t="shared" si="45"/>
        <v/>
      </c>
      <c r="CN46" s="625" t="str">
        <f t="shared" si="57"/>
        <v/>
      </c>
      <c r="CO46" s="625" t="str">
        <f t="shared" si="52"/>
        <v>0</v>
      </c>
      <c r="CP46" s="620">
        <f t="shared" si="47"/>
        <v>0</v>
      </c>
      <c r="CQ46" s="1051" t="s">
        <v>62</v>
      </c>
      <c r="CR46" s="1080">
        <v>235043</v>
      </c>
      <c r="CS46" s="625">
        <f t="shared" si="48"/>
        <v>0</v>
      </c>
      <c r="CT46" s="625">
        <f t="shared" si="49"/>
        <v>0</v>
      </c>
      <c r="CU46" s="626" t="str">
        <f t="shared" si="50"/>
        <v>00</v>
      </c>
    </row>
    <row r="47" spans="1:99" ht="15" customHeight="1">
      <c r="A47" s="1094">
        <v>44</v>
      </c>
      <c r="B47" s="1376"/>
      <c r="C47" s="1377"/>
      <c r="D47" s="1068"/>
      <c r="E47" s="1060"/>
      <c r="F47" s="1382"/>
      <c r="G47" s="1200"/>
      <c r="H47" s="1061"/>
      <c r="I47" s="1062"/>
      <c r="J47" s="1063"/>
      <c r="K47" s="1153"/>
      <c r="L47" s="1153"/>
      <c r="M47" s="1183"/>
      <c r="N47" s="1187" t="str">
        <f t="shared" si="5"/>
        <v/>
      </c>
      <c r="O47" s="1190" t="str">
        <f t="shared" si="51"/>
        <v/>
      </c>
      <c r="P47" s="525" t="str">
        <f>IF(O47="","",VLOOKUP(O47,所属コード!$A$2:$E$189,2,FALSE))</f>
        <v/>
      </c>
      <c r="Q47" s="1164" t="str">
        <f>IF(O47="","",VLOOKUP(O47,所属コード!$A$2:$G$189,7,FALSE))</f>
        <v/>
      </c>
      <c r="R47" s="1166"/>
      <c r="S47" s="77"/>
      <c r="T47" s="77"/>
      <c r="U47" s="77"/>
      <c r="V47" s="15"/>
      <c r="X47" s="621"/>
      <c r="Y47" s="1090" t="str">
        <f t="shared" si="6"/>
        <v/>
      </c>
      <c r="Z47" s="618" t="str">
        <f t="shared" si="7"/>
        <v/>
      </c>
      <c r="AA47" s="617"/>
      <c r="AB47" s="617"/>
      <c r="AC47" s="617"/>
      <c r="AD47" s="617"/>
      <c r="AE47" s="617"/>
      <c r="AF47" s="617"/>
      <c r="AG47" s="620"/>
      <c r="AH47" s="727"/>
      <c r="AI47" s="728"/>
      <c r="AJ47" s="728"/>
      <c r="AK47" s="728"/>
      <c r="AL47" s="728"/>
      <c r="AM47" s="728"/>
      <c r="AN47" s="728"/>
      <c r="AO47" s="728"/>
      <c r="AP47" s="728"/>
      <c r="AQ47" s="728"/>
      <c r="AR47" s="728"/>
      <c r="AS47" s="728"/>
      <c r="AT47" s="728"/>
      <c r="AU47" s="728"/>
      <c r="AV47" s="728"/>
      <c r="AW47" s="742"/>
      <c r="AX47" s="747">
        <f t="shared" si="8"/>
        <v>0</v>
      </c>
      <c r="AY47" s="738">
        <f t="shared" si="53"/>
        <v>0</v>
      </c>
      <c r="AZ47" s="729">
        <f t="shared" si="54"/>
        <v>0</v>
      </c>
      <c r="BA47" s="730">
        <f t="shared" si="55"/>
        <v>0</v>
      </c>
      <c r="BB47" s="729">
        <f t="shared" si="56"/>
        <v>0</v>
      </c>
      <c r="BC47" s="729">
        <f t="shared" si="9"/>
        <v>0</v>
      </c>
      <c r="BD47" s="729">
        <f t="shared" si="10"/>
        <v>0</v>
      </c>
      <c r="BE47" s="729">
        <f t="shared" si="11"/>
        <v>0</v>
      </c>
      <c r="BF47" s="729">
        <f t="shared" si="12"/>
        <v>0</v>
      </c>
      <c r="BG47" s="729">
        <f t="shared" si="13"/>
        <v>0</v>
      </c>
      <c r="BH47" s="729">
        <f t="shared" si="14"/>
        <v>0</v>
      </c>
      <c r="BI47" s="729">
        <f t="shared" si="15"/>
        <v>0</v>
      </c>
      <c r="BJ47" s="729">
        <f t="shared" si="16"/>
        <v>0</v>
      </c>
      <c r="BK47" s="729">
        <f t="shared" si="17"/>
        <v>0</v>
      </c>
      <c r="BL47" s="729">
        <f t="shared" si="18"/>
        <v>0</v>
      </c>
      <c r="BM47" s="729">
        <f t="shared" si="19"/>
        <v>0</v>
      </c>
      <c r="BN47" s="729">
        <f t="shared" si="20"/>
        <v>0</v>
      </c>
      <c r="BO47" s="729">
        <f t="shared" si="21"/>
        <v>0</v>
      </c>
      <c r="BP47" s="729">
        <f t="shared" si="22"/>
        <v>0</v>
      </c>
      <c r="BQ47" s="729">
        <f t="shared" si="23"/>
        <v>0</v>
      </c>
      <c r="BR47" s="729">
        <f t="shared" si="24"/>
        <v>0</v>
      </c>
      <c r="BS47" s="729">
        <f t="shared" si="25"/>
        <v>0</v>
      </c>
      <c r="BT47" s="729">
        <f t="shared" si="26"/>
        <v>0</v>
      </c>
      <c r="BU47" s="729">
        <f t="shared" si="27"/>
        <v>0</v>
      </c>
      <c r="BV47" s="729">
        <f t="shared" si="28"/>
        <v>0</v>
      </c>
      <c r="BW47" s="729">
        <f t="shared" si="29"/>
        <v>0</v>
      </c>
      <c r="BX47" s="729">
        <f t="shared" si="30"/>
        <v>0</v>
      </c>
      <c r="BY47" s="729">
        <f t="shared" si="31"/>
        <v>0</v>
      </c>
      <c r="BZ47" s="729">
        <f t="shared" si="32"/>
        <v>0</v>
      </c>
      <c r="CA47" s="729">
        <f t="shared" si="33"/>
        <v>0</v>
      </c>
      <c r="CB47" s="729">
        <f t="shared" si="34"/>
        <v>0</v>
      </c>
      <c r="CC47" s="729">
        <f t="shared" si="35"/>
        <v>0</v>
      </c>
      <c r="CD47" s="729">
        <f t="shared" si="36"/>
        <v>0</v>
      </c>
      <c r="CE47" s="729">
        <f t="shared" si="37"/>
        <v>0</v>
      </c>
      <c r="CF47" s="731">
        <f t="shared" si="38"/>
        <v>0</v>
      </c>
      <c r="CG47" s="692" t="str">
        <f t="shared" si="39"/>
        <v/>
      </c>
      <c r="CH47" s="659" t="str">
        <f t="shared" si="40"/>
        <v/>
      </c>
      <c r="CI47" s="659" t="str">
        <f t="shared" si="41"/>
        <v/>
      </c>
      <c r="CJ47" s="659" t="str">
        <f t="shared" si="42"/>
        <v/>
      </c>
      <c r="CK47" s="659" t="str">
        <f t="shared" si="43"/>
        <v/>
      </c>
      <c r="CL47" s="659" t="str">
        <f t="shared" si="44"/>
        <v/>
      </c>
      <c r="CM47" s="82" t="str">
        <f t="shared" si="45"/>
        <v/>
      </c>
      <c r="CN47" s="625" t="str">
        <f t="shared" si="57"/>
        <v/>
      </c>
      <c r="CO47" s="625" t="str">
        <f t="shared" si="52"/>
        <v>0</v>
      </c>
      <c r="CP47" s="620">
        <f t="shared" si="47"/>
        <v>0</v>
      </c>
      <c r="CQ47" s="1051" t="s">
        <v>63</v>
      </c>
      <c r="CR47" s="1080">
        <v>235044</v>
      </c>
      <c r="CS47" s="625">
        <f t="shared" si="48"/>
        <v>0</v>
      </c>
      <c r="CT47" s="625">
        <f t="shared" si="49"/>
        <v>0</v>
      </c>
      <c r="CU47" s="626" t="str">
        <f t="shared" si="50"/>
        <v>00</v>
      </c>
    </row>
    <row r="48" spans="1:99" ht="15" customHeight="1">
      <c r="A48" s="1094">
        <v>45</v>
      </c>
      <c r="B48" s="1376"/>
      <c r="C48" s="1377"/>
      <c r="D48" s="1068"/>
      <c r="E48" s="1060"/>
      <c r="F48" s="1382"/>
      <c r="G48" s="1200"/>
      <c r="H48" s="1061"/>
      <c r="I48" s="1062"/>
      <c r="J48" s="1063"/>
      <c r="K48" s="1153"/>
      <c r="L48" s="1153"/>
      <c r="M48" s="1183"/>
      <c r="N48" s="1187" t="str">
        <f t="shared" si="5"/>
        <v/>
      </c>
      <c r="O48" s="1190" t="str">
        <f t="shared" si="51"/>
        <v/>
      </c>
      <c r="P48" s="525" t="str">
        <f>IF(O48="","",VLOOKUP(O48,所属コード!$A$2:$E$189,2,FALSE))</f>
        <v/>
      </c>
      <c r="Q48" s="1164" t="str">
        <f>IF(O48="","",VLOOKUP(O48,所属コード!$A$2:$G$189,7,FALSE))</f>
        <v/>
      </c>
      <c r="R48" s="1166"/>
      <c r="S48" s="77"/>
      <c r="T48" s="77"/>
      <c r="U48" s="77"/>
      <c r="V48" s="15"/>
      <c r="X48" s="621"/>
      <c r="Y48" s="1090" t="str">
        <f t="shared" si="6"/>
        <v/>
      </c>
      <c r="Z48" s="618" t="str">
        <f t="shared" si="7"/>
        <v/>
      </c>
      <c r="AA48" s="617"/>
      <c r="AB48" s="617"/>
      <c r="AC48" s="617"/>
      <c r="AD48" s="617"/>
      <c r="AE48" s="617"/>
      <c r="AF48" s="617"/>
      <c r="AG48" s="620"/>
      <c r="AH48" s="727"/>
      <c r="AI48" s="728"/>
      <c r="AJ48" s="728"/>
      <c r="AK48" s="728"/>
      <c r="AL48" s="728"/>
      <c r="AM48" s="728"/>
      <c r="AN48" s="728"/>
      <c r="AO48" s="728"/>
      <c r="AP48" s="728"/>
      <c r="AQ48" s="728"/>
      <c r="AR48" s="728"/>
      <c r="AS48" s="728"/>
      <c r="AT48" s="728"/>
      <c r="AU48" s="728"/>
      <c r="AV48" s="728"/>
      <c r="AW48" s="742"/>
      <c r="AX48" s="747">
        <f t="shared" si="8"/>
        <v>0</v>
      </c>
      <c r="AY48" s="738">
        <f t="shared" si="53"/>
        <v>0</v>
      </c>
      <c r="AZ48" s="729">
        <f t="shared" si="54"/>
        <v>0</v>
      </c>
      <c r="BA48" s="730">
        <f t="shared" si="55"/>
        <v>0</v>
      </c>
      <c r="BB48" s="729">
        <f t="shared" si="56"/>
        <v>0</v>
      </c>
      <c r="BC48" s="729">
        <f t="shared" si="9"/>
        <v>0</v>
      </c>
      <c r="BD48" s="729">
        <f t="shared" si="10"/>
        <v>0</v>
      </c>
      <c r="BE48" s="729">
        <f t="shared" si="11"/>
        <v>0</v>
      </c>
      <c r="BF48" s="729">
        <f t="shared" si="12"/>
        <v>0</v>
      </c>
      <c r="BG48" s="729">
        <f t="shared" si="13"/>
        <v>0</v>
      </c>
      <c r="BH48" s="729">
        <f t="shared" si="14"/>
        <v>0</v>
      </c>
      <c r="BI48" s="729">
        <f t="shared" si="15"/>
        <v>0</v>
      </c>
      <c r="BJ48" s="729">
        <f t="shared" si="16"/>
        <v>0</v>
      </c>
      <c r="BK48" s="729">
        <f t="shared" si="17"/>
        <v>0</v>
      </c>
      <c r="BL48" s="729">
        <f t="shared" si="18"/>
        <v>0</v>
      </c>
      <c r="BM48" s="729">
        <f t="shared" si="19"/>
        <v>0</v>
      </c>
      <c r="BN48" s="729">
        <f t="shared" si="20"/>
        <v>0</v>
      </c>
      <c r="BO48" s="729">
        <f t="shared" si="21"/>
        <v>0</v>
      </c>
      <c r="BP48" s="729">
        <f t="shared" si="22"/>
        <v>0</v>
      </c>
      <c r="BQ48" s="729">
        <f t="shared" si="23"/>
        <v>0</v>
      </c>
      <c r="BR48" s="729">
        <f t="shared" si="24"/>
        <v>0</v>
      </c>
      <c r="BS48" s="729">
        <f t="shared" si="25"/>
        <v>0</v>
      </c>
      <c r="BT48" s="729">
        <f t="shared" si="26"/>
        <v>0</v>
      </c>
      <c r="BU48" s="729">
        <f t="shared" si="27"/>
        <v>0</v>
      </c>
      <c r="BV48" s="729">
        <f t="shared" si="28"/>
        <v>0</v>
      </c>
      <c r="BW48" s="729">
        <f t="shared" si="29"/>
        <v>0</v>
      </c>
      <c r="BX48" s="729">
        <f t="shared" si="30"/>
        <v>0</v>
      </c>
      <c r="BY48" s="729">
        <f t="shared" si="31"/>
        <v>0</v>
      </c>
      <c r="BZ48" s="729">
        <f t="shared" si="32"/>
        <v>0</v>
      </c>
      <c r="CA48" s="729">
        <f t="shared" si="33"/>
        <v>0</v>
      </c>
      <c r="CB48" s="729">
        <f t="shared" si="34"/>
        <v>0</v>
      </c>
      <c r="CC48" s="729">
        <f t="shared" si="35"/>
        <v>0</v>
      </c>
      <c r="CD48" s="729">
        <f t="shared" si="36"/>
        <v>0</v>
      </c>
      <c r="CE48" s="729">
        <f t="shared" si="37"/>
        <v>0</v>
      </c>
      <c r="CF48" s="731">
        <f t="shared" si="38"/>
        <v>0</v>
      </c>
      <c r="CG48" s="692" t="str">
        <f t="shared" si="39"/>
        <v/>
      </c>
      <c r="CH48" s="659" t="str">
        <f t="shared" si="40"/>
        <v/>
      </c>
      <c r="CI48" s="659" t="str">
        <f t="shared" si="41"/>
        <v/>
      </c>
      <c r="CJ48" s="659" t="str">
        <f t="shared" si="42"/>
        <v/>
      </c>
      <c r="CK48" s="659" t="str">
        <f t="shared" si="43"/>
        <v/>
      </c>
      <c r="CL48" s="659" t="str">
        <f t="shared" si="44"/>
        <v/>
      </c>
      <c r="CM48" s="82" t="str">
        <f t="shared" si="45"/>
        <v/>
      </c>
      <c r="CN48" s="625" t="str">
        <f t="shared" si="57"/>
        <v/>
      </c>
      <c r="CO48" s="625" t="str">
        <f t="shared" si="52"/>
        <v>0</v>
      </c>
      <c r="CP48" s="620">
        <f t="shared" si="47"/>
        <v>0</v>
      </c>
      <c r="CQ48" s="1051" t="s">
        <v>281</v>
      </c>
      <c r="CR48" s="1080">
        <v>235045</v>
      </c>
      <c r="CS48" s="625">
        <f t="shared" si="48"/>
        <v>0</v>
      </c>
      <c r="CT48" s="625">
        <f t="shared" si="49"/>
        <v>0</v>
      </c>
      <c r="CU48" s="626" t="str">
        <f t="shared" si="50"/>
        <v>00</v>
      </c>
    </row>
    <row r="49" spans="1:99" ht="15" customHeight="1">
      <c r="A49" s="1094">
        <v>46</v>
      </c>
      <c r="B49" s="1376"/>
      <c r="C49" s="1377"/>
      <c r="D49" s="1068"/>
      <c r="E49" s="1060"/>
      <c r="F49" s="1382"/>
      <c r="G49" s="1200"/>
      <c r="H49" s="1061"/>
      <c r="I49" s="1062"/>
      <c r="J49" s="1063"/>
      <c r="K49" s="1153"/>
      <c r="L49" s="1153"/>
      <c r="M49" s="1183"/>
      <c r="N49" s="1187" t="str">
        <f t="shared" si="5"/>
        <v/>
      </c>
      <c r="O49" s="1190" t="str">
        <f t="shared" si="51"/>
        <v/>
      </c>
      <c r="P49" s="525" t="str">
        <f>IF(O49="","",VLOOKUP(O49,所属コード!$A$2:$E$189,2,FALSE))</f>
        <v/>
      </c>
      <c r="Q49" s="1164" t="str">
        <f>IF(O49="","",VLOOKUP(O49,所属コード!$A$2:$G$189,7,FALSE))</f>
        <v/>
      </c>
      <c r="R49" s="1166"/>
      <c r="S49" s="77"/>
      <c r="T49" s="77"/>
      <c r="U49" s="77"/>
      <c r="V49" s="15"/>
      <c r="X49" s="617"/>
      <c r="Y49" s="1090" t="str">
        <f t="shared" si="6"/>
        <v/>
      </c>
      <c r="Z49" s="618" t="str">
        <f t="shared" si="7"/>
        <v/>
      </c>
      <c r="AA49" s="617"/>
      <c r="AB49" s="617"/>
      <c r="AC49" s="617"/>
      <c r="AD49" s="617"/>
      <c r="AE49" s="617"/>
      <c r="AF49" s="617"/>
      <c r="AG49" s="620"/>
      <c r="AH49" s="727"/>
      <c r="AI49" s="728"/>
      <c r="AJ49" s="728"/>
      <c r="AK49" s="728"/>
      <c r="AL49" s="728"/>
      <c r="AM49" s="728"/>
      <c r="AN49" s="728"/>
      <c r="AO49" s="728"/>
      <c r="AP49" s="728"/>
      <c r="AQ49" s="728"/>
      <c r="AR49" s="728"/>
      <c r="AS49" s="728"/>
      <c r="AT49" s="728"/>
      <c r="AU49" s="728"/>
      <c r="AV49" s="728"/>
      <c r="AW49" s="742"/>
      <c r="AX49" s="747">
        <f t="shared" si="8"/>
        <v>0</v>
      </c>
      <c r="AY49" s="738">
        <f t="shared" si="53"/>
        <v>0</v>
      </c>
      <c r="AZ49" s="729">
        <f t="shared" si="54"/>
        <v>0</v>
      </c>
      <c r="BA49" s="730">
        <f t="shared" si="55"/>
        <v>0</v>
      </c>
      <c r="BB49" s="729">
        <f t="shared" si="56"/>
        <v>0</v>
      </c>
      <c r="BC49" s="729">
        <f t="shared" si="9"/>
        <v>0</v>
      </c>
      <c r="BD49" s="729">
        <f t="shared" si="10"/>
        <v>0</v>
      </c>
      <c r="BE49" s="729">
        <f t="shared" si="11"/>
        <v>0</v>
      </c>
      <c r="BF49" s="729">
        <f t="shared" si="12"/>
        <v>0</v>
      </c>
      <c r="BG49" s="729">
        <f t="shared" si="13"/>
        <v>0</v>
      </c>
      <c r="BH49" s="729">
        <f t="shared" si="14"/>
        <v>0</v>
      </c>
      <c r="BI49" s="729">
        <f t="shared" si="15"/>
        <v>0</v>
      </c>
      <c r="BJ49" s="729">
        <f t="shared" si="16"/>
        <v>0</v>
      </c>
      <c r="BK49" s="729">
        <f t="shared" si="17"/>
        <v>0</v>
      </c>
      <c r="BL49" s="729">
        <f t="shared" si="18"/>
        <v>0</v>
      </c>
      <c r="BM49" s="729">
        <f t="shared" si="19"/>
        <v>0</v>
      </c>
      <c r="BN49" s="729">
        <f t="shared" si="20"/>
        <v>0</v>
      </c>
      <c r="BO49" s="729">
        <f t="shared" si="21"/>
        <v>0</v>
      </c>
      <c r="BP49" s="729">
        <f t="shared" si="22"/>
        <v>0</v>
      </c>
      <c r="BQ49" s="729">
        <f t="shared" si="23"/>
        <v>0</v>
      </c>
      <c r="BR49" s="729">
        <f t="shared" si="24"/>
        <v>0</v>
      </c>
      <c r="BS49" s="729">
        <f t="shared" si="25"/>
        <v>0</v>
      </c>
      <c r="BT49" s="729">
        <f t="shared" si="26"/>
        <v>0</v>
      </c>
      <c r="BU49" s="729">
        <f t="shared" si="27"/>
        <v>0</v>
      </c>
      <c r="BV49" s="729">
        <f t="shared" si="28"/>
        <v>0</v>
      </c>
      <c r="BW49" s="729">
        <f t="shared" si="29"/>
        <v>0</v>
      </c>
      <c r="BX49" s="729">
        <f t="shared" si="30"/>
        <v>0</v>
      </c>
      <c r="BY49" s="729">
        <f t="shared" si="31"/>
        <v>0</v>
      </c>
      <c r="BZ49" s="729">
        <f t="shared" si="32"/>
        <v>0</v>
      </c>
      <c r="CA49" s="729">
        <f t="shared" si="33"/>
        <v>0</v>
      </c>
      <c r="CB49" s="729">
        <f t="shared" si="34"/>
        <v>0</v>
      </c>
      <c r="CC49" s="729">
        <f t="shared" si="35"/>
        <v>0</v>
      </c>
      <c r="CD49" s="729">
        <f t="shared" si="36"/>
        <v>0</v>
      </c>
      <c r="CE49" s="729">
        <f t="shared" si="37"/>
        <v>0</v>
      </c>
      <c r="CF49" s="731">
        <f t="shared" si="38"/>
        <v>0</v>
      </c>
      <c r="CG49" s="692" t="str">
        <f t="shared" si="39"/>
        <v/>
      </c>
      <c r="CH49" s="659" t="str">
        <f t="shared" si="40"/>
        <v/>
      </c>
      <c r="CI49" s="659" t="str">
        <f t="shared" si="41"/>
        <v/>
      </c>
      <c r="CJ49" s="659" t="str">
        <f t="shared" si="42"/>
        <v/>
      </c>
      <c r="CK49" s="659" t="str">
        <f t="shared" si="43"/>
        <v/>
      </c>
      <c r="CL49" s="659" t="str">
        <f t="shared" si="44"/>
        <v/>
      </c>
      <c r="CM49" s="82" t="str">
        <f t="shared" si="45"/>
        <v/>
      </c>
      <c r="CN49" s="625" t="str">
        <f t="shared" si="57"/>
        <v/>
      </c>
      <c r="CO49" s="625" t="str">
        <f t="shared" si="52"/>
        <v>0</v>
      </c>
      <c r="CP49" s="620">
        <f t="shared" si="47"/>
        <v>0</v>
      </c>
      <c r="CQ49" s="1051" t="s">
        <v>6</v>
      </c>
      <c r="CR49" s="1080">
        <v>235046</v>
      </c>
      <c r="CS49" s="625">
        <f t="shared" si="48"/>
        <v>0</v>
      </c>
      <c r="CT49" s="625">
        <f t="shared" si="49"/>
        <v>0</v>
      </c>
      <c r="CU49" s="626" t="str">
        <f t="shared" si="50"/>
        <v>00</v>
      </c>
    </row>
    <row r="50" spans="1:99" ht="15" customHeight="1">
      <c r="A50" s="1094">
        <v>47</v>
      </c>
      <c r="B50" s="1376"/>
      <c r="C50" s="1377"/>
      <c r="D50" s="1068"/>
      <c r="E50" s="1060"/>
      <c r="F50" s="1382"/>
      <c r="G50" s="1200"/>
      <c r="H50" s="1061"/>
      <c r="I50" s="1062"/>
      <c r="J50" s="1063"/>
      <c r="K50" s="1153"/>
      <c r="L50" s="1153"/>
      <c r="M50" s="1183"/>
      <c r="N50" s="1187" t="str">
        <f t="shared" si="5"/>
        <v/>
      </c>
      <c r="O50" s="1190" t="str">
        <f t="shared" si="51"/>
        <v/>
      </c>
      <c r="P50" s="525" t="str">
        <f>IF(O50="","",VLOOKUP(O50,所属コード!$A$2:$E$189,2,FALSE))</f>
        <v/>
      </c>
      <c r="Q50" s="1164" t="str">
        <f>IF(O50="","",VLOOKUP(O50,所属コード!$A$2:$G$189,7,FALSE))</f>
        <v/>
      </c>
      <c r="R50" s="1166"/>
      <c r="S50" s="77"/>
      <c r="T50" s="77"/>
      <c r="U50" s="77"/>
      <c r="V50" s="15"/>
      <c r="X50" s="617"/>
      <c r="Y50" s="1090" t="str">
        <f t="shared" si="6"/>
        <v/>
      </c>
      <c r="Z50" s="618" t="str">
        <f t="shared" si="7"/>
        <v/>
      </c>
      <c r="AA50" s="617"/>
      <c r="AB50" s="617"/>
      <c r="AC50" s="617"/>
      <c r="AD50" s="617"/>
      <c r="AE50" s="617"/>
      <c r="AF50" s="617"/>
      <c r="AG50" s="620"/>
      <c r="AH50" s="727"/>
      <c r="AI50" s="728"/>
      <c r="AJ50" s="728"/>
      <c r="AK50" s="728"/>
      <c r="AL50" s="728"/>
      <c r="AM50" s="728"/>
      <c r="AN50" s="728"/>
      <c r="AO50" s="728"/>
      <c r="AP50" s="728"/>
      <c r="AQ50" s="728"/>
      <c r="AR50" s="728"/>
      <c r="AS50" s="728"/>
      <c r="AT50" s="728"/>
      <c r="AU50" s="728"/>
      <c r="AV50" s="728"/>
      <c r="AW50" s="742"/>
      <c r="AX50" s="747">
        <f t="shared" si="8"/>
        <v>0</v>
      </c>
      <c r="AY50" s="738">
        <f t="shared" si="53"/>
        <v>0</v>
      </c>
      <c r="AZ50" s="729">
        <f t="shared" si="54"/>
        <v>0</v>
      </c>
      <c r="BA50" s="730">
        <f t="shared" si="55"/>
        <v>0</v>
      </c>
      <c r="BB50" s="729">
        <f t="shared" si="56"/>
        <v>0</v>
      </c>
      <c r="BC50" s="729">
        <f t="shared" si="9"/>
        <v>0</v>
      </c>
      <c r="BD50" s="729">
        <f t="shared" si="10"/>
        <v>0</v>
      </c>
      <c r="BE50" s="729">
        <f t="shared" si="11"/>
        <v>0</v>
      </c>
      <c r="BF50" s="729">
        <f t="shared" si="12"/>
        <v>0</v>
      </c>
      <c r="BG50" s="729">
        <f t="shared" si="13"/>
        <v>0</v>
      </c>
      <c r="BH50" s="729">
        <f t="shared" si="14"/>
        <v>0</v>
      </c>
      <c r="BI50" s="729">
        <f t="shared" si="15"/>
        <v>0</v>
      </c>
      <c r="BJ50" s="729">
        <f t="shared" si="16"/>
        <v>0</v>
      </c>
      <c r="BK50" s="729">
        <f t="shared" si="17"/>
        <v>0</v>
      </c>
      <c r="BL50" s="729">
        <f t="shared" si="18"/>
        <v>0</v>
      </c>
      <c r="BM50" s="729">
        <f t="shared" si="19"/>
        <v>0</v>
      </c>
      <c r="BN50" s="729">
        <f t="shared" si="20"/>
        <v>0</v>
      </c>
      <c r="BO50" s="729">
        <f t="shared" si="21"/>
        <v>0</v>
      </c>
      <c r="BP50" s="729">
        <f t="shared" si="22"/>
        <v>0</v>
      </c>
      <c r="BQ50" s="729">
        <f t="shared" si="23"/>
        <v>0</v>
      </c>
      <c r="BR50" s="729">
        <f t="shared" si="24"/>
        <v>0</v>
      </c>
      <c r="BS50" s="729">
        <f t="shared" si="25"/>
        <v>0</v>
      </c>
      <c r="BT50" s="729">
        <f t="shared" si="26"/>
        <v>0</v>
      </c>
      <c r="BU50" s="729">
        <f t="shared" si="27"/>
        <v>0</v>
      </c>
      <c r="BV50" s="729">
        <f t="shared" si="28"/>
        <v>0</v>
      </c>
      <c r="BW50" s="729">
        <f t="shared" si="29"/>
        <v>0</v>
      </c>
      <c r="BX50" s="729">
        <f t="shared" si="30"/>
        <v>0</v>
      </c>
      <c r="BY50" s="729">
        <f t="shared" si="31"/>
        <v>0</v>
      </c>
      <c r="BZ50" s="729">
        <f t="shared" si="32"/>
        <v>0</v>
      </c>
      <c r="CA50" s="729">
        <f t="shared" si="33"/>
        <v>0</v>
      </c>
      <c r="CB50" s="729">
        <f t="shared" si="34"/>
        <v>0</v>
      </c>
      <c r="CC50" s="729">
        <f t="shared" si="35"/>
        <v>0</v>
      </c>
      <c r="CD50" s="729">
        <f t="shared" si="36"/>
        <v>0</v>
      </c>
      <c r="CE50" s="729">
        <f t="shared" si="37"/>
        <v>0</v>
      </c>
      <c r="CF50" s="731">
        <f t="shared" si="38"/>
        <v>0</v>
      </c>
      <c r="CG50" s="692" t="str">
        <f t="shared" si="39"/>
        <v/>
      </c>
      <c r="CH50" s="659" t="str">
        <f t="shared" si="40"/>
        <v/>
      </c>
      <c r="CI50" s="659" t="str">
        <f t="shared" si="41"/>
        <v/>
      </c>
      <c r="CJ50" s="659" t="str">
        <f t="shared" si="42"/>
        <v/>
      </c>
      <c r="CK50" s="659" t="str">
        <f t="shared" si="43"/>
        <v/>
      </c>
      <c r="CL50" s="659" t="str">
        <f t="shared" si="44"/>
        <v/>
      </c>
      <c r="CM50" s="82" t="str">
        <f t="shared" si="45"/>
        <v/>
      </c>
      <c r="CN50" s="625" t="str">
        <f t="shared" si="57"/>
        <v/>
      </c>
      <c r="CO50" s="625" t="str">
        <f t="shared" si="52"/>
        <v>0</v>
      </c>
      <c r="CP50" s="620">
        <f t="shared" si="47"/>
        <v>0</v>
      </c>
      <c r="CQ50" s="1051" t="s">
        <v>145</v>
      </c>
      <c r="CR50" s="1080">
        <v>235047</v>
      </c>
      <c r="CS50" s="625">
        <f t="shared" si="48"/>
        <v>0</v>
      </c>
      <c r="CT50" s="625">
        <f t="shared" si="49"/>
        <v>0</v>
      </c>
      <c r="CU50" s="626" t="str">
        <f t="shared" si="50"/>
        <v>00</v>
      </c>
    </row>
    <row r="51" spans="1:99" ht="15" customHeight="1">
      <c r="A51" s="1094">
        <v>48</v>
      </c>
      <c r="B51" s="1376"/>
      <c r="C51" s="1377"/>
      <c r="D51" s="1068"/>
      <c r="E51" s="1060"/>
      <c r="F51" s="1382"/>
      <c r="G51" s="1200"/>
      <c r="H51" s="1061"/>
      <c r="I51" s="1062"/>
      <c r="J51" s="1063"/>
      <c r="K51" s="1153"/>
      <c r="L51" s="1153"/>
      <c r="M51" s="1183"/>
      <c r="N51" s="1187" t="str">
        <f t="shared" si="5"/>
        <v/>
      </c>
      <c r="O51" s="1190" t="str">
        <f t="shared" si="51"/>
        <v/>
      </c>
      <c r="P51" s="525" t="str">
        <f>IF(O51="","",VLOOKUP(O51,所属コード!$A$2:$E$189,2,FALSE))</f>
        <v/>
      </c>
      <c r="Q51" s="1164" t="str">
        <f>IF(O51="","",VLOOKUP(O51,所属コード!$A$2:$G$189,7,FALSE))</f>
        <v/>
      </c>
      <c r="R51" s="1166"/>
      <c r="S51" s="77"/>
      <c r="T51" s="77"/>
      <c r="U51" s="77"/>
      <c r="V51" s="15"/>
      <c r="X51" s="617"/>
      <c r="Y51" s="1090" t="str">
        <f t="shared" si="6"/>
        <v/>
      </c>
      <c r="Z51" s="618" t="str">
        <f t="shared" si="7"/>
        <v/>
      </c>
      <c r="AA51" s="617"/>
      <c r="AB51" s="617"/>
      <c r="AC51" s="617"/>
      <c r="AD51" s="617"/>
      <c r="AE51" s="617"/>
      <c r="AF51" s="617"/>
      <c r="AG51" s="620"/>
      <c r="AH51" s="727"/>
      <c r="AI51" s="728"/>
      <c r="AJ51" s="728"/>
      <c r="AK51" s="728"/>
      <c r="AL51" s="728"/>
      <c r="AM51" s="728"/>
      <c r="AN51" s="728"/>
      <c r="AO51" s="728"/>
      <c r="AP51" s="728"/>
      <c r="AQ51" s="728"/>
      <c r="AR51" s="728"/>
      <c r="AS51" s="728"/>
      <c r="AT51" s="728"/>
      <c r="AU51" s="728"/>
      <c r="AV51" s="728"/>
      <c r="AW51" s="742"/>
      <c r="AX51" s="747">
        <f t="shared" si="8"/>
        <v>0</v>
      </c>
      <c r="AY51" s="738">
        <f t="shared" si="53"/>
        <v>0</v>
      </c>
      <c r="AZ51" s="729">
        <f t="shared" si="54"/>
        <v>0</v>
      </c>
      <c r="BA51" s="730">
        <f t="shared" si="55"/>
        <v>0</v>
      </c>
      <c r="BB51" s="729">
        <f t="shared" si="56"/>
        <v>0</v>
      </c>
      <c r="BC51" s="729">
        <f t="shared" si="9"/>
        <v>0</v>
      </c>
      <c r="BD51" s="729">
        <f t="shared" si="10"/>
        <v>0</v>
      </c>
      <c r="BE51" s="729">
        <f t="shared" si="11"/>
        <v>0</v>
      </c>
      <c r="BF51" s="729">
        <f t="shared" si="12"/>
        <v>0</v>
      </c>
      <c r="BG51" s="729">
        <f t="shared" si="13"/>
        <v>0</v>
      </c>
      <c r="BH51" s="729">
        <f t="shared" si="14"/>
        <v>0</v>
      </c>
      <c r="BI51" s="729">
        <f t="shared" si="15"/>
        <v>0</v>
      </c>
      <c r="BJ51" s="729">
        <f t="shared" si="16"/>
        <v>0</v>
      </c>
      <c r="BK51" s="729">
        <f t="shared" si="17"/>
        <v>0</v>
      </c>
      <c r="BL51" s="729">
        <f t="shared" si="18"/>
        <v>0</v>
      </c>
      <c r="BM51" s="729">
        <f t="shared" si="19"/>
        <v>0</v>
      </c>
      <c r="BN51" s="729">
        <f t="shared" si="20"/>
        <v>0</v>
      </c>
      <c r="BO51" s="729">
        <f t="shared" si="21"/>
        <v>0</v>
      </c>
      <c r="BP51" s="729">
        <f t="shared" si="22"/>
        <v>0</v>
      </c>
      <c r="BQ51" s="729">
        <f t="shared" si="23"/>
        <v>0</v>
      </c>
      <c r="BR51" s="729">
        <f t="shared" si="24"/>
        <v>0</v>
      </c>
      <c r="BS51" s="729">
        <f t="shared" si="25"/>
        <v>0</v>
      </c>
      <c r="BT51" s="729">
        <f t="shared" si="26"/>
        <v>0</v>
      </c>
      <c r="BU51" s="729">
        <f t="shared" si="27"/>
        <v>0</v>
      </c>
      <c r="BV51" s="729">
        <f t="shared" si="28"/>
        <v>0</v>
      </c>
      <c r="BW51" s="729">
        <f t="shared" si="29"/>
        <v>0</v>
      </c>
      <c r="BX51" s="729">
        <f t="shared" si="30"/>
        <v>0</v>
      </c>
      <c r="BY51" s="729">
        <f t="shared" si="31"/>
        <v>0</v>
      </c>
      <c r="BZ51" s="729">
        <f t="shared" si="32"/>
        <v>0</v>
      </c>
      <c r="CA51" s="729">
        <f t="shared" si="33"/>
        <v>0</v>
      </c>
      <c r="CB51" s="729">
        <f t="shared" si="34"/>
        <v>0</v>
      </c>
      <c r="CC51" s="729">
        <f t="shared" si="35"/>
        <v>0</v>
      </c>
      <c r="CD51" s="729">
        <f t="shared" si="36"/>
        <v>0</v>
      </c>
      <c r="CE51" s="729">
        <f t="shared" si="37"/>
        <v>0</v>
      </c>
      <c r="CF51" s="731">
        <f t="shared" si="38"/>
        <v>0</v>
      </c>
      <c r="CG51" s="692" t="str">
        <f t="shared" si="39"/>
        <v/>
      </c>
      <c r="CH51" s="659" t="str">
        <f t="shared" si="40"/>
        <v/>
      </c>
      <c r="CI51" s="659" t="str">
        <f t="shared" si="41"/>
        <v/>
      </c>
      <c r="CJ51" s="659" t="str">
        <f t="shared" si="42"/>
        <v/>
      </c>
      <c r="CK51" s="659" t="str">
        <f t="shared" si="43"/>
        <v/>
      </c>
      <c r="CL51" s="659" t="str">
        <f t="shared" si="44"/>
        <v/>
      </c>
      <c r="CM51" s="82" t="str">
        <f t="shared" si="45"/>
        <v/>
      </c>
      <c r="CN51" s="625" t="str">
        <f t="shared" si="57"/>
        <v/>
      </c>
      <c r="CO51" s="625" t="str">
        <f t="shared" si="52"/>
        <v>0</v>
      </c>
      <c r="CP51" s="620">
        <f t="shared" si="47"/>
        <v>0</v>
      </c>
      <c r="CQ51" s="1051" t="s">
        <v>282</v>
      </c>
      <c r="CR51" s="1080">
        <v>235048</v>
      </c>
      <c r="CS51" s="625">
        <f t="shared" si="48"/>
        <v>0</v>
      </c>
      <c r="CT51" s="625">
        <f t="shared" si="49"/>
        <v>0</v>
      </c>
      <c r="CU51" s="626" t="str">
        <f t="shared" si="50"/>
        <v>00</v>
      </c>
    </row>
    <row r="52" spans="1:99" ht="15" customHeight="1">
      <c r="A52" s="1094">
        <v>49</v>
      </c>
      <c r="B52" s="1376"/>
      <c r="C52" s="1377"/>
      <c r="D52" s="1068"/>
      <c r="E52" s="1060"/>
      <c r="F52" s="1382"/>
      <c r="G52" s="1200"/>
      <c r="H52" s="1061"/>
      <c r="I52" s="1062"/>
      <c r="J52" s="1063"/>
      <c r="K52" s="1153"/>
      <c r="L52" s="1153"/>
      <c r="M52" s="1183"/>
      <c r="N52" s="1187" t="str">
        <f t="shared" si="5"/>
        <v/>
      </c>
      <c r="O52" s="1190" t="str">
        <f t="shared" si="51"/>
        <v/>
      </c>
      <c r="P52" s="525" t="str">
        <f>IF(O52="","",VLOOKUP(O52,所属コード!$A$2:$E$189,2,FALSE))</f>
        <v/>
      </c>
      <c r="Q52" s="1164" t="str">
        <f>IF(O52="","",VLOOKUP(O52,所属コード!$A$2:$G$189,7,FALSE))</f>
        <v/>
      </c>
      <c r="R52" s="1166"/>
      <c r="S52" s="77"/>
      <c r="T52" s="77"/>
      <c r="U52" s="77"/>
      <c r="V52" s="15"/>
      <c r="X52" s="617"/>
      <c r="Y52" s="1090" t="str">
        <f t="shared" si="6"/>
        <v/>
      </c>
      <c r="Z52" s="618" t="str">
        <f t="shared" si="7"/>
        <v/>
      </c>
      <c r="AA52" s="617"/>
      <c r="AB52" s="617"/>
      <c r="AC52" s="617"/>
      <c r="AD52" s="617"/>
      <c r="AE52" s="617"/>
      <c r="AF52" s="617"/>
      <c r="AG52" s="620"/>
      <c r="AH52" s="727"/>
      <c r="AI52" s="728"/>
      <c r="AJ52" s="728"/>
      <c r="AK52" s="728"/>
      <c r="AL52" s="728"/>
      <c r="AM52" s="728"/>
      <c r="AN52" s="728"/>
      <c r="AO52" s="728"/>
      <c r="AP52" s="728"/>
      <c r="AQ52" s="728"/>
      <c r="AR52" s="728"/>
      <c r="AS52" s="728"/>
      <c r="AT52" s="728"/>
      <c r="AU52" s="728"/>
      <c r="AV52" s="728"/>
      <c r="AW52" s="742"/>
      <c r="AX52" s="747">
        <f t="shared" si="8"/>
        <v>0</v>
      </c>
      <c r="AY52" s="738">
        <f t="shared" si="53"/>
        <v>0</v>
      </c>
      <c r="AZ52" s="729">
        <f t="shared" si="54"/>
        <v>0</v>
      </c>
      <c r="BA52" s="730">
        <f t="shared" si="55"/>
        <v>0</v>
      </c>
      <c r="BB52" s="729">
        <f t="shared" si="56"/>
        <v>0</v>
      </c>
      <c r="BC52" s="729">
        <f t="shared" si="9"/>
        <v>0</v>
      </c>
      <c r="BD52" s="729">
        <f t="shared" si="10"/>
        <v>0</v>
      </c>
      <c r="BE52" s="729">
        <f t="shared" si="11"/>
        <v>0</v>
      </c>
      <c r="BF52" s="729">
        <f t="shared" si="12"/>
        <v>0</v>
      </c>
      <c r="BG52" s="729">
        <f t="shared" si="13"/>
        <v>0</v>
      </c>
      <c r="BH52" s="729">
        <f t="shared" si="14"/>
        <v>0</v>
      </c>
      <c r="BI52" s="729">
        <f t="shared" si="15"/>
        <v>0</v>
      </c>
      <c r="BJ52" s="729">
        <f t="shared" si="16"/>
        <v>0</v>
      </c>
      <c r="BK52" s="729">
        <f t="shared" si="17"/>
        <v>0</v>
      </c>
      <c r="BL52" s="729">
        <f t="shared" si="18"/>
        <v>0</v>
      </c>
      <c r="BM52" s="729">
        <f t="shared" si="19"/>
        <v>0</v>
      </c>
      <c r="BN52" s="729">
        <f t="shared" si="20"/>
        <v>0</v>
      </c>
      <c r="BO52" s="729">
        <f t="shared" si="21"/>
        <v>0</v>
      </c>
      <c r="BP52" s="729">
        <f t="shared" si="22"/>
        <v>0</v>
      </c>
      <c r="BQ52" s="729">
        <f t="shared" si="23"/>
        <v>0</v>
      </c>
      <c r="BR52" s="729">
        <f t="shared" si="24"/>
        <v>0</v>
      </c>
      <c r="BS52" s="729">
        <f t="shared" si="25"/>
        <v>0</v>
      </c>
      <c r="BT52" s="729">
        <f t="shared" si="26"/>
        <v>0</v>
      </c>
      <c r="BU52" s="729">
        <f t="shared" si="27"/>
        <v>0</v>
      </c>
      <c r="BV52" s="729">
        <f t="shared" si="28"/>
        <v>0</v>
      </c>
      <c r="BW52" s="729">
        <f t="shared" si="29"/>
        <v>0</v>
      </c>
      <c r="BX52" s="729">
        <f t="shared" si="30"/>
        <v>0</v>
      </c>
      <c r="BY52" s="729">
        <f t="shared" si="31"/>
        <v>0</v>
      </c>
      <c r="BZ52" s="729">
        <f t="shared" si="32"/>
        <v>0</v>
      </c>
      <c r="CA52" s="729">
        <f t="shared" si="33"/>
        <v>0</v>
      </c>
      <c r="CB52" s="729">
        <f t="shared" si="34"/>
        <v>0</v>
      </c>
      <c r="CC52" s="729">
        <f t="shared" si="35"/>
        <v>0</v>
      </c>
      <c r="CD52" s="729">
        <f t="shared" si="36"/>
        <v>0</v>
      </c>
      <c r="CE52" s="729">
        <f t="shared" si="37"/>
        <v>0</v>
      </c>
      <c r="CF52" s="731">
        <f t="shared" si="38"/>
        <v>0</v>
      </c>
      <c r="CG52" s="692" t="str">
        <f t="shared" si="39"/>
        <v/>
      </c>
      <c r="CH52" s="659" t="str">
        <f t="shared" si="40"/>
        <v/>
      </c>
      <c r="CI52" s="659" t="str">
        <f t="shared" si="41"/>
        <v/>
      </c>
      <c r="CJ52" s="659" t="str">
        <f t="shared" si="42"/>
        <v/>
      </c>
      <c r="CK52" s="659" t="str">
        <f t="shared" si="43"/>
        <v/>
      </c>
      <c r="CL52" s="659" t="str">
        <f t="shared" si="44"/>
        <v/>
      </c>
      <c r="CM52" s="82" t="str">
        <f t="shared" si="45"/>
        <v/>
      </c>
      <c r="CN52" s="625" t="str">
        <f t="shared" si="57"/>
        <v/>
      </c>
      <c r="CO52" s="625" t="str">
        <f t="shared" si="52"/>
        <v>0</v>
      </c>
      <c r="CP52" s="620">
        <f t="shared" si="47"/>
        <v>0</v>
      </c>
      <c r="CQ52" s="1051" t="s">
        <v>4</v>
      </c>
      <c r="CR52" s="1080">
        <v>235049</v>
      </c>
      <c r="CS52" s="625">
        <f t="shared" si="48"/>
        <v>0</v>
      </c>
      <c r="CT52" s="625">
        <f t="shared" si="49"/>
        <v>0</v>
      </c>
      <c r="CU52" s="626" t="str">
        <f t="shared" si="50"/>
        <v>00</v>
      </c>
    </row>
    <row r="53" spans="1:99" ht="15" customHeight="1">
      <c r="A53" s="1094">
        <v>50</v>
      </c>
      <c r="B53" s="1376"/>
      <c r="C53" s="1377"/>
      <c r="D53" s="1068"/>
      <c r="E53" s="1060"/>
      <c r="F53" s="1382"/>
      <c r="G53" s="1200"/>
      <c r="H53" s="1067"/>
      <c r="I53" s="1062"/>
      <c r="J53" s="1063"/>
      <c r="K53" s="1153"/>
      <c r="L53" s="1153"/>
      <c r="M53" s="1183"/>
      <c r="N53" s="1187" t="str">
        <f t="shared" si="5"/>
        <v/>
      </c>
      <c r="O53" s="1190" t="str">
        <f t="shared" si="51"/>
        <v/>
      </c>
      <c r="P53" s="525" t="str">
        <f>IF(O53="","",VLOOKUP(O53,所属コード!$A$2:$E$189,2,FALSE))</f>
        <v/>
      </c>
      <c r="Q53" s="1164" t="str">
        <f>IF(O53="","",VLOOKUP(O53,所属コード!$A$2:$G$189,7,FALSE))</f>
        <v/>
      </c>
      <c r="R53" s="1166"/>
      <c r="S53" s="77"/>
      <c r="T53" s="77"/>
      <c r="U53" s="77"/>
      <c r="V53" s="15"/>
      <c r="X53" s="617"/>
      <c r="Y53" s="1090" t="str">
        <f t="shared" si="6"/>
        <v/>
      </c>
      <c r="Z53" s="618" t="str">
        <f t="shared" si="7"/>
        <v/>
      </c>
      <c r="AA53" s="617"/>
      <c r="AB53" s="617"/>
      <c r="AC53" s="617"/>
      <c r="AD53" s="617"/>
      <c r="AE53" s="617"/>
      <c r="AF53" s="617"/>
      <c r="AG53" s="620"/>
      <c r="AH53" s="727"/>
      <c r="AI53" s="728"/>
      <c r="AJ53" s="728"/>
      <c r="AK53" s="728"/>
      <c r="AL53" s="728"/>
      <c r="AM53" s="728"/>
      <c r="AN53" s="728"/>
      <c r="AO53" s="728"/>
      <c r="AP53" s="728"/>
      <c r="AQ53" s="728"/>
      <c r="AR53" s="728"/>
      <c r="AS53" s="728"/>
      <c r="AT53" s="728"/>
      <c r="AU53" s="728"/>
      <c r="AV53" s="728"/>
      <c r="AW53" s="742"/>
      <c r="AX53" s="747">
        <f t="shared" si="8"/>
        <v>0</v>
      </c>
      <c r="AY53" s="738">
        <f t="shared" si="53"/>
        <v>0</v>
      </c>
      <c r="AZ53" s="729">
        <f t="shared" si="54"/>
        <v>0</v>
      </c>
      <c r="BA53" s="730">
        <f t="shared" si="55"/>
        <v>0</v>
      </c>
      <c r="BB53" s="729">
        <f t="shared" si="56"/>
        <v>0</v>
      </c>
      <c r="BC53" s="729">
        <f t="shared" si="9"/>
        <v>0</v>
      </c>
      <c r="BD53" s="729">
        <f t="shared" si="10"/>
        <v>0</v>
      </c>
      <c r="BE53" s="729">
        <f t="shared" si="11"/>
        <v>0</v>
      </c>
      <c r="BF53" s="729">
        <f t="shared" si="12"/>
        <v>0</v>
      </c>
      <c r="BG53" s="729">
        <f t="shared" si="13"/>
        <v>0</v>
      </c>
      <c r="BH53" s="729">
        <f t="shared" si="14"/>
        <v>0</v>
      </c>
      <c r="BI53" s="729">
        <f t="shared" si="15"/>
        <v>0</v>
      </c>
      <c r="BJ53" s="729">
        <f t="shared" si="16"/>
        <v>0</v>
      </c>
      <c r="BK53" s="729">
        <f t="shared" si="17"/>
        <v>0</v>
      </c>
      <c r="BL53" s="729">
        <f t="shared" si="18"/>
        <v>0</v>
      </c>
      <c r="BM53" s="729">
        <f t="shared" si="19"/>
        <v>0</v>
      </c>
      <c r="BN53" s="729">
        <f t="shared" si="20"/>
        <v>0</v>
      </c>
      <c r="BO53" s="729">
        <f t="shared" si="21"/>
        <v>0</v>
      </c>
      <c r="BP53" s="729">
        <f t="shared" si="22"/>
        <v>0</v>
      </c>
      <c r="BQ53" s="729">
        <f t="shared" si="23"/>
        <v>0</v>
      </c>
      <c r="BR53" s="729">
        <f t="shared" si="24"/>
        <v>0</v>
      </c>
      <c r="BS53" s="729">
        <f t="shared" si="25"/>
        <v>0</v>
      </c>
      <c r="BT53" s="729">
        <f t="shared" si="26"/>
        <v>0</v>
      </c>
      <c r="BU53" s="729">
        <f t="shared" si="27"/>
        <v>0</v>
      </c>
      <c r="BV53" s="729">
        <f t="shared" si="28"/>
        <v>0</v>
      </c>
      <c r="BW53" s="729">
        <f t="shared" si="29"/>
        <v>0</v>
      </c>
      <c r="BX53" s="729">
        <f t="shared" si="30"/>
        <v>0</v>
      </c>
      <c r="BY53" s="729">
        <f t="shared" si="31"/>
        <v>0</v>
      </c>
      <c r="BZ53" s="729">
        <f t="shared" si="32"/>
        <v>0</v>
      </c>
      <c r="CA53" s="729">
        <f t="shared" si="33"/>
        <v>0</v>
      </c>
      <c r="CB53" s="729">
        <f t="shared" si="34"/>
        <v>0</v>
      </c>
      <c r="CC53" s="729">
        <f t="shared" si="35"/>
        <v>0</v>
      </c>
      <c r="CD53" s="729">
        <f t="shared" si="36"/>
        <v>0</v>
      </c>
      <c r="CE53" s="729">
        <f t="shared" si="37"/>
        <v>0</v>
      </c>
      <c r="CF53" s="731">
        <f t="shared" si="38"/>
        <v>0</v>
      </c>
      <c r="CG53" s="692" t="str">
        <f t="shared" si="39"/>
        <v/>
      </c>
      <c r="CH53" s="659" t="str">
        <f t="shared" si="40"/>
        <v/>
      </c>
      <c r="CI53" s="659" t="str">
        <f t="shared" si="41"/>
        <v/>
      </c>
      <c r="CJ53" s="659" t="str">
        <f t="shared" si="42"/>
        <v/>
      </c>
      <c r="CK53" s="659" t="str">
        <f t="shared" si="43"/>
        <v/>
      </c>
      <c r="CL53" s="659" t="str">
        <f t="shared" si="44"/>
        <v/>
      </c>
      <c r="CM53" s="82" t="str">
        <f t="shared" si="45"/>
        <v/>
      </c>
      <c r="CN53" s="625" t="str">
        <f t="shared" si="57"/>
        <v/>
      </c>
      <c r="CO53" s="625" t="str">
        <f t="shared" si="52"/>
        <v>0</v>
      </c>
      <c r="CP53" s="620">
        <f t="shared" si="47"/>
        <v>0</v>
      </c>
      <c r="CQ53" s="1051" t="s">
        <v>38</v>
      </c>
      <c r="CR53" s="1080">
        <v>235050</v>
      </c>
      <c r="CS53" s="625">
        <f t="shared" si="48"/>
        <v>0</v>
      </c>
      <c r="CT53" s="625">
        <f t="shared" si="49"/>
        <v>0</v>
      </c>
      <c r="CU53" s="626" t="str">
        <f t="shared" si="50"/>
        <v>00</v>
      </c>
    </row>
    <row r="54" spans="1:99" ht="15" customHeight="1">
      <c r="A54" s="1094">
        <v>51</v>
      </c>
      <c r="B54" s="1376"/>
      <c r="C54" s="1377"/>
      <c r="D54" s="1068"/>
      <c r="E54" s="1060"/>
      <c r="F54" s="1382"/>
      <c r="G54" s="1200"/>
      <c r="H54" s="1067"/>
      <c r="I54" s="1062"/>
      <c r="J54" s="1063"/>
      <c r="K54" s="1153"/>
      <c r="L54" s="1153"/>
      <c r="M54" s="1183"/>
      <c r="N54" s="1187" t="str">
        <f t="shared" si="5"/>
        <v/>
      </c>
      <c r="O54" s="1190" t="str">
        <f t="shared" si="51"/>
        <v/>
      </c>
      <c r="P54" s="525" t="str">
        <f>IF(O54="","",VLOOKUP(O54,所属コード!$A$2:$E$189,2,FALSE))</f>
        <v/>
      </c>
      <c r="Q54" s="1164" t="str">
        <f>IF(O54="","",VLOOKUP(O54,所属コード!$A$2:$G$189,7,FALSE))</f>
        <v/>
      </c>
      <c r="R54" s="1166"/>
      <c r="S54" s="77"/>
      <c r="T54" s="77"/>
      <c r="U54" s="77"/>
      <c r="V54" s="15"/>
      <c r="X54" s="617"/>
      <c r="Y54" s="1090" t="str">
        <f t="shared" si="6"/>
        <v/>
      </c>
      <c r="Z54" s="618" t="str">
        <f t="shared" si="7"/>
        <v/>
      </c>
      <c r="AA54" s="617"/>
      <c r="AB54" s="617"/>
      <c r="AC54" s="617"/>
      <c r="AD54" s="617"/>
      <c r="AE54" s="617"/>
      <c r="AF54" s="617"/>
      <c r="AG54" s="620"/>
      <c r="AH54" s="727"/>
      <c r="AI54" s="728"/>
      <c r="AJ54" s="728"/>
      <c r="AK54" s="728"/>
      <c r="AL54" s="728"/>
      <c r="AM54" s="728"/>
      <c r="AN54" s="728"/>
      <c r="AO54" s="728"/>
      <c r="AP54" s="728"/>
      <c r="AQ54" s="728"/>
      <c r="AR54" s="728"/>
      <c r="AS54" s="728"/>
      <c r="AT54" s="728"/>
      <c r="AU54" s="728"/>
      <c r="AV54" s="728"/>
      <c r="AW54" s="742"/>
      <c r="AX54" s="747">
        <f t="shared" si="8"/>
        <v>0</v>
      </c>
      <c r="AY54" s="738">
        <f t="shared" si="53"/>
        <v>0</v>
      </c>
      <c r="AZ54" s="729">
        <f t="shared" si="54"/>
        <v>0</v>
      </c>
      <c r="BA54" s="730">
        <f t="shared" si="55"/>
        <v>0</v>
      </c>
      <c r="BB54" s="729">
        <f t="shared" si="56"/>
        <v>0</v>
      </c>
      <c r="BC54" s="729">
        <f t="shared" si="9"/>
        <v>0</v>
      </c>
      <c r="BD54" s="729">
        <f t="shared" si="10"/>
        <v>0</v>
      </c>
      <c r="BE54" s="729">
        <f t="shared" si="11"/>
        <v>0</v>
      </c>
      <c r="BF54" s="729">
        <f t="shared" si="12"/>
        <v>0</v>
      </c>
      <c r="BG54" s="729">
        <f t="shared" si="13"/>
        <v>0</v>
      </c>
      <c r="BH54" s="729">
        <f t="shared" si="14"/>
        <v>0</v>
      </c>
      <c r="BI54" s="729">
        <f t="shared" si="15"/>
        <v>0</v>
      </c>
      <c r="BJ54" s="729">
        <f t="shared" si="16"/>
        <v>0</v>
      </c>
      <c r="BK54" s="729">
        <f t="shared" si="17"/>
        <v>0</v>
      </c>
      <c r="BL54" s="729">
        <f t="shared" si="18"/>
        <v>0</v>
      </c>
      <c r="BM54" s="729">
        <f t="shared" si="19"/>
        <v>0</v>
      </c>
      <c r="BN54" s="729">
        <f t="shared" si="20"/>
        <v>0</v>
      </c>
      <c r="BO54" s="729">
        <f t="shared" si="21"/>
        <v>0</v>
      </c>
      <c r="BP54" s="729">
        <f t="shared" si="22"/>
        <v>0</v>
      </c>
      <c r="BQ54" s="729">
        <f t="shared" si="23"/>
        <v>0</v>
      </c>
      <c r="BR54" s="729">
        <f t="shared" si="24"/>
        <v>0</v>
      </c>
      <c r="BS54" s="729">
        <f t="shared" si="25"/>
        <v>0</v>
      </c>
      <c r="BT54" s="729">
        <f t="shared" si="26"/>
        <v>0</v>
      </c>
      <c r="BU54" s="729">
        <f t="shared" si="27"/>
        <v>0</v>
      </c>
      <c r="BV54" s="729">
        <f t="shared" si="28"/>
        <v>0</v>
      </c>
      <c r="BW54" s="729">
        <f t="shared" si="29"/>
        <v>0</v>
      </c>
      <c r="BX54" s="729">
        <f t="shared" si="30"/>
        <v>0</v>
      </c>
      <c r="BY54" s="729">
        <f t="shared" si="31"/>
        <v>0</v>
      </c>
      <c r="BZ54" s="729">
        <f t="shared" si="32"/>
        <v>0</v>
      </c>
      <c r="CA54" s="729">
        <f t="shared" si="33"/>
        <v>0</v>
      </c>
      <c r="CB54" s="729">
        <f t="shared" si="34"/>
        <v>0</v>
      </c>
      <c r="CC54" s="729">
        <f t="shared" si="35"/>
        <v>0</v>
      </c>
      <c r="CD54" s="729">
        <f t="shared" si="36"/>
        <v>0</v>
      </c>
      <c r="CE54" s="729">
        <f t="shared" si="37"/>
        <v>0</v>
      </c>
      <c r="CF54" s="731">
        <f t="shared" si="38"/>
        <v>0</v>
      </c>
      <c r="CG54" s="692" t="str">
        <f t="shared" si="39"/>
        <v/>
      </c>
      <c r="CH54" s="659" t="str">
        <f t="shared" si="40"/>
        <v/>
      </c>
      <c r="CI54" s="659" t="str">
        <f t="shared" si="41"/>
        <v/>
      </c>
      <c r="CJ54" s="659" t="str">
        <f t="shared" si="42"/>
        <v/>
      </c>
      <c r="CK54" s="659" t="str">
        <f t="shared" si="43"/>
        <v/>
      </c>
      <c r="CL54" s="659" t="str">
        <f t="shared" si="44"/>
        <v/>
      </c>
      <c r="CM54" s="82" t="str">
        <f t="shared" si="45"/>
        <v/>
      </c>
      <c r="CN54" s="625" t="str">
        <f t="shared" si="57"/>
        <v/>
      </c>
      <c r="CO54" s="625" t="str">
        <f t="shared" si="52"/>
        <v>0</v>
      </c>
      <c r="CP54" s="620">
        <f t="shared" si="47"/>
        <v>0</v>
      </c>
      <c r="CQ54" s="1051" t="s">
        <v>283</v>
      </c>
      <c r="CR54" s="1080">
        <v>235051</v>
      </c>
      <c r="CS54" s="625">
        <f t="shared" si="48"/>
        <v>0</v>
      </c>
      <c r="CT54" s="625">
        <f t="shared" si="49"/>
        <v>0</v>
      </c>
      <c r="CU54" s="626" t="str">
        <f t="shared" si="50"/>
        <v>00</v>
      </c>
    </row>
    <row r="55" spans="1:99" ht="15" customHeight="1">
      <c r="A55" s="1094">
        <v>52</v>
      </c>
      <c r="B55" s="1376"/>
      <c r="C55" s="1377"/>
      <c r="D55" s="1068"/>
      <c r="E55" s="1060"/>
      <c r="F55" s="1382"/>
      <c r="G55" s="1200"/>
      <c r="H55" s="1067"/>
      <c r="I55" s="1063"/>
      <c r="J55" s="1062"/>
      <c r="K55" s="1153"/>
      <c r="L55" s="1153"/>
      <c r="M55" s="1183"/>
      <c r="N55" s="1187" t="str">
        <f t="shared" si="5"/>
        <v/>
      </c>
      <c r="O55" s="1190" t="str">
        <f t="shared" si="51"/>
        <v/>
      </c>
      <c r="P55" s="525" t="str">
        <f>IF(O55="","",VLOOKUP(O55,所属コード!$A$2:$E$189,2,FALSE))</f>
        <v/>
      </c>
      <c r="Q55" s="1164" t="str">
        <f>IF(O55="","",VLOOKUP(O55,所属コード!$A$2:$G$189,7,FALSE))</f>
        <v/>
      </c>
      <c r="R55" s="1166"/>
      <c r="S55" s="77"/>
      <c r="T55" s="77"/>
      <c r="U55" s="77"/>
      <c r="V55" s="15"/>
      <c r="X55" s="617"/>
      <c r="Y55" s="1090" t="str">
        <f t="shared" si="6"/>
        <v/>
      </c>
      <c r="Z55" s="618" t="str">
        <f t="shared" si="7"/>
        <v/>
      </c>
      <c r="AA55" s="617"/>
      <c r="AB55" s="617"/>
      <c r="AC55" s="617"/>
      <c r="AD55" s="617"/>
      <c r="AE55" s="617"/>
      <c r="AF55" s="617"/>
      <c r="AG55" s="620"/>
      <c r="AH55" s="727"/>
      <c r="AI55" s="728"/>
      <c r="AJ55" s="728"/>
      <c r="AK55" s="728"/>
      <c r="AL55" s="728"/>
      <c r="AM55" s="728"/>
      <c r="AN55" s="728"/>
      <c r="AO55" s="728"/>
      <c r="AP55" s="728"/>
      <c r="AQ55" s="728"/>
      <c r="AR55" s="728"/>
      <c r="AS55" s="728"/>
      <c r="AT55" s="728"/>
      <c r="AU55" s="728"/>
      <c r="AV55" s="728"/>
      <c r="AW55" s="742"/>
      <c r="AX55" s="747">
        <f t="shared" si="8"/>
        <v>0</v>
      </c>
      <c r="AY55" s="738">
        <f t="shared" si="53"/>
        <v>0</v>
      </c>
      <c r="AZ55" s="729">
        <f t="shared" si="54"/>
        <v>0</v>
      </c>
      <c r="BA55" s="730">
        <f t="shared" si="55"/>
        <v>0</v>
      </c>
      <c r="BB55" s="729">
        <f t="shared" si="56"/>
        <v>0</v>
      </c>
      <c r="BC55" s="729">
        <f t="shared" si="9"/>
        <v>0</v>
      </c>
      <c r="BD55" s="729">
        <f t="shared" si="10"/>
        <v>0</v>
      </c>
      <c r="BE55" s="729">
        <f t="shared" si="11"/>
        <v>0</v>
      </c>
      <c r="BF55" s="729">
        <f t="shared" si="12"/>
        <v>0</v>
      </c>
      <c r="BG55" s="729">
        <f t="shared" si="13"/>
        <v>0</v>
      </c>
      <c r="BH55" s="729">
        <f t="shared" si="14"/>
        <v>0</v>
      </c>
      <c r="BI55" s="729">
        <f t="shared" si="15"/>
        <v>0</v>
      </c>
      <c r="BJ55" s="729">
        <f t="shared" si="16"/>
        <v>0</v>
      </c>
      <c r="BK55" s="729">
        <f t="shared" si="17"/>
        <v>0</v>
      </c>
      <c r="BL55" s="729">
        <f t="shared" si="18"/>
        <v>0</v>
      </c>
      <c r="BM55" s="729">
        <f t="shared" si="19"/>
        <v>0</v>
      </c>
      <c r="BN55" s="729">
        <f t="shared" si="20"/>
        <v>0</v>
      </c>
      <c r="BO55" s="729">
        <f t="shared" si="21"/>
        <v>0</v>
      </c>
      <c r="BP55" s="729">
        <f t="shared" si="22"/>
        <v>0</v>
      </c>
      <c r="BQ55" s="729">
        <f t="shared" si="23"/>
        <v>0</v>
      </c>
      <c r="BR55" s="729">
        <f t="shared" si="24"/>
        <v>0</v>
      </c>
      <c r="BS55" s="729">
        <f t="shared" si="25"/>
        <v>0</v>
      </c>
      <c r="BT55" s="729">
        <f t="shared" si="26"/>
        <v>0</v>
      </c>
      <c r="BU55" s="729">
        <f t="shared" si="27"/>
        <v>0</v>
      </c>
      <c r="BV55" s="729">
        <f t="shared" si="28"/>
        <v>0</v>
      </c>
      <c r="BW55" s="729">
        <f t="shared" si="29"/>
        <v>0</v>
      </c>
      <c r="BX55" s="729">
        <f t="shared" si="30"/>
        <v>0</v>
      </c>
      <c r="BY55" s="729">
        <f t="shared" si="31"/>
        <v>0</v>
      </c>
      <c r="BZ55" s="729">
        <f t="shared" si="32"/>
        <v>0</v>
      </c>
      <c r="CA55" s="729">
        <f t="shared" si="33"/>
        <v>0</v>
      </c>
      <c r="CB55" s="729">
        <f t="shared" si="34"/>
        <v>0</v>
      </c>
      <c r="CC55" s="729">
        <f t="shared" si="35"/>
        <v>0</v>
      </c>
      <c r="CD55" s="729">
        <f t="shared" si="36"/>
        <v>0</v>
      </c>
      <c r="CE55" s="729">
        <f t="shared" si="37"/>
        <v>0</v>
      </c>
      <c r="CF55" s="731">
        <f t="shared" si="38"/>
        <v>0</v>
      </c>
      <c r="CG55" s="692" t="str">
        <f t="shared" si="39"/>
        <v/>
      </c>
      <c r="CH55" s="659" t="str">
        <f t="shared" si="40"/>
        <v/>
      </c>
      <c r="CI55" s="659" t="str">
        <f t="shared" si="41"/>
        <v/>
      </c>
      <c r="CJ55" s="659" t="str">
        <f t="shared" si="42"/>
        <v/>
      </c>
      <c r="CK55" s="659" t="str">
        <f t="shared" si="43"/>
        <v/>
      </c>
      <c r="CL55" s="659" t="str">
        <f t="shared" si="44"/>
        <v/>
      </c>
      <c r="CM55" s="82" t="str">
        <f t="shared" si="45"/>
        <v/>
      </c>
      <c r="CN55" s="625" t="str">
        <f t="shared" si="57"/>
        <v/>
      </c>
      <c r="CO55" s="625" t="str">
        <f t="shared" si="52"/>
        <v>0</v>
      </c>
      <c r="CP55" s="620">
        <f t="shared" si="47"/>
        <v>0</v>
      </c>
      <c r="CQ55" s="1051" t="s">
        <v>64</v>
      </c>
      <c r="CR55" s="1080">
        <v>235052</v>
      </c>
      <c r="CS55" s="625">
        <f t="shared" si="48"/>
        <v>0</v>
      </c>
      <c r="CT55" s="625">
        <f t="shared" si="49"/>
        <v>0</v>
      </c>
      <c r="CU55" s="626" t="str">
        <f t="shared" si="50"/>
        <v>00</v>
      </c>
    </row>
    <row r="56" spans="1:99" ht="15" customHeight="1">
      <c r="A56" s="1094">
        <v>53</v>
      </c>
      <c r="B56" s="1376"/>
      <c r="C56" s="1377"/>
      <c r="D56" s="1068"/>
      <c r="E56" s="1060"/>
      <c r="F56" s="1382"/>
      <c r="G56" s="1200"/>
      <c r="H56" s="1067"/>
      <c r="I56" s="1063"/>
      <c r="J56" s="1062"/>
      <c r="K56" s="1153"/>
      <c r="L56" s="1153"/>
      <c r="M56" s="1183"/>
      <c r="N56" s="1187" t="str">
        <f t="shared" si="5"/>
        <v/>
      </c>
      <c r="O56" s="1190" t="str">
        <f t="shared" si="51"/>
        <v/>
      </c>
      <c r="P56" s="525" t="str">
        <f>IF(O56="","",VLOOKUP(O56,所属コード!$A$2:$E$189,2,FALSE))</f>
        <v/>
      </c>
      <c r="Q56" s="1164" t="str">
        <f>IF(O56="","",VLOOKUP(O56,所属コード!$A$2:$G$189,7,FALSE))</f>
        <v/>
      </c>
      <c r="R56" s="1166"/>
      <c r="S56" s="77"/>
      <c r="T56" s="77"/>
      <c r="U56" s="77"/>
      <c r="V56" s="15"/>
      <c r="X56" s="617"/>
      <c r="Y56" s="1090" t="str">
        <f t="shared" si="6"/>
        <v/>
      </c>
      <c r="Z56" s="618" t="str">
        <f t="shared" si="7"/>
        <v/>
      </c>
      <c r="AA56" s="617"/>
      <c r="AB56" s="617"/>
      <c r="AC56" s="617"/>
      <c r="AD56" s="617"/>
      <c r="AE56" s="617"/>
      <c r="AF56" s="617"/>
      <c r="AG56" s="620"/>
      <c r="AH56" s="727"/>
      <c r="AI56" s="728"/>
      <c r="AJ56" s="728"/>
      <c r="AK56" s="728"/>
      <c r="AL56" s="728"/>
      <c r="AM56" s="728"/>
      <c r="AN56" s="728"/>
      <c r="AO56" s="728"/>
      <c r="AP56" s="728"/>
      <c r="AQ56" s="728"/>
      <c r="AR56" s="728"/>
      <c r="AS56" s="728"/>
      <c r="AT56" s="728"/>
      <c r="AU56" s="728"/>
      <c r="AV56" s="728"/>
      <c r="AW56" s="742"/>
      <c r="AX56" s="747">
        <f t="shared" si="8"/>
        <v>0</v>
      </c>
      <c r="AY56" s="738">
        <f t="shared" si="53"/>
        <v>0</v>
      </c>
      <c r="AZ56" s="729">
        <f t="shared" si="54"/>
        <v>0</v>
      </c>
      <c r="BA56" s="730">
        <f t="shared" si="55"/>
        <v>0</v>
      </c>
      <c r="BB56" s="729">
        <f t="shared" si="56"/>
        <v>0</v>
      </c>
      <c r="BC56" s="729">
        <f t="shared" si="9"/>
        <v>0</v>
      </c>
      <c r="BD56" s="729">
        <f t="shared" si="10"/>
        <v>0</v>
      </c>
      <c r="BE56" s="729">
        <f t="shared" si="11"/>
        <v>0</v>
      </c>
      <c r="BF56" s="729">
        <f t="shared" si="12"/>
        <v>0</v>
      </c>
      <c r="BG56" s="729">
        <f t="shared" si="13"/>
        <v>0</v>
      </c>
      <c r="BH56" s="729">
        <f t="shared" si="14"/>
        <v>0</v>
      </c>
      <c r="BI56" s="729">
        <f t="shared" si="15"/>
        <v>0</v>
      </c>
      <c r="BJ56" s="729">
        <f t="shared" si="16"/>
        <v>0</v>
      </c>
      <c r="BK56" s="729">
        <f t="shared" si="17"/>
        <v>0</v>
      </c>
      <c r="BL56" s="729">
        <f t="shared" si="18"/>
        <v>0</v>
      </c>
      <c r="BM56" s="729">
        <f t="shared" si="19"/>
        <v>0</v>
      </c>
      <c r="BN56" s="729">
        <f t="shared" si="20"/>
        <v>0</v>
      </c>
      <c r="BO56" s="729">
        <f t="shared" si="21"/>
        <v>0</v>
      </c>
      <c r="BP56" s="729">
        <f t="shared" si="22"/>
        <v>0</v>
      </c>
      <c r="BQ56" s="729">
        <f t="shared" si="23"/>
        <v>0</v>
      </c>
      <c r="BR56" s="729">
        <f t="shared" si="24"/>
        <v>0</v>
      </c>
      <c r="BS56" s="729">
        <f t="shared" si="25"/>
        <v>0</v>
      </c>
      <c r="BT56" s="729">
        <f t="shared" si="26"/>
        <v>0</v>
      </c>
      <c r="BU56" s="729">
        <f t="shared" si="27"/>
        <v>0</v>
      </c>
      <c r="BV56" s="729">
        <f t="shared" si="28"/>
        <v>0</v>
      </c>
      <c r="BW56" s="729">
        <f t="shared" si="29"/>
        <v>0</v>
      </c>
      <c r="BX56" s="729">
        <f t="shared" si="30"/>
        <v>0</v>
      </c>
      <c r="BY56" s="729">
        <f t="shared" si="31"/>
        <v>0</v>
      </c>
      <c r="BZ56" s="729">
        <f t="shared" si="32"/>
        <v>0</v>
      </c>
      <c r="CA56" s="729">
        <f t="shared" si="33"/>
        <v>0</v>
      </c>
      <c r="CB56" s="729">
        <f t="shared" si="34"/>
        <v>0</v>
      </c>
      <c r="CC56" s="729">
        <f t="shared" si="35"/>
        <v>0</v>
      </c>
      <c r="CD56" s="729">
        <f t="shared" si="36"/>
        <v>0</v>
      </c>
      <c r="CE56" s="729">
        <f t="shared" si="37"/>
        <v>0</v>
      </c>
      <c r="CF56" s="731">
        <f t="shared" si="38"/>
        <v>0</v>
      </c>
      <c r="CG56" s="692" t="str">
        <f t="shared" si="39"/>
        <v/>
      </c>
      <c r="CH56" s="659" t="str">
        <f t="shared" si="40"/>
        <v/>
      </c>
      <c r="CI56" s="659" t="str">
        <f t="shared" si="41"/>
        <v/>
      </c>
      <c r="CJ56" s="659" t="str">
        <f t="shared" si="42"/>
        <v/>
      </c>
      <c r="CK56" s="659" t="str">
        <f t="shared" si="43"/>
        <v/>
      </c>
      <c r="CL56" s="659" t="str">
        <f t="shared" si="44"/>
        <v/>
      </c>
      <c r="CM56" s="82" t="str">
        <f t="shared" si="45"/>
        <v/>
      </c>
      <c r="CN56" s="625" t="str">
        <f t="shared" si="57"/>
        <v/>
      </c>
      <c r="CO56" s="625" t="str">
        <f t="shared" si="52"/>
        <v>0</v>
      </c>
      <c r="CP56" s="620">
        <f t="shared" si="47"/>
        <v>0</v>
      </c>
      <c r="CQ56" s="1051" t="s">
        <v>65</v>
      </c>
      <c r="CR56" s="1080">
        <v>235053</v>
      </c>
      <c r="CS56" s="625">
        <f t="shared" si="48"/>
        <v>0</v>
      </c>
      <c r="CT56" s="625">
        <f t="shared" si="49"/>
        <v>0</v>
      </c>
      <c r="CU56" s="626" t="str">
        <f t="shared" si="50"/>
        <v>00</v>
      </c>
    </row>
    <row r="57" spans="1:99" ht="15" customHeight="1">
      <c r="A57" s="1094">
        <v>54</v>
      </c>
      <c r="B57" s="1376"/>
      <c r="C57" s="1377"/>
      <c r="D57" s="1068"/>
      <c r="E57" s="1060"/>
      <c r="F57" s="1382"/>
      <c r="G57" s="1200"/>
      <c r="H57" s="1067"/>
      <c r="I57" s="1063"/>
      <c r="J57" s="1062"/>
      <c r="K57" s="1153"/>
      <c r="L57" s="1153"/>
      <c r="M57" s="1183"/>
      <c r="N57" s="1187" t="str">
        <f t="shared" si="5"/>
        <v/>
      </c>
      <c r="O57" s="1190" t="str">
        <f t="shared" si="51"/>
        <v/>
      </c>
      <c r="P57" s="525" t="str">
        <f>IF(O57="","",VLOOKUP(O57,所属コード!$A$2:$E$189,2,FALSE))</f>
        <v/>
      </c>
      <c r="Q57" s="1164" t="str">
        <f>IF(O57="","",VLOOKUP(O57,所属コード!$A$2:$G$189,7,FALSE))</f>
        <v/>
      </c>
      <c r="R57" s="1166"/>
      <c r="S57" s="77"/>
      <c r="T57" s="77"/>
      <c r="U57" s="77"/>
      <c r="V57" s="15"/>
      <c r="X57" s="617"/>
      <c r="Y57" s="1090" t="str">
        <f t="shared" si="6"/>
        <v/>
      </c>
      <c r="Z57" s="618" t="str">
        <f t="shared" si="7"/>
        <v/>
      </c>
      <c r="AA57" s="617"/>
      <c r="AB57" s="617"/>
      <c r="AC57" s="617"/>
      <c r="AD57" s="617"/>
      <c r="AE57" s="617"/>
      <c r="AF57" s="617"/>
      <c r="AG57" s="620"/>
      <c r="AH57" s="727"/>
      <c r="AI57" s="728"/>
      <c r="AJ57" s="728"/>
      <c r="AK57" s="728"/>
      <c r="AL57" s="728"/>
      <c r="AM57" s="728"/>
      <c r="AN57" s="728"/>
      <c r="AO57" s="728"/>
      <c r="AP57" s="728"/>
      <c r="AQ57" s="728"/>
      <c r="AR57" s="728"/>
      <c r="AS57" s="728"/>
      <c r="AT57" s="728"/>
      <c r="AU57" s="728"/>
      <c r="AV57" s="728"/>
      <c r="AW57" s="742"/>
      <c r="AX57" s="747">
        <f t="shared" si="8"/>
        <v>0</v>
      </c>
      <c r="AY57" s="738">
        <f t="shared" si="53"/>
        <v>0</v>
      </c>
      <c r="AZ57" s="729">
        <f t="shared" si="54"/>
        <v>0</v>
      </c>
      <c r="BA57" s="730">
        <f t="shared" si="55"/>
        <v>0</v>
      </c>
      <c r="BB57" s="729">
        <f t="shared" si="56"/>
        <v>0</v>
      </c>
      <c r="BC57" s="729">
        <f t="shared" si="9"/>
        <v>0</v>
      </c>
      <c r="BD57" s="729">
        <f t="shared" si="10"/>
        <v>0</v>
      </c>
      <c r="BE57" s="729">
        <f t="shared" si="11"/>
        <v>0</v>
      </c>
      <c r="BF57" s="729">
        <f t="shared" si="12"/>
        <v>0</v>
      </c>
      <c r="BG57" s="729">
        <f t="shared" si="13"/>
        <v>0</v>
      </c>
      <c r="BH57" s="729">
        <f t="shared" si="14"/>
        <v>0</v>
      </c>
      <c r="BI57" s="729">
        <f t="shared" si="15"/>
        <v>0</v>
      </c>
      <c r="BJ57" s="729">
        <f t="shared" si="16"/>
        <v>0</v>
      </c>
      <c r="BK57" s="729">
        <f t="shared" si="17"/>
        <v>0</v>
      </c>
      <c r="BL57" s="729">
        <f t="shared" si="18"/>
        <v>0</v>
      </c>
      <c r="BM57" s="729">
        <f t="shared" si="19"/>
        <v>0</v>
      </c>
      <c r="BN57" s="729">
        <f t="shared" si="20"/>
        <v>0</v>
      </c>
      <c r="BO57" s="729">
        <f t="shared" si="21"/>
        <v>0</v>
      </c>
      <c r="BP57" s="729">
        <f t="shared" si="22"/>
        <v>0</v>
      </c>
      <c r="BQ57" s="729">
        <f t="shared" si="23"/>
        <v>0</v>
      </c>
      <c r="BR57" s="729">
        <f t="shared" si="24"/>
        <v>0</v>
      </c>
      <c r="BS57" s="729">
        <f t="shared" si="25"/>
        <v>0</v>
      </c>
      <c r="BT57" s="729">
        <f t="shared" si="26"/>
        <v>0</v>
      </c>
      <c r="BU57" s="729">
        <f t="shared" si="27"/>
        <v>0</v>
      </c>
      <c r="BV57" s="729">
        <f t="shared" si="28"/>
        <v>0</v>
      </c>
      <c r="BW57" s="729">
        <f t="shared" si="29"/>
        <v>0</v>
      </c>
      <c r="BX57" s="729">
        <f t="shared" si="30"/>
        <v>0</v>
      </c>
      <c r="BY57" s="729">
        <f t="shared" si="31"/>
        <v>0</v>
      </c>
      <c r="BZ57" s="729">
        <f t="shared" si="32"/>
        <v>0</v>
      </c>
      <c r="CA57" s="729">
        <f t="shared" si="33"/>
        <v>0</v>
      </c>
      <c r="CB57" s="729">
        <f t="shared" si="34"/>
        <v>0</v>
      </c>
      <c r="CC57" s="729">
        <f t="shared" si="35"/>
        <v>0</v>
      </c>
      <c r="CD57" s="729">
        <f t="shared" si="36"/>
        <v>0</v>
      </c>
      <c r="CE57" s="729">
        <f t="shared" si="37"/>
        <v>0</v>
      </c>
      <c r="CF57" s="731">
        <f t="shared" si="38"/>
        <v>0</v>
      </c>
      <c r="CG57" s="692" t="str">
        <f t="shared" si="39"/>
        <v/>
      </c>
      <c r="CH57" s="659" t="str">
        <f t="shared" si="40"/>
        <v/>
      </c>
      <c r="CI57" s="659" t="str">
        <f t="shared" si="41"/>
        <v/>
      </c>
      <c r="CJ57" s="659" t="str">
        <f t="shared" si="42"/>
        <v/>
      </c>
      <c r="CK57" s="659" t="str">
        <f t="shared" si="43"/>
        <v/>
      </c>
      <c r="CL57" s="659" t="str">
        <f t="shared" si="44"/>
        <v/>
      </c>
      <c r="CM57" s="82" t="str">
        <f t="shared" si="45"/>
        <v/>
      </c>
      <c r="CN57" s="625" t="str">
        <f t="shared" si="57"/>
        <v/>
      </c>
      <c r="CO57" s="625" t="str">
        <f t="shared" si="52"/>
        <v>0</v>
      </c>
      <c r="CP57" s="620">
        <f t="shared" si="47"/>
        <v>0</v>
      </c>
      <c r="CQ57" s="1051" t="s">
        <v>146</v>
      </c>
      <c r="CR57" s="1080">
        <v>235054</v>
      </c>
      <c r="CS57" s="625">
        <f t="shared" si="48"/>
        <v>0</v>
      </c>
      <c r="CT57" s="625">
        <f t="shared" si="49"/>
        <v>0</v>
      </c>
      <c r="CU57" s="626" t="str">
        <f t="shared" si="50"/>
        <v>00</v>
      </c>
    </row>
    <row r="58" spans="1:99" ht="15" customHeight="1">
      <c r="A58" s="1094">
        <v>55</v>
      </c>
      <c r="B58" s="1376"/>
      <c r="C58" s="1377"/>
      <c r="D58" s="1068"/>
      <c r="E58" s="1060"/>
      <c r="F58" s="1382"/>
      <c r="G58" s="1200"/>
      <c r="H58" s="1067"/>
      <c r="I58" s="1063"/>
      <c r="J58" s="1062"/>
      <c r="K58" s="1153"/>
      <c r="L58" s="1153"/>
      <c r="M58" s="1183"/>
      <c r="N58" s="1187" t="str">
        <f t="shared" si="5"/>
        <v/>
      </c>
      <c r="O58" s="1190" t="str">
        <f t="shared" si="51"/>
        <v/>
      </c>
      <c r="P58" s="525" t="str">
        <f>IF(O58="","",VLOOKUP(O58,所属コード!$A$2:$E$189,2,FALSE))</f>
        <v/>
      </c>
      <c r="Q58" s="1164" t="str">
        <f>IF(O58="","",VLOOKUP(O58,所属コード!$A$2:$G$189,7,FALSE))</f>
        <v/>
      </c>
      <c r="R58" s="1166"/>
      <c r="S58" s="77"/>
      <c r="T58" s="77"/>
      <c r="U58" s="77"/>
      <c r="V58" s="15"/>
      <c r="X58" s="617"/>
      <c r="Y58" s="1090" t="str">
        <f t="shared" si="6"/>
        <v/>
      </c>
      <c r="Z58" s="618" t="str">
        <f t="shared" si="7"/>
        <v/>
      </c>
      <c r="AA58" s="617"/>
      <c r="AB58" s="617"/>
      <c r="AC58" s="617"/>
      <c r="AD58" s="617"/>
      <c r="AE58" s="617"/>
      <c r="AF58" s="617"/>
      <c r="AG58" s="620"/>
      <c r="AH58" s="727"/>
      <c r="AI58" s="728"/>
      <c r="AJ58" s="728"/>
      <c r="AK58" s="728"/>
      <c r="AL58" s="728"/>
      <c r="AM58" s="728"/>
      <c r="AN58" s="728"/>
      <c r="AO58" s="728"/>
      <c r="AP58" s="728"/>
      <c r="AQ58" s="728"/>
      <c r="AR58" s="728"/>
      <c r="AS58" s="728"/>
      <c r="AT58" s="728"/>
      <c r="AU58" s="728"/>
      <c r="AV58" s="728"/>
      <c r="AW58" s="742"/>
      <c r="AX58" s="747">
        <f t="shared" si="8"/>
        <v>0</v>
      </c>
      <c r="AY58" s="738">
        <f t="shared" si="53"/>
        <v>0</v>
      </c>
      <c r="AZ58" s="729">
        <f t="shared" si="54"/>
        <v>0</v>
      </c>
      <c r="BA58" s="730">
        <f t="shared" si="55"/>
        <v>0</v>
      </c>
      <c r="BB58" s="729">
        <f t="shared" si="56"/>
        <v>0</v>
      </c>
      <c r="BC58" s="729">
        <f t="shared" si="9"/>
        <v>0</v>
      </c>
      <c r="BD58" s="729">
        <f t="shared" si="10"/>
        <v>0</v>
      </c>
      <c r="BE58" s="729">
        <f t="shared" si="11"/>
        <v>0</v>
      </c>
      <c r="BF58" s="729">
        <f t="shared" si="12"/>
        <v>0</v>
      </c>
      <c r="BG58" s="729">
        <f t="shared" si="13"/>
        <v>0</v>
      </c>
      <c r="BH58" s="729">
        <f t="shared" si="14"/>
        <v>0</v>
      </c>
      <c r="BI58" s="729">
        <f t="shared" si="15"/>
        <v>0</v>
      </c>
      <c r="BJ58" s="729">
        <f t="shared" si="16"/>
        <v>0</v>
      </c>
      <c r="BK58" s="729">
        <f t="shared" si="17"/>
        <v>0</v>
      </c>
      <c r="BL58" s="729">
        <f t="shared" si="18"/>
        <v>0</v>
      </c>
      <c r="BM58" s="729">
        <f t="shared" si="19"/>
        <v>0</v>
      </c>
      <c r="BN58" s="729">
        <f t="shared" si="20"/>
        <v>0</v>
      </c>
      <c r="BO58" s="729">
        <f t="shared" si="21"/>
        <v>0</v>
      </c>
      <c r="BP58" s="729">
        <f t="shared" si="22"/>
        <v>0</v>
      </c>
      <c r="BQ58" s="729">
        <f t="shared" si="23"/>
        <v>0</v>
      </c>
      <c r="BR58" s="729">
        <f t="shared" si="24"/>
        <v>0</v>
      </c>
      <c r="BS58" s="729">
        <f t="shared" si="25"/>
        <v>0</v>
      </c>
      <c r="BT58" s="729">
        <f t="shared" si="26"/>
        <v>0</v>
      </c>
      <c r="BU58" s="729">
        <f t="shared" si="27"/>
        <v>0</v>
      </c>
      <c r="BV58" s="729">
        <f t="shared" si="28"/>
        <v>0</v>
      </c>
      <c r="BW58" s="729">
        <f t="shared" si="29"/>
        <v>0</v>
      </c>
      <c r="BX58" s="729">
        <f t="shared" si="30"/>
        <v>0</v>
      </c>
      <c r="BY58" s="729">
        <f t="shared" si="31"/>
        <v>0</v>
      </c>
      <c r="BZ58" s="729">
        <f t="shared" si="32"/>
        <v>0</v>
      </c>
      <c r="CA58" s="729">
        <f t="shared" si="33"/>
        <v>0</v>
      </c>
      <c r="CB58" s="729">
        <f t="shared" si="34"/>
        <v>0</v>
      </c>
      <c r="CC58" s="729">
        <f t="shared" si="35"/>
        <v>0</v>
      </c>
      <c r="CD58" s="729">
        <f t="shared" si="36"/>
        <v>0</v>
      </c>
      <c r="CE58" s="729">
        <f t="shared" si="37"/>
        <v>0</v>
      </c>
      <c r="CF58" s="731">
        <f t="shared" si="38"/>
        <v>0</v>
      </c>
      <c r="CG58" s="692" t="str">
        <f t="shared" si="39"/>
        <v/>
      </c>
      <c r="CH58" s="659" t="str">
        <f t="shared" si="40"/>
        <v/>
      </c>
      <c r="CI58" s="659" t="str">
        <f t="shared" si="41"/>
        <v/>
      </c>
      <c r="CJ58" s="659" t="str">
        <f t="shared" si="42"/>
        <v/>
      </c>
      <c r="CK58" s="659" t="str">
        <f t="shared" si="43"/>
        <v/>
      </c>
      <c r="CL58" s="659" t="str">
        <f t="shared" si="44"/>
        <v/>
      </c>
      <c r="CM58" s="82" t="str">
        <f t="shared" si="45"/>
        <v/>
      </c>
      <c r="CN58" s="625" t="str">
        <f t="shared" si="57"/>
        <v/>
      </c>
      <c r="CO58" s="625" t="str">
        <f t="shared" si="52"/>
        <v>0</v>
      </c>
      <c r="CP58" s="620">
        <f t="shared" si="47"/>
        <v>0</v>
      </c>
      <c r="CQ58" s="1051" t="s">
        <v>66</v>
      </c>
      <c r="CR58" s="1080">
        <v>235055</v>
      </c>
      <c r="CS58" s="625">
        <f t="shared" si="48"/>
        <v>0</v>
      </c>
      <c r="CT58" s="625">
        <f t="shared" si="49"/>
        <v>0</v>
      </c>
      <c r="CU58" s="626" t="str">
        <f t="shared" si="50"/>
        <v>00</v>
      </c>
    </row>
    <row r="59" spans="1:99" ht="15" customHeight="1">
      <c r="A59" s="1094">
        <v>56</v>
      </c>
      <c r="B59" s="1376"/>
      <c r="C59" s="1377"/>
      <c r="D59" s="1068"/>
      <c r="E59" s="1060"/>
      <c r="F59" s="1382"/>
      <c r="G59" s="1200"/>
      <c r="H59" s="1067"/>
      <c r="I59" s="1063"/>
      <c r="J59" s="1062"/>
      <c r="K59" s="1153"/>
      <c r="L59" s="1153"/>
      <c r="M59" s="1183"/>
      <c r="N59" s="1187" t="str">
        <f t="shared" si="5"/>
        <v/>
      </c>
      <c r="O59" s="1190" t="str">
        <f t="shared" si="51"/>
        <v/>
      </c>
      <c r="P59" s="525" t="str">
        <f>IF(O59="","",VLOOKUP(O59,所属コード!$A$2:$E$189,2,FALSE))</f>
        <v/>
      </c>
      <c r="Q59" s="1164" t="str">
        <f>IF(O59="","",VLOOKUP(O59,所属コード!$A$2:$G$189,7,FALSE))</f>
        <v/>
      </c>
      <c r="R59" s="1166"/>
      <c r="S59" s="77"/>
      <c r="T59" s="77"/>
      <c r="U59" s="77"/>
      <c r="V59" s="15"/>
      <c r="X59" s="617"/>
      <c r="Y59" s="1090" t="str">
        <f t="shared" si="6"/>
        <v/>
      </c>
      <c r="Z59" s="618" t="str">
        <f t="shared" si="7"/>
        <v/>
      </c>
      <c r="AA59" s="617"/>
      <c r="AB59" s="617"/>
      <c r="AC59" s="617"/>
      <c r="AD59" s="617"/>
      <c r="AE59" s="617"/>
      <c r="AF59" s="617"/>
      <c r="AG59" s="620"/>
      <c r="AH59" s="727"/>
      <c r="AI59" s="728"/>
      <c r="AJ59" s="728"/>
      <c r="AK59" s="728"/>
      <c r="AL59" s="728"/>
      <c r="AM59" s="728"/>
      <c r="AN59" s="728"/>
      <c r="AO59" s="728"/>
      <c r="AP59" s="728"/>
      <c r="AQ59" s="728"/>
      <c r="AR59" s="728"/>
      <c r="AS59" s="728"/>
      <c r="AT59" s="728"/>
      <c r="AU59" s="728"/>
      <c r="AV59" s="728"/>
      <c r="AW59" s="742"/>
      <c r="AX59" s="747">
        <f t="shared" si="8"/>
        <v>0</v>
      </c>
      <c r="AY59" s="738">
        <f t="shared" si="53"/>
        <v>0</v>
      </c>
      <c r="AZ59" s="729">
        <f t="shared" si="54"/>
        <v>0</v>
      </c>
      <c r="BA59" s="730">
        <f t="shared" si="55"/>
        <v>0</v>
      </c>
      <c r="BB59" s="729">
        <f t="shared" si="56"/>
        <v>0</v>
      </c>
      <c r="BC59" s="729">
        <f t="shared" si="9"/>
        <v>0</v>
      </c>
      <c r="BD59" s="729">
        <f t="shared" si="10"/>
        <v>0</v>
      </c>
      <c r="BE59" s="729">
        <f t="shared" si="11"/>
        <v>0</v>
      </c>
      <c r="BF59" s="729">
        <f t="shared" si="12"/>
        <v>0</v>
      </c>
      <c r="BG59" s="729">
        <f t="shared" si="13"/>
        <v>0</v>
      </c>
      <c r="BH59" s="729">
        <f t="shared" si="14"/>
        <v>0</v>
      </c>
      <c r="BI59" s="729">
        <f t="shared" si="15"/>
        <v>0</v>
      </c>
      <c r="BJ59" s="729">
        <f t="shared" si="16"/>
        <v>0</v>
      </c>
      <c r="BK59" s="729">
        <f t="shared" si="17"/>
        <v>0</v>
      </c>
      <c r="BL59" s="729">
        <f t="shared" si="18"/>
        <v>0</v>
      </c>
      <c r="BM59" s="729">
        <f t="shared" si="19"/>
        <v>0</v>
      </c>
      <c r="BN59" s="729">
        <f t="shared" si="20"/>
        <v>0</v>
      </c>
      <c r="BO59" s="729">
        <f t="shared" si="21"/>
        <v>0</v>
      </c>
      <c r="BP59" s="729">
        <f t="shared" si="22"/>
        <v>0</v>
      </c>
      <c r="BQ59" s="729">
        <f t="shared" si="23"/>
        <v>0</v>
      </c>
      <c r="BR59" s="729">
        <f t="shared" si="24"/>
        <v>0</v>
      </c>
      <c r="BS59" s="729">
        <f t="shared" si="25"/>
        <v>0</v>
      </c>
      <c r="BT59" s="729">
        <f t="shared" si="26"/>
        <v>0</v>
      </c>
      <c r="BU59" s="729">
        <f t="shared" si="27"/>
        <v>0</v>
      </c>
      <c r="BV59" s="729">
        <f t="shared" si="28"/>
        <v>0</v>
      </c>
      <c r="BW59" s="729">
        <f t="shared" si="29"/>
        <v>0</v>
      </c>
      <c r="BX59" s="729">
        <f t="shared" si="30"/>
        <v>0</v>
      </c>
      <c r="BY59" s="729">
        <f t="shared" si="31"/>
        <v>0</v>
      </c>
      <c r="BZ59" s="729">
        <f t="shared" si="32"/>
        <v>0</v>
      </c>
      <c r="CA59" s="729">
        <f t="shared" si="33"/>
        <v>0</v>
      </c>
      <c r="CB59" s="729">
        <f t="shared" si="34"/>
        <v>0</v>
      </c>
      <c r="CC59" s="729">
        <f t="shared" si="35"/>
        <v>0</v>
      </c>
      <c r="CD59" s="729">
        <f t="shared" si="36"/>
        <v>0</v>
      </c>
      <c r="CE59" s="729">
        <f t="shared" si="37"/>
        <v>0</v>
      </c>
      <c r="CF59" s="731">
        <f t="shared" si="38"/>
        <v>0</v>
      </c>
      <c r="CG59" s="692" t="str">
        <f t="shared" si="39"/>
        <v/>
      </c>
      <c r="CH59" s="659" t="str">
        <f t="shared" si="40"/>
        <v/>
      </c>
      <c r="CI59" s="659" t="str">
        <f t="shared" si="41"/>
        <v/>
      </c>
      <c r="CJ59" s="659" t="str">
        <f t="shared" si="42"/>
        <v/>
      </c>
      <c r="CK59" s="659" t="str">
        <f t="shared" si="43"/>
        <v/>
      </c>
      <c r="CL59" s="659" t="str">
        <f t="shared" si="44"/>
        <v/>
      </c>
      <c r="CM59" s="82" t="str">
        <f t="shared" si="45"/>
        <v/>
      </c>
      <c r="CN59" s="625" t="str">
        <f t="shared" si="57"/>
        <v/>
      </c>
      <c r="CO59" s="625" t="str">
        <f t="shared" si="52"/>
        <v>0</v>
      </c>
      <c r="CP59" s="620">
        <f t="shared" si="47"/>
        <v>0</v>
      </c>
      <c r="CQ59" s="1051" t="s">
        <v>170</v>
      </c>
      <c r="CR59" s="1080">
        <v>235056</v>
      </c>
      <c r="CS59" s="625">
        <f t="shared" si="48"/>
        <v>0</v>
      </c>
      <c r="CT59" s="625">
        <f t="shared" si="49"/>
        <v>0</v>
      </c>
      <c r="CU59" s="626" t="str">
        <f t="shared" si="50"/>
        <v>00</v>
      </c>
    </row>
    <row r="60" spans="1:99" ht="15" customHeight="1">
      <c r="A60" s="1094">
        <v>57</v>
      </c>
      <c r="B60" s="1376"/>
      <c r="C60" s="1377"/>
      <c r="D60" s="1068"/>
      <c r="E60" s="1060"/>
      <c r="F60" s="1382"/>
      <c r="G60" s="1200"/>
      <c r="H60" s="1067"/>
      <c r="I60" s="1063"/>
      <c r="J60" s="1062"/>
      <c r="K60" s="1153"/>
      <c r="L60" s="1153"/>
      <c r="M60" s="1183"/>
      <c r="N60" s="1187" t="str">
        <f t="shared" si="5"/>
        <v/>
      </c>
      <c r="O60" s="1190" t="str">
        <f t="shared" si="51"/>
        <v/>
      </c>
      <c r="P60" s="525" t="str">
        <f>IF(O60="","",VLOOKUP(O60,所属コード!$A$2:$E$189,2,FALSE))</f>
        <v/>
      </c>
      <c r="Q60" s="1164" t="str">
        <f>IF(O60="","",VLOOKUP(O60,所属コード!$A$2:$G$189,7,FALSE))</f>
        <v/>
      </c>
      <c r="R60" s="1166"/>
      <c r="S60" s="77"/>
      <c r="T60" s="77"/>
      <c r="U60" s="77"/>
      <c r="V60" s="15"/>
      <c r="X60" s="617"/>
      <c r="Y60" s="1090" t="str">
        <f t="shared" si="6"/>
        <v/>
      </c>
      <c r="Z60" s="618" t="str">
        <f t="shared" si="7"/>
        <v/>
      </c>
      <c r="AA60" s="617"/>
      <c r="AB60" s="617"/>
      <c r="AC60" s="617"/>
      <c r="AD60" s="617"/>
      <c r="AE60" s="617"/>
      <c r="AF60" s="617"/>
      <c r="AG60" s="620"/>
      <c r="AH60" s="727"/>
      <c r="AI60" s="728"/>
      <c r="AJ60" s="728"/>
      <c r="AK60" s="728"/>
      <c r="AL60" s="728"/>
      <c r="AM60" s="728"/>
      <c r="AN60" s="728"/>
      <c r="AO60" s="728"/>
      <c r="AP60" s="728"/>
      <c r="AQ60" s="728"/>
      <c r="AR60" s="728"/>
      <c r="AS60" s="728"/>
      <c r="AT60" s="728"/>
      <c r="AU60" s="728"/>
      <c r="AV60" s="728"/>
      <c r="AW60" s="742"/>
      <c r="AX60" s="747">
        <f t="shared" si="8"/>
        <v>0</v>
      </c>
      <c r="AY60" s="738">
        <f t="shared" si="53"/>
        <v>0</v>
      </c>
      <c r="AZ60" s="729">
        <f t="shared" si="54"/>
        <v>0</v>
      </c>
      <c r="BA60" s="730">
        <f t="shared" si="55"/>
        <v>0</v>
      </c>
      <c r="BB60" s="729">
        <f t="shared" si="56"/>
        <v>0</v>
      </c>
      <c r="BC60" s="729">
        <f t="shared" si="9"/>
        <v>0</v>
      </c>
      <c r="BD60" s="729">
        <f t="shared" si="10"/>
        <v>0</v>
      </c>
      <c r="BE60" s="729">
        <f t="shared" si="11"/>
        <v>0</v>
      </c>
      <c r="BF60" s="729">
        <f t="shared" si="12"/>
        <v>0</v>
      </c>
      <c r="BG60" s="729">
        <f t="shared" si="13"/>
        <v>0</v>
      </c>
      <c r="BH60" s="729">
        <f t="shared" si="14"/>
        <v>0</v>
      </c>
      <c r="BI60" s="729">
        <f t="shared" si="15"/>
        <v>0</v>
      </c>
      <c r="BJ60" s="729">
        <f t="shared" si="16"/>
        <v>0</v>
      </c>
      <c r="BK60" s="729">
        <f t="shared" si="17"/>
        <v>0</v>
      </c>
      <c r="BL60" s="729">
        <f t="shared" si="18"/>
        <v>0</v>
      </c>
      <c r="BM60" s="729">
        <f t="shared" si="19"/>
        <v>0</v>
      </c>
      <c r="BN60" s="729">
        <f t="shared" si="20"/>
        <v>0</v>
      </c>
      <c r="BO60" s="729">
        <f t="shared" si="21"/>
        <v>0</v>
      </c>
      <c r="BP60" s="729">
        <f t="shared" si="22"/>
        <v>0</v>
      </c>
      <c r="BQ60" s="729">
        <f t="shared" si="23"/>
        <v>0</v>
      </c>
      <c r="BR60" s="729">
        <f t="shared" si="24"/>
        <v>0</v>
      </c>
      <c r="BS60" s="729">
        <f t="shared" si="25"/>
        <v>0</v>
      </c>
      <c r="BT60" s="729">
        <f t="shared" si="26"/>
        <v>0</v>
      </c>
      <c r="BU60" s="729">
        <f t="shared" si="27"/>
        <v>0</v>
      </c>
      <c r="BV60" s="729">
        <f t="shared" si="28"/>
        <v>0</v>
      </c>
      <c r="BW60" s="729">
        <f t="shared" si="29"/>
        <v>0</v>
      </c>
      <c r="BX60" s="729">
        <f t="shared" si="30"/>
        <v>0</v>
      </c>
      <c r="BY60" s="729">
        <f t="shared" si="31"/>
        <v>0</v>
      </c>
      <c r="BZ60" s="729">
        <f t="shared" si="32"/>
        <v>0</v>
      </c>
      <c r="CA60" s="729">
        <f t="shared" si="33"/>
        <v>0</v>
      </c>
      <c r="CB60" s="729">
        <f t="shared" si="34"/>
        <v>0</v>
      </c>
      <c r="CC60" s="729">
        <f t="shared" si="35"/>
        <v>0</v>
      </c>
      <c r="CD60" s="729">
        <f t="shared" si="36"/>
        <v>0</v>
      </c>
      <c r="CE60" s="729">
        <f t="shared" si="37"/>
        <v>0</v>
      </c>
      <c r="CF60" s="731">
        <f t="shared" si="38"/>
        <v>0</v>
      </c>
      <c r="CG60" s="692" t="str">
        <f t="shared" si="39"/>
        <v/>
      </c>
      <c r="CH60" s="659" t="str">
        <f t="shared" si="40"/>
        <v/>
      </c>
      <c r="CI60" s="659" t="str">
        <f t="shared" si="41"/>
        <v/>
      </c>
      <c r="CJ60" s="659" t="str">
        <f t="shared" si="42"/>
        <v/>
      </c>
      <c r="CK60" s="659" t="str">
        <f t="shared" si="43"/>
        <v/>
      </c>
      <c r="CL60" s="659" t="str">
        <f t="shared" si="44"/>
        <v/>
      </c>
      <c r="CM60" s="82" t="str">
        <f t="shared" si="45"/>
        <v/>
      </c>
      <c r="CN60" s="625" t="str">
        <f t="shared" si="57"/>
        <v/>
      </c>
      <c r="CO60" s="625" t="str">
        <f t="shared" si="52"/>
        <v>0</v>
      </c>
      <c r="CP60" s="620">
        <f t="shared" si="47"/>
        <v>0</v>
      </c>
      <c r="CQ60" s="1051" t="s">
        <v>284</v>
      </c>
      <c r="CR60" s="1080">
        <v>235057</v>
      </c>
      <c r="CS60" s="625">
        <f t="shared" si="48"/>
        <v>0</v>
      </c>
      <c r="CT60" s="625">
        <f t="shared" si="49"/>
        <v>0</v>
      </c>
      <c r="CU60" s="626" t="str">
        <f t="shared" si="50"/>
        <v>00</v>
      </c>
    </row>
    <row r="61" spans="1:99" ht="15" customHeight="1">
      <c r="A61" s="1094">
        <v>58</v>
      </c>
      <c r="B61" s="1376"/>
      <c r="C61" s="1377"/>
      <c r="D61" s="1068"/>
      <c r="E61" s="1060"/>
      <c r="F61" s="1382"/>
      <c r="G61" s="1200"/>
      <c r="H61" s="1067"/>
      <c r="I61" s="1063"/>
      <c r="J61" s="1062"/>
      <c r="K61" s="1153"/>
      <c r="L61" s="1153"/>
      <c r="M61" s="1183"/>
      <c r="N61" s="1187" t="str">
        <f t="shared" si="5"/>
        <v/>
      </c>
      <c r="O61" s="1190" t="str">
        <f t="shared" si="51"/>
        <v/>
      </c>
      <c r="P61" s="525" t="str">
        <f>IF(O61="","",VLOOKUP(O61,所属コード!$A$2:$E$189,2,FALSE))</f>
        <v/>
      </c>
      <c r="Q61" s="1164" t="str">
        <f>IF(O61="","",VLOOKUP(O61,所属コード!$A$2:$G$189,7,FALSE))</f>
        <v/>
      </c>
      <c r="R61" s="1166"/>
      <c r="S61" s="77"/>
      <c r="T61" s="77"/>
      <c r="U61" s="77"/>
      <c r="V61" s="15"/>
      <c r="X61" s="617"/>
      <c r="Y61" s="1090" t="str">
        <f t="shared" si="6"/>
        <v/>
      </c>
      <c r="Z61" s="618" t="str">
        <f t="shared" si="7"/>
        <v/>
      </c>
      <c r="AA61" s="617"/>
      <c r="AB61" s="617"/>
      <c r="AC61" s="617"/>
      <c r="AD61" s="617"/>
      <c r="AE61" s="617"/>
      <c r="AF61" s="617"/>
      <c r="AG61" s="620"/>
      <c r="AH61" s="727"/>
      <c r="AI61" s="728"/>
      <c r="AJ61" s="728"/>
      <c r="AK61" s="728"/>
      <c r="AL61" s="728"/>
      <c r="AM61" s="728"/>
      <c r="AN61" s="728"/>
      <c r="AO61" s="728"/>
      <c r="AP61" s="728"/>
      <c r="AQ61" s="728"/>
      <c r="AR61" s="728"/>
      <c r="AS61" s="728"/>
      <c r="AT61" s="728"/>
      <c r="AU61" s="728"/>
      <c r="AV61" s="728"/>
      <c r="AW61" s="742"/>
      <c r="AX61" s="747">
        <f t="shared" si="8"/>
        <v>0</v>
      </c>
      <c r="AY61" s="738">
        <f t="shared" si="53"/>
        <v>0</v>
      </c>
      <c r="AZ61" s="729">
        <f t="shared" si="54"/>
        <v>0</v>
      </c>
      <c r="BA61" s="730">
        <f t="shared" si="55"/>
        <v>0</v>
      </c>
      <c r="BB61" s="729">
        <f t="shared" si="56"/>
        <v>0</v>
      </c>
      <c r="BC61" s="729">
        <f t="shared" si="9"/>
        <v>0</v>
      </c>
      <c r="BD61" s="729">
        <f t="shared" si="10"/>
        <v>0</v>
      </c>
      <c r="BE61" s="729">
        <f t="shared" si="11"/>
        <v>0</v>
      </c>
      <c r="BF61" s="729">
        <f t="shared" si="12"/>
        <v>0</v>
      </c>
      <c r="BG61" s="729">
        <f t="shared" si="13"/>
        <v>0</v>
      </c>
      <c r="BH61" s="729">
        <f t="shared" si="14"/>
        <v>0</v>
      </c>
      <c r="BI61" s="729">
        <f t="shared" si="15"/>
        <v>0</v>
      </c>
      <c r="BJ61" s="729">
        <f t="shared" si="16"/>
        <v>0</v>
      </c>
      <c r="BK61" s="729">
        <f t="shared" si="17"/>
        <v>0</v>
      </c>
      <c r="BL61" s="729">
        <f t="shared" si="18"/>
        <v>0</v>
      </c>
      <c r="BM61" s="729">
        <f t="shared" si="19"/>
        <v>0</v>
      </c>
      <c r="BN61" s="729">
        <f t="shared" si="20"/>
        <v>0</v>
      </c>
      <c r="BO61" s="729">
        <f t="shared" si="21"/>
        <v>0</v>
      </c>
      <c r="BP61" s="729">
        <f t="shared" si="22"/>
        <v>0</v>
      </c>
      <c r="BQ61" s="729">
        <f t="shared" si="23"/>
        <v>0</v>
      </c>
      <c r="BR61" s="729">
        <f t="shared" si="24"/>
        <v>0</v>
      </c>
      <c r="BS61" s="729">
        <f t="shared" si="25"/>
        <v>0</v>
      </c>
      <c r="BT61" s="729">
        <f t="shared" si="26"/>
        <v>0</v>
      </c>
      <c r="BU61" s="729">
        <f t="shared" si="27"/>
        <v>0</v>
      </c>
      <c r="BV61" s="729">
        <f t="shared" si="28"/>
        <v>0</v>
      </c>
      <c r="BW61" s="729">
        <f t="shared" si="29"/>
        <v>0</v>
      </c>
      <c r="BX61" s="729">
        <f t="shared" si="30"/>
        <v>0</v>
      </c>
      <c r="BY61" s="729">
        <f t="shared" si="31"/>
        <v>0</v>
      </c>
      <c r="BZ61" s="729">
        <f t="shared" si="32"/>
        <v>0</v>
      </c>
      <c r="CA61" s="729">
        <f t="shared" si="33"/>
        <v>0</v>
      </c>
      <c r="CB61" s="729">
        <f t="shared" si="34"/>
        <v>0</v>
      </c>
      <c r="CC61" s="729">
        <f t="shared" si="35"/>
        <v>0</v>
      </c>
      <c r="CD61" s="729">
        <f t="shared" si="36"/>
        <v>0</v>
      </c>
      <c r="CE61" s="729">
        <f t="shared" si="37"/>
        <v>0</v>
      </c>
      <c r="CF61" s="731">
        <f t="shared" si="38"/>
        <v>0</v>
      </c>
      <c r="CG61" s="692" t="str">
        <f t="shared" si="39"/>
        <v/>
      </c>
      <c r="CH61" s="659" t="str">
        <f t="shared" si="40"/>
        <v/>
      </c>
      <c r="CI61" s="659" t="str">
        <f t="shared" si="41"/>
        <v/>
      </c>
      <c r="CJ61" s="659" t="str">
        <f t="shared" si="42"/>
        <v/>
      </c>
      <c r="CK61" s="659" t="str">
        <f t="shared" si="43"/>
        <v/>
      </c>
      <c r="CL61" s="659" t="str">
        <f t="shared" si="44"/>
        <v/>
      </c>
      <c r="CM61" s="82" t="str">
        <f t="shared" si="45"/>
        <v/>
      </c>
      <c r="CN61" s="625" t="str">
        <f t="shared" si="57"/>
        <v/>
      </c>
      <c r="CO61" s="625" t="str">
        <f t="shared" si="52"/>
        <v>0</v>
      </c>
      <c r="CP61" s="620">
        <f t="shared" si="47"/>
        <v>0</v>
      </c>
      <c r="CQ61" s="1051" t="s">
        <v>285</v>
      </c>
      <c r="CR61" s="1080">
        <v>235058</v>
      </c>
      <c r="CS61" s="625">
        <f t="shared" si="48"/>
        <v>0</v>
      </c>
      <c r="CT61" s="625">
        <f t="shared" si="49"/>
        <v>0</v>
      </c>
      <c r="CU61" s="626" t="str">
        <f t="shared" si="50"/>
        <v>00</v>
      </c>
    </row>
    <row r="62" spans="1:99" ht="15" customHeight="1">
      <c r="A62" s="1094">
        <v>59</v>
      </c>
      <c r="B62" s="1376"/>
      <c r="C62" s="1377"/>
      <c r="D62" s="1068"/>
      <c r="E62" s="1060"/>
      <c r="F62" s="1382"/>
      <c r="G62" s="1200"/>
      <c r="H62" s="1067"/>
      <c r="I62" s="1063"/>
      <c r="J62" s="1062"/>
      <c r="K62" s="1153"/>
      <c r="L62" s="1153"/>
      <c r="M62" s="1183"/>
      <c r="N62" s="1187" t="str">
        <f t="shared" si="5"/>
        <v/>
      </c>
      <c r="O62" s="1190" t="str">
        <f t="shared" si="51"/>
        <v/>
      </c>
      <c r="P62" s="525" t="str">
        <f>IF(O62="","",VLOOKUP(O62,所属コード!$A$2:$E$189,2,FALSE))</f>
        <v/>
      </c>
      <c r="Q62" s="1164" t="str">
        <f>IF(O62="","",VLOOKUP(O62,所属コード!$A$2:$G$189,7,FALSE))</f>
        <v/>
      </c>
      <c r="R62" s="1166"/>
      <c r="S62" s="77"/>
      <c r="T62" s="77"/>
      <c r="U62" s="77"/>
      <c r="V62" s="15"/>
      <c r="X62" s="617"/>
      <c r="Y62" s="1090" t="str">
        <f t="shared" si="6"/>
        <v/>
      </c>
      <c r="Z62" s="618" t="str">
        <f t="shared" si="7"/>
        <v/>
      </c>
      <c r="AA62" s="617"/>
      <c r="AB62" s="617"/>
      <c r="AC62" s="617"/>
      <c r="AD62" s="617"/>
      <c r="AE62" s="617"/>
      <c r="AF62" s="617"/>
      <c r="AG62" s="620"/>
      <c r="AH62" s="727"/>
      <c r="AI62" s="728"/>
      <c r="AJ62" s="728"/>
      <c r="AK62" s="728"/>
      <c r="AL62" s="728"/>
      <c r="AM62" s="728"/>
      <c r="AN62" s="728"/>
      <c r="AO62" s="728"/>
      <c r="AP62" s="728"/>
      <c r="AQ62" s="728"/>
      <c r="AR62" s="728"/>
      <c r="AS62" s="728"/>
      <c r="AT62" s="728"/>
      <c r="AU62" s="728"/>
      <c r="AV62" s="728"/>
      <c r="AW62" s="742"/>
      <c r="AX62" s="747">
        <f t="shared" si="8"/>
        <v>0</v>
      </c>
      <c r="AY62" s="738">
        <f t="shared" si="53"/>
        <v>0</v>
      </c>
      <c r="AZ62" s="729">
        <f t="shared" si="54"/>
        <v>0</v>
      </c>
      <c r="BA62" s="730">
        <f t="shared" si="55"/>
        <v>0</v>
      </c>
      <c r="BB62" s="729">
        <f t="shared" si="56"/>
        <v>0</v>
      </c>
      <c r="BC62" s="729">
        <f t="shared" si="9"/>
        <v>0</v>
      </c>
      <c r="BD62" s="729">
        <f t="shared" si="10"/>
        <v>0</v>
      </c>
      <c r="BE62" s="729">
        <f t="shared" si="11"/>
        <v>0</v>
      </c>
      <c r="BF62" s="729">
        <f t="shared" si="12"/>
        <v>0</v>
      </c>
      <c r="BG62" s="729">
        <f t="shared" si="13"/>
        <v>0</v>
      </c>
      <c r="BH62" s="729">
        <f t="shared" si="14"/>
        <v>0</v>
      </c>
      <c r="BI62" s="729">
        <f t="shared" si="15"/>
        <v>0</v>
      </c>
      <c r="BJ62" s="729">
        <f t="shared" si="16"/>
        <v>0</v>
      </c>
      <c r="BK62" s="729">
        <f t="shared" si="17"/>
        <v>0</v>
      </c>
      <c r="BL62" s="729">
        <f t="shared" si="18"/>
        <v>0</v>
      </c>
      <c r="BM62" s="729">
        <f t="shared" si="19"/>
        <v>0</v>
      </c>
      <c r="BN62" s="729">
        <f t="shared" si="20"/>
        <v>0</v>
      </c>
      <c r="BO62" s="729">
        <f t="shared" si="21"/>
        <v>0</v>
      </c>
      <c r="BP62" s="729">
        <f t="shared" si="22"/>
        <v>0</v>
      </c>
      <c r="BQ62" s="729">
        <f t="shared" si="23"/>
        <v>0</v>
      </c>
      <c r="BR62" s="729">
        <f t="shared" si="24"/>
        <v>0</v>
      </c>
      <c r="BS62" s="729">
        <f t="shared" si="25"/>
        <v>0</v>
      </c>
      <c r="BT62" s="729">
        <f t="shared" si="26"/>
        <v>0</v>
      </c>
      <c r="BU62" s="729">
        <f t="shared" si="27"/>
        <v>0</v>
      </c>
      <c r="BV62" s="729">
        <f t="shared" si="28"/>
        <v>0</v>
      </c>
      <c r="BW62" s="729">
        <f t="shared" si="29"/>
        <v>0</v>
      </c>
      <c r="BX62" s="729">
        <f t="shared" si="30"/>
        <v>0</v>
      </c>
      <c r="BY62" s="729">
        <f t="shared" si="31"/>
        <v>0</v>
      </c>
      <c r="BZ62" s="729">
        <f t="shared" si="32"/>
        <v>0</v>
      </c>
      <c r="CA62" s="729">
        <f t="shared" si="33"/>
        <v>0</v>
      </c>
      <c r="CB62" s="729">
        <f t="shared" si="34"/>
        <v>0</v>
      </c>
      <c r="CC62" s="729">
        <f t="shared" si="35"/>
        <v>0</v>
      </c>
      <c r="CD62" s="729">
        <f t="shared" si="36"/>
        <v>0</v>
      </c>
      <c r="CE62" s="729">
        <f t="shared" si="37"/>
        <v>0</v>
      </c>
      <c r="CF62" s="731">
        <f t="shared" si="38"/>
        <v>0</v>
      </c>
      <c r="CG62" s="692" t="str">
        <f t="shared" si="39"/>
        <v/>
      </c>
      <c r="CH62" s="659" t="str">
        <f t="shared" si="40"/>
        <v/>
      </c>
      <c r="CI62" s="659" t="str">
        <f t="shared" si="41"/>
        <v/>
      </c>
      <c r="CJ62" s="659" t="str">
        <f t="shared" si="42"/>
        <v/>
      </c>
      <c r="CK62" s="659" t="str">
        <f t="shared" si="43"/>
        <v/>
      </c>
      <c r="CL62" s="659" t="str">
        <f t="shared" si="44"/>
        <v/>
      </c>
      <c r="CM62" s="82" t="str">
        <f t="shared" si="45"/>
        <v/>
      </c>
      <c r="CN62" s="625" t="str">
        <f t="shared" si="57"/>
        <v/>
      </c>
      <c r="CO62" s="625" t="str">
        <f t="shared" si="52"/>
        <v>0</v>
      </c>
      <c r="CP62" s="620">
        <f t="shared" si="47"/>
        <v>0</v>
      </c>
      <c r="CQ62" s="1051" t="s">
        <v>67</v>
      </c>
      <c r="CR62" s="1080">
        <v>235059</v>
      </c>
      <c r="CS62" s="625">
        <f t="shared" si="48"/>
        <v>0</v>
      </c>
      <c r="CT62" s="625">
        <f t="shared" si="49"/>
        <v>0</v>
      </c>
      <c r="CU62" s="626" t="str">
        <f t="shared" si="50"/>
        <v>00</v>
      </c>
    </row>
    <row r="63" spans="1:99" ht="15" customHeight="1">
      <c r="A63" s="1094">
        <v>60</v>
      </c>
      <c r="B63" s="1376"/>
      <c r="C63" s="1377"/>
      <c r="D63" s="1068"/>
      <c r="E63" s="1060"/>
      <c r="F63" s="1382"/>
      <c r="G63" s="1200"/>
      <c r="H63" s="1061"/>
      <c r="I63" s="1062"/>
      <c r="J63" s="1063"/>
      <c r="K63" s="1153"/>
      <c r="L63" s="1153"/>
      <c r="M63" s="1183"/>
      <c r="N63" s="1187" t="str">
        <f t="shared" si="5"/>
        <v/>
      </c>
      <c r="O63" s="1190" t="str">
        <f t="shared" si="51"/>
        <v/>
      </c>
      <c r="P63" s="525" t="str">
        <f>IF(O63="","",VLOOKUP(O63,所属コード!$A$2:$E$189,2,FALSE))</f>
        <v/>
      </c>
      <c r="Q63" s="1164" t="str">
        <f>IF(O63="","",VLOOKUP(O63,所属コード!$A$2:$G$189,7,FALSE))</f>
        <v/>
      </c>
      <c r="R63" s="1166"/>
      <c r="S63" s="77"/>
      <c r="T63" s="77"/>
      <c r="U63" s="77"/>
      <c r="V63" s="15"/>
      <c r="X63" s="617"/>
      <c r="Y63" s="1090" t="str">
        <f t="shared" si="6"/>
        <v/>
      </c>
      <c r="Z63" s="618" t="str">
        <f t="shared" si="7"/>
        <v/>
      </c>
      <c r="AA63" s="617"/>
      <c r="AB63" s="617"/>
      <c r="AC63" s="617"/>
      <c r="AD63" s="617"/>
      <c r="AE63" s="617"/>
      <c r="AF63" s="617"/>
      <c r="AG63" s="620"/>
      <c r="AH63" s="727"/>
      <c r="AI63" s="728"/>
      <c r="AJ63" s="728"/>
      <c r="AK63" s="728"/>
      <c r="AL63" s="728"/>
      <c r="AM63" s="728"/>
      <c r="AN63" s="728"/>
      <c r="AO63" s="728"/>
      <c r="AP63" s="728"/>
      <c r="AQ63" s="728"/>
      <c r="AR63" s="728"/>
      <c r="AS63" s="728"/>
      <c r="AT63" s="728"/>
      <c r="AU63" s="728"/>
      <c r="AV63" s="728"/>
      <c r="AW63" s="742"/>
      <c r="AX63" s="747">
        <f t="shared" si="8"/>
        <v>0</v>
      </c>
      <c r="AY63" s="738">
        <f t="shared" si="53"/>
        <v>0</v>
      </c>
      <c r="AZ63" s="729">
        <f t="shared" si="54"/>
        <v>0</v>
      </c>
      <c r="BA63" s="730">
        <f t="shared" si="55"/>
        <v>0</v>
      </c>
      <c r="BB63" s="729">
        <f t="shared" si="56"/>
        <v>0</v>
      </c>
      <c r="BC63" s="729">
        <f t="shared" si="9"/>
        <v>0</v>
      </c>
      <c r="BD63" s="729">
        <f t="shared" si="10"/>
        <v>0</v>
      </c>
      <c r="BE63" s="729">
        <f t="shared" si="11"/>
        <v>0</v>
      </c>
      <c r="BF63" s="729">
        <f t="shared" si="12"/>
        <v>0</v>
      </c>
      <c r="BG63" s="729">
        <f t="shared" si="13"/>
        <v>0</v>
      </c>
      <c r="BH63" s="729">
        <f t="shared" si="14"/>
        <v>0</v>
      </c>
      <c r="BI63" s="729">
        <f t="shared" si="15"/>
        <v>0</v>
      </c>
      <c r="BJ63" s="729">
        <f t="shared" si="16"/>
        <v>0</v>
      </c>
      <c r="BK63" s="729">
        <f t="shared" si="17"/>
        <v>0</v>
      </c>
      <c r="BL63" s="729">
        <f t="shared" si="18"/>
        <v>0</v>
      </c>
      <c r="BM63" s="729">
        <f t="shared" si="19"/>
        <v>0</v>
      </c>
      <c r="BN63" s="729">
        <f t="shared" si="20"/>
        <v>0</v>
      </c>
      <c r="BO63" s="729">
        <f t="shared" si="21"/>
        <v>0</v>
      </c>
      <c r="BP63" s="729">
        <f t="shared" si="22"/>
        <v>0</v>
      </c>
      <c r="BQ63" s="729">
        <f t="shared" si="23"/>
        <v>0</v>
      </c>
      <c r="BR63" s="729">
        <f t="shared" si="24"/>
        <v>0</v>
      </c>
      <c r="BS63" s="729">
        <f t="shared" si="25"/>
        <v>0</v>
      </c>
      <c r="BT63" s="729">
        <f t="shared" si="26"/>
        <v>0</v>
      </c>
      <c r="BU63" s="729">
        <f t="shared" si="27"/>
        <v>0</v>
      </c>
      <c r="BV63" s="729">
        <f t="shared" si="28"/>
        <v>0</v>
      </c>
      <c r="BW63" s="729">
        <f t="shared" si="29"/>
        <v>0</v>
      </c>
      <c r="BX63" s="729">
        <f t="shared" si="30"/>
        <v>0</v>
      </c>
      <c r="BY63" s="729">
        <f t="shared" si="31"/>
        <v>0</v>
      </c>
      <c r="BZ63" s="729">
        <f t="shared" si="32"/>
        <v>0</v>
      </c>
      <c r="CA63" s="729">
        <f t="shared" si="33"/>
        <v>0</v>
      </c>
      <c r="CB63" s="729">
        <f t="shared" si="34"/>
        <v>0</v>
      </c>
      <c r="CC63" s="729">
        <f t="shared" si="35"/>
        <v>0</v>
      </c>
      <c r="CD63" s="729">
        <f t="shared" si="36"/>
        <v>0</v>
      </c>
      <c r="CE63" s="729">
        <f t="shared" si="37"/>
        <v>0</v>
      </c>
      <c r="CF63" s="731">
        <f t="shared" si="38"/>
        <v>0</v>
      </c>
      <c r="CG63" s="692" t="str">
        <f t="shared" si="39"/>
        <v/>
      </c>
      <c r="CH63" s="659" t="str">
        <f t="shared" si="40"/>
        <v/>
      </c>
      <c r="CI63" s="659" t="str">
        <f t="shared" si="41"/>
        <v/>
      </c>
      <c r="CJ63" s="659" t="str">
        <f t="shared" si="42"/>
        <v/>
      </c>
      <c r="CK63" s="659" t="str">
        <f t="shared" si="43"/>
        <v/>
      </c>
      <c r="CL63" s="659" t="str">
        <f t="shared" si="44"/>
        <v/>
      </c>
      <c r="CM63" s="82" t="str">
        <f t="shared" si="45"/>
        <v/>
      </c>
      <c r="CN63" s="625" t="str">
        <f t="shared" si="57"/>
        <v/>
      </c>
      <c r="CO63" s="625" t="str">
        <f t="shared" si="52"/>
        <v>0</v>
      </c>
      <c r="CP63" s="620">
        <f t="shared" si="47"/>
        <v>0</v>
      </c>
      <c r="CQ63" s="1051" t="s">
        <v>134</v>
      </c>
      <c r="CR63" s="1080">
        <v>235060</v>
      </c>
      <c r="CS63" s="625">
        <f t="shared" si="48"/>
        <v>0</v>
      </c>
      <c r="CT63" s="625">
        <f t="shared" si="49"/>
        <v>0</v>
      </c>
      <c r="CU63" s="626" t="str">
        <f t="shared" si="50"/>
        <v>00</v>
      </c>
    </row>
    <row r="64" spans="1:99" ht="15" customHeight="1">
      <c r="A64" s="1094">
        <v>61</v>
      </c>
      <c r="B64" s="1376"/>
      <c r="C64" s="1377"/>
      <c r="D64" s="1068"/>
      <c r="E64" s="1060"/>
      <c r="F64" s="1382"/>
      <c r="G64" s="1200"/>
      <c r="H64" s="1061"/>
      <c r="I64" s="1062"/>
      <c r="J64" s="1063"/>
      <c r="K64" s="1153"/>
      <c r="L64" s="1153"/>
      <c r="M64" s="1183"/>
      <c r="N64" s="1187" t="str">
        <f t="shared" si="5"/>
        <v/>
      </c>
      <c r="O64" s="1190" t="str">
        <f t="shared" si="51"/>
        <v/>
      </c>
      <c r="P64" s="525" t="str">
        <f>IF(O64="","",VLOOKUP(O64,所属コード!$A$2:$E$189,2,FALSE))</f>
        <v/>
      </c>
      <c r="Q64" s="1164" t="str">
        <f>IF(O64="","",VLOOKUP(O64,所属コード!$A$2:$G$189,7,FALSE))</f>
        <v/>
      </c>
      <c r="R64" s="1166"/>
      <c r="S64" s="77"/>
      <c r="T64" s="77"/>
      <c r="U64" s="77"/>
      <c r="X64" s="617"/>
      <c r="Y64" s="1090" t="str">
        <f t="shared" si="6"/>
        <v/>
      </c>
      <c r="Z64" s="618" t="str">
        <f t="shared" si="7"/>
        <v/>
      </c>
      <c r="AA64" s="617"/>
      <c r="AB64" s="617"/>
      <c r="AC64" s="617"/>
      <c r="AD64" s="617"/>
      <c r="AE64" s="617"/>
      <c r="AF64" s="617"/>
      <c r="AG64" s="620"/>
      <c r="AH64" s="727"/>
      <c r="AI64" s="728"/>
      <c r="AJ64" s="728"/>
      <c r="AK64" s="728"/>
      <c r="AL64" s="728"/>
      <c r="AM64" s="728"/>
      <c r="AN64" s="728"/>
      <c r="AO64" s="728"/>
      <c r="AP64" s="728"/>
      <c r="AQ64" s="728"/>
      <c r="AR64" s="728"/>
      <c r="AS64" s="728"/>
      <c r="AT64" s="728"/>
      <c r="AU64" s="728"/>
      <c r="AV64" s="728"/>
      <c r="AW64" s="742"/>
      <c r="AX64" s="747">
        <f t="shared" si="8"/>
        <v>0</v>
      </c>
      <c r="AY64" s="738">
        <f t="shared" si="53"/>
        <v>0</v>
      </c>
      <c r="AZ64" s="729">
        <f t="shared" si="54"/>
        <v>0</v>
      </c>
      <c r="BA64" s="730">
        <f t="shared" si="55"/>
        <v>0</v>
      </c>
      <c r="BB64" s="729">
        <f t="shared" si="56"/>
        <v>0</v>
      </c>
      <c r="BC64" s="729">
        <f t="shared" si="9"/>
        <v>0</v>
      </c>
      <c r="BD64" s="729">
        <f t="shared" si="10"/>
        <v>0</v>
      </c>
      <c r="BE64" s="729">
        <f t="shared" si="11"/>
        <v>0</v>
      </c>
      <c r="BF64" s="729">
        <f t="shared" si="12"/>
        <v>0</v>
      </c>
      <c r="BG64" s="729">
        <f t="shared" si="13"/>
        <v>0</v>
      </c>
      <c r="BH64" s="729">
        <f t="shared" si="14"/>
        <v>0</v>
      </c>
      <c r="BI64" s="729">
        <f t="shared" si="15"/>
        <v>0</v>
      </c>
      <c r="BJ64" s="729">
        <f t="shared" si="16"/>
        <v>0</v>
      </c>
      <c r="BK64" s="729">
        <f t="shared" si="17"/>
        <v>0</v>
      </c>
      <c r="BL64" s="729">
        <f t="shared" si="18"/>
        <v>0</v>
      </c>
      <c r="BM64" s="729">
        <f t="shared" si="19"/>
        <v>0</v>
      </c>
      <c r="BN64" s="729">
        <f t="shared" si="20"/>
        <v>0</v>
      </c>
      <c r="BO64" s="729">
        <f t="shared" si="21"/>
        <v>0</v>
      </c>
      <c r="BP64" s="729">
        <f t="shared" si="22"/>
        <v>0</v>
      </c>
      <c r="BQ64" s="729">
        <f t="shared" si="23"/>
        <v>0</v>
      </c>
      <c r="BR64" s="729">
        <f t="shared" si="24"/>
        <v>0</v>
      </c>
      <c r="BS64" s="729">
        <f t="shared" si="25"/>
        <v>0</v>
      </c>
      <c r="BT64" s="729">
        <f t="shared" si="26"/>
        <v>0</v>
      </c>
      <c r="BU64" s="729">
        <f t="shared" si="27"/>
        <v>0</v>
      </c>
      <c r="BV64" s="729">
        <f t="shared" si="28"/>
        <v>0</v>
      </c>
      <c r="BW64" s="729">
        <f t="shared" si="29"/>
        <v>0</v>
      </c>
      <c r="BX64" s="729">
        <f t="shared" si="30"/>
        <v>0</v>
      </c>
      <c r="BY64" s="729">
        <f t="shared" si="31"/>
        <v>0</v>
      </c>
      <c r="BZ64" s="729">
        <f t="shared" si="32"/>
        <v>0</v>
      </c>
      <c r="CA64" s="729">
        <f t="shared" si="33"/>
        <v>0</v>
      </c>
      <c r="CB64" s="729">
        <f t="shared" si="34"/>
        <v>0</v>
      </c>
      <c r="CC64" s="729">
        <f t="shared" si="35"/>
        <v>0</v>
      </c>
      <c r="CD64" s="729">
        <f t="shared" si="36"/>
        <v>0</v>
      </c>
      <c r="CE64" s="729">
        <f t="shared" si="37"/>
        <v>0</v>
      </c>
      <c r="CF64" s="731">
        <f t="shared" si="38"/>
        <v>0</v>
      </c>
      <c r="CG64" s="692" t="str">
        <f t="shared" si="39"/>
        <v/>
      </c>
      <c r="CH64" s="659" t="str">
        <f t="shared" si="40"/>
        <v/>
      </c>
      <c r="CI64" s="659" t="str">
        <f t="shared" si="41"/>
        <v/>
      </c>
      <c r="CJ64" s="659" t="str">
        <f t="shared" si="42"/>
        <v/>
      </c>
      <c r="CK64" s="659" t="str">
        <f t="shared" si="43"/>
        <v/>
      </c>
      <c r="CL64" s="659" t="str">
        <f t="shared" si="44"/>
        <v/>
      </c>
      <c r="CM64" s="82" t="str">
        <f t="shared" si="45"/>
        <v/>
      </c>
      <c r="CN64" s="625" t="str">
        <f t="shared" si="57"/>
        <v/>
      </c>
      <c r="CO64" s="625" t="str">
        <f t="shared" si="52"/>
        <v>0</v>
      </c>
      <c r="CP64" s="620">
        <f t="shared" si="47"/>
        <v>0</v>
      </c>
      <c r="CQ64" s="1051" t="s">
        <v>68</v>
      </c>
      <c r="CR64" s="1080">
        <v>235061</v>
      </c>
      <c r="CS64" s="625">
        <f t="shared" si="48"/>
        <v>0</v>
      </c>
      <c r="CT64" s="625">
        <f t="shared" si="49"/>
        <v>0</v>
      </c>
      <c r="CU64" s="626" t="str">
        <f t="shared" si="50"/>
        <v>00</v>
      </c>
    </row>
    <row r="65" spans="1:99" ht="15" customHeight="1">
      <c r="A65" s="1094">
        <v>62</v>
      </c>
      <c r="B65" s="1376"/>
      <c r="C65" s="1377"/>
      <c r="D65" s="1068"/>
      <c r="E65" s="1060"/>
      <c r="F65" s="1382"/>
      <c r="G65" s="1200"/>
      <c r="H65" s="1061"/>
      <c r="I65" s="1062"/>
      <c r="J65" s="1063"/>
      <c r="K65" s="1153"/>
      <c r="L65" s="1153"/>
      <c r="M65" s="1183"/>
      <c r="N65" s="1187" t="str">
        <f t="shared" si="5"/>
        <v/>
      </c>
      <c r="O65" s="1190" t="str">
        <f t="shared" si="51"/>
        <v/>
      </c>
      <c r="P65" s="525" t="str">
        <f>IF(O65="","",VLOOKUP(O65,所属コード!$A$2:$E$189,2,FALSE))</f>
        <v/>
      </c>
      <c r="Q65" s="1164" t="str">
        <f>IF(O65="","",VLOOKUP(O65,所属コード!$A$2:$G$189,7,FALSE))</f>
        <v/>
      </c>
      <c r="R65" s="1166"/>
      <c r="S65" s="77"/>
      <c r="T65" s="77"/>
      <c r="U65" s="77"/>
      <c r="X65" s="617"/>
      <c r="Y65" s="1090" t="str">
        <f t="shared" si="6"/>
        <v/>
      </c>
      <c r="Z65" s="618" t="str">
        <f t="shared" si="7"/>
        <v/>
      </c>
      <c r="AA65" s="617"/>
      <c r="AB65" s="617"/>
      <c r="AC65" s="617"/>
      <c r="AD65" s="617"/>
      <c r="AE65" s="617"/>
      <c r="AF65" s="617"/>
      <c r="AG65" s="620"/>
      <c r="AH65" s="727"/>
      <c r="AI65" s="728"/>
      <c r="AJ65" s="728"/>
      <c r="AK65" s="728"/>
      <c r="AL65" s="728"/>
      <c r="AM65" s="728"/>
      <c r="AN65" s="728"/>
      <c r="AO65" s="728"/>
      <c r="AP65" s="728"/>
      <c r="AQ65" s="728"/>
      <c r="AR65" s="728"/>
      <c r="AS65" s="728"/>
      <c r="AT65" s="728"/>
      <c r="AU65" s="728"/>
      <c r="AV65" s="728"/>
      <c r="AW65" s="742"/>
      <c r="AX65" s="747">
        <f t="shared" si="8"/>
        <v>0</v>
      </c>
      <c r="AY65" s="738">
        <f t="shared" si="53"/>
        <v>0</v>
      </c>
      <c r="AZ65" s="729">
        <f t="shared" si="54"/>
        <v>0</v>
      </c>
      <c r="BA65" s="730">
        <f t="shared" si="55"/>
        <v>0</v>
      </c>
      <c r="BB65" s="729">
        <f t="shared" si="56"/>
        <v>0</v>
      </c>
      <c r="BC65" s="729">
        <f t="shared" si="9"/>
        <v>0</v>
      </c>
      <c r="BD65" s="729">
        <f t="shared" si="10"/>
        <v>0</v>
      </c>
      <c r="BE65" s="729">
        <f t="shared" si="11"/>
        <v>0</v>
      </c>
      <c r="BF65" s="729">
        <f t="shared" si="12"/>
        <v>0</v>
      </c>
      <c r="BG65" s="729">
        <f t="shared" si="13"/>
        <v>0</v>
      </c>
      <c r="BH65" s="729">
        <f t="shared" si="14"/>
        <v>0</v>
      </c>
      <c r="BI65" s="729">
        <f t="shared" si="15"/>
        <v>0</v>
      </c>
      <c r="BJ65" s="729">
        <f t="shared" si="16"/>
        <v>0</v>
      </c>
      <c r="BK65" s="729">
        <f t="shared" si="17"/>
        <v>0</v>
      </c>
      <c r="BL65" s="729">
        <f t="shared" si="18"/>
        <v>0</v>
      </c>
      <c r="BM65" s="729">
        <f t="shared" si="19"/>
        <v>0</v>
      </c>
      <c r="BN65" s="729">
        <f t="shared" si="20"/>
        <v>0</v>
      </c>
      <c r="BO65" s="729">
        <f t="shared" si="21"/>
        <v>0</v>
      </c>
      <c r="BP65" s="729">
        <f t="shared" si="22"/>
        <v>0</v>
      </c>
      <c r="BQ65" s="729">
        <f t="shared" si="23"/>
        <v>0</v>
      </c>
      <c r="BR65" s="729">
        <f t="shared" si="24"/>
        <v>0</v>
      </c>
      <c r="BS65" s="729">
        <f t="shared" si="25"/>
        <v>0</v>
      </c>
      <c r="BT65" s="729">
        <f t="shared" si="26"/>
        <v>0</v>
      </c>
      <c r="BU65" s="729">
        <f t="shared" si="27"/>
        <v>0</v>
      </c>
      <c r="BV65" s="729">
        <f t="shared" si="28"/>
        <v>0</v>
      </c>
      <c r="BW65" s="729">
        <f t="shared" si="29"/>
        <v>0</v>
      </c>
      <c r="BX65" s="729">
        <f t="shared" si="30"/>
        <v>0</v>
      </c>
      <c r="BY65" s="729">
        <f t="shared" si="31"/>
        <v>0</v>
      </c>
      <c r="BZ65" s="729">
        <f t="shared" si="32"/>
        <v>0</v>
      </c>
      <c r="CA65" s="729">
        <f t="shared" si="33"/>
        <v>0</v>
      </c>
      <c r="CB65" s="729">
        <f t="shared" si="34"/>
        <v>0</v>
      </c>
      <c r="CC65" s="729">
        <f t="shared" si="35"/>
        <v>0</v>
      </c>
      <c r="CD65" s="729">
        <f t="shared" si="36"/>
        <v>0</v>
      </c>
      <c r="CE65" s="729">
        <f t="shared" si="37"/>
        <v>0</v>
      </c>
      <c r="CF65" s="731">
        <f t="shared" si="38"/>
        <v>0</v>
      </c>
      <c r="CG65" s="692" t="str">
        <f t="shared" si="39"/>
        <v/>
      </c>
      <c r="CH65" s="659" t="str">
        <f t="shared" si="40"/>
        <v/>
      </c>
      <c r="CI65" s="659" t="str">
        <f t="shared" si="41"/>
        <v/>
      </c>
      <c r="CJ65" s="659" t="str">
        <f t="shared" si="42"/>
        <v/>
      </c>
      <c r="CK65" s="659" t="str">
        <f t="shared" si="43"/>
        <v/>
      </c>
      <c r="CL65" s="659" t="str">
        <f t="shared" si="44"/>
        <v/>
      </c>
      <c r="CM65" s="82" t="str">
        <f t="shared" si="45"/>
        <v/>
      </c>
      <c r="CN65" s="625" t="str">
        <f t="shared" si="57"/>
        <v/>
      </c>
      <c r="CO65" s="625" t="str">
        <f t="shared" si="52"/>
        <v>0</v>
      </c>
      <c r="CP65" s="620">
        <f t="shared" si="47"/>
        <v>0</v>
      </c>
      <c r="CQ65" s="1051" t="s">
        <v>135</v>
      </c>
      <c r="CR65" s="1080">
        <v>235062</v>
      </c>
      <c r="CS65" s="625">
        <f t="shared" si="48"/>
        <v>0</v>
      </c>
      <c r="CT65" s="625">
        <f t="shared" si="49"/>
        <v>0</v>
      </c>
      <c r="CU65" s="626" t="str">
        <f t="shared" si="50"/>
        <v>00</v>
      </c>
    </row>
    <row r="66" spans="1:99" ht="15" customHeight="1">
      <c r="A66" s="1094">
        <v>63</v>
      </c>
      <c r="B66" s="1376"/>
      <c r="C66" s="1377"/>
      <c r="D66" s="1068"/>
      <c r="E66" s="1060"/>
      <c r="F66" s="1382"/>
      <c r="G66" s="1200"/>
      <c r="H66" s="1061"/>
      <c r="I66" s="1062"/>
      <c r="J66" s="1063"/>
      <c r="K66" s="1153"/>
      <c r="L66" s="1153"/>
      <c r="M66" s="1183"/>
      <c r="N66" s="1187" t="str">
        <f t="shared" si="5"/>
        <v/>
      </c>
      <c r="O66" s="1190" t="str">
        <f t="shared" si="51"/>
        <v/>
      </c>
      <c r="P66" s="525" t="str">
        <f>IF(O66="","",VLOOKUP(O66,所属コード!$A$2:$E$189,2,FALSE))</f>
        <v/>
      </c>
      <c r="Q66" s="1164" t="str">
        <f>IF(O66="","",VLOOKUP(O66,所属コード!$A$2:$G$189,7,FALSE))</f>
        <v/>
      </c>
      <c r="R66" s="1166"/>
      <c r="S66" s="77"/>
      <c r="T66" s="77"/>
      <c r="U66" s="77"/>
      <c r="V66" s="15"/>
      <c r="X66" s="617"/>
      <c r="Y66" s="1090" t="str">
        <f t="shared" si="6"/>
        <v/>
      </c>
      <c r="Z66" s="618" t="str">
        <f t="shared" si="7"/>
        <v/>
      </c>
      <c r="AA66" s="617"/>
      <c r="AB66" s="617"/>
      <c r="AC66" s="617"/>
      <c r="AD66" s="617"/>
      <c r="AE66" s="617"/>
      <c r="AF66" s="617"/>
      <c r="AG66" s="620"/>
      <c r="AH66" s="727"/>
      <c r="AI66" s="728"/>
      <c r="AJ66" s="728"/>
      <c r="AK66" s="728"/>
      <c r="AL66" s="728"/>
      <c r="AM66" s="728"/>
      <c r="AN66" s="728"/>
      <c r="AO66" s="728"/>
      <c r="AP66" s="728"/>
      <c r="AQ66" s="728"/>
      <c r="AR66" s="728"/>
      <c r="AS66" s="728"/>
      <c r="AT66" s="728"/>
      <c r="AU66" s="728"/>
      <c r="AV66" s="728"/>
      <c r="AW66" s="742"/>
      <c r="AX66" s="747">
        <f t="shared" si="8"/>
        <v>0</v>
      </c>
      <c r="AY66" s="738">
        <f t="shared" si="53"/>
        <v>0</v>
      </c>
      <c r="AZ66" s="729">
        <f t="shared" si="54"/>
        <v>0</v>
      </c>
      <c r="BA66" s="730">
        <f t="shared" si="55"/>
        <v>0</v>
      </c>
      <c r="BB66" s="729">
        <f t="shared" si="56"/>
        <v>0</v>
      </c>
      <c r="BC66" s="729">
        <f t="shared" si="9"/>
        <v>0</v>
      </c>
      <c r="BD66" s="729">
        <f t="shared" si="10"/>
        <v>0</v>
      </c>
      <c r="BE66" s="729">
        <f t="shared" si="11"/>
        <v>0</v>
      </c>
      <c r="BF66" s="729">
        <f t="shared" si="12"/>
        <v>0</v>
      </c>
      <c r="BG66" s="729">
        <f t="shared" si="13"/>
        <v>0</v>
      </c>
      <c r="BH66" s="729">
        <f t="shared" si="14"/>
        <v>0</v>
      </c>
      <c r="BI66" s="729">
        <f t="shared" si="15"/>
        <v>0</v>
      </c>
      <c r="BJ66" s="729">
        <f t="shared" si="16"/>
        <v>0</v>
      </c>
      <c r="BK66" s="729">
        <f t="shared" si="17"/>
        <v>0</v>
      </c>
      <c r="BL66" s="729">
        <f t="shared" si="18"/>
        <v>0</v>
      </c>
      <c r="BM66" s="729">
        <f t="shared" si="19"/>
        <v>0</v>
      </c>
      <c r="BN66" s="729">
        <f t="shared" si="20"/>
        <v>0</v>
      </c>
      <c r="BO66" s="729">
        <f t="shared" si="21"/>
        <v>0</v>
      </c>
      <c r="BP66" s="729">
        <f t="shared" si="22"/>
        <v>0</v>
      </c>
      <c r="BQ66" s="729">
        <f t="shared" si="23"/>
        <v>0</v>
      </c>
      <c r="BR66" s="729">
        <f t="shared" si="24"/>
        <v>0</v>
      </c>
      <c r="BS66" s="729">
        <f t="shared" si="25"/>
        <v>0</v>
      </c>
      <c r="BT66" s="729">
        <f t="shared" si="26"/>
        <v>0</v>
      </c>
      <c r="BU66" s="729">
        <f t="shared" si="27"/>
        <v>0</v>
      </c>
      <c r="BV66" s="729">
        <f t="shared" si="28"/>
        <v>0</v>
      </c>
      <c r="BW66" s="729">
        <f t="shared" si="29"/>
        <v>0</v>
      </c>
      <c r="BX66" s="729">
        <f t="shared" si="30"/>
        <v>0</v>
      </c>
      <c r="BY66" s="729">
        <f t="shared" si="31"/>
        <v>0</v>
      </c>
      <c r="BZ66" s="729">
        <f t="shared" si="32"/>
        <v>0</v>
      </c>
      <c r="CA66" s="729">
        <f t="shared" si="33"/>
        <v>0</v>
      </c>
      <c r="CB66" s="729">
        <f t="shared" si="34"/>
        <v>0</v>
      </c>
      <c r="CC66" s="729">
        <f t="shared" si="35"/>
        <v>0</v>
      </c>
      <c r="CD66" s="729">
        <f t="shared" si="36"/>
        <v>0</v>
      </c>
      <c r="CE66" s="729">
        <f t="shared" si="37"/>
        <v>0</v>
      </c>
      <c r="CF66" s="731">
        <f t="shared" si="38"/>
        <v>0</v>
      </c>
      <c r="CG66" s="692" t="str">
        <f t="shared" si="39"/>
        <v/>
      </c>
      <c r="CH66" s="659" t="str">
        <f t="shared" si="40"/>
        <v/>
      </c>
      <c r="CI66" s="659" t="str">
        <f t="shared" si="41"/>
        <v/>
      </c>
      <c r="CJ66" s="659" t="str">
        <f t="shared" si="42"/>
        <v/>
      </c>
      <c r="CK66" s="659" t="str">
        <f t="shared" si="43"/>
        <v/>
      </c>
      <c r="CL66" s="659" t="str">
        <f t="shared" si="44"/>
        <v/>
      </c>
      <c r="CM66" s="82" t="str">
        <f t="shared" si="45"/>
        <v/>
      </c>
      <c r="CN66" s="625" t="str">
        <f t="shared" si="57"/>
        <v/>
      </c>
      <c r="CO66" s="625" t="str">
        <f t="shared" si="52"/>
        <v>0</v>
      </c>
      <c r="CP66" s="620">
        <f t="shared" si="47"/>
        <v>0</v>
      </c>
      <c r="CQ66" s="1051" t="s">
        <v>133</v>
      </c>
      <c r="CR66" s="1080">
        <v>235063</v>
      </c>
      <c r="CS66" s="625">
        <f t="shared" si="48"/>
        <v>0</v>
      </c>
      <c r="CT66" s="625">
        <f t="shared" si="49"/>
        <v>0</v>
      </c>
      <c r="CU66" s="626" t="str">
        <f t="shared" si="50"/>
        <v>00</v>
      </c>
    </row>
    <row r="67" spans="1:99" ht="15" customHeight="1">
      <c r="A67" s="1094">
        <v>64</v>
      </c>
      <c r="B67" s="1376"/>
      <c r="C67" s="1377"/>
      <c r="D67" s="1068"/>
      <c r="E67" s="1060"/>
      <c r="F67" s="1382"/>
      <c r="G67" s="1200"/>
      <c r="H67" s="1061"/>
      <c r="I67" s="1062"/>
      <c r="J67" s="1063"/>
      <c r="K67" s="1153"/>
      <c r="L67" s="1153"/>
      <c r="M67" s="1183"/>
      <c r="N67" s="1187" t="str">
        <f t="shared" si="5"/>
        <v/>
      </c>
      <c r="O67" s="1190" t="str">
        <f t="shared" si="51"/>
        <v/>
      </c>
      <c r="P67" s="525" t="str">
        <f>IF(O67="","",VLOOKUP(O67,所属コード!$A$2:$E$189,2,FALSE))</f>
        <v/>
      </c>
      <c r="Q67" s="1164" t="str">
        <f>IF(O67="","",VLOOKUP(O67,所属コード!$A$2:$G$189,7,FALSE))</f>
        <v/>
      </c>
      <c r="R67" s="1166"/>
      <c r="S67" s="77"/>
      <c r="T67" s="77"/>
      <c r="U67" s="77"/>
      <c r="V67" s="15"/>
      <c r="X67" s="617"/>
      <c r="Y67" s="1090" t="str">
        <f t="shared" si="6"/>
        <v/>
      </c>
      <c r="Z67" s="618" t="str">
        <f t="shared" si="7"/>
        <v/>
      </c>
      <c r="AA67" s="617"/>
      <c r="AB67" s="617"/>
      <c r="AC67" s="617"/>
      <c r="AD67" s="617"/>
      <c r="AE67" s="617"/>
      <c r="AF67" s="617"/>
      <c r="AG67" s="620"/>
      <c r="AH67" s="727"/>
      <c r="AI67" s="728"/>
      <c r="AJ67" s="728"/>
      <c r="AK67" s="728"/>
      <c r="AL67" s="728"/>
      <c r="AM67" s="728"/>
      <c r="AN67" s="728"/>
      <c r="AO67" s="728"/>
      <c r="AP67" s="728"/>
      <c r="AQ67" s="728"/>
      <c r="AR67" s="728"/>
      <c r="AS67" s="728"/>
      <c r="AT67" s="728"/>
      <c r="AU67" s="728"/>
      <c r="AV67" s="728"/>
      <c r="AW67" s="742"/>
      <c r="AX67" s="747">
        <f t="shared" si="8"/>
        <v>0</v>
      </c>
      <c r="AY67" s="738">
        <f t="shared" si="53"/>
        <v>0</v>
      </c>
      <c r="AZ67" s="729">
        <f t="shared" si="54"/>
        <v>0</v>
      </c>
      <c r="BA67" s="730">
        <f t="shared" si="55"/>
        <v>0</v>
      </c>
      <c r="BB67" s="729">
        <f t="shared" si="56"/>
        <v>0</v>
      </c>
      <c r="BC67" s="729">
        <f t="shared" si="9"/>
        <v>0</v>
      </c>
      <c r="BD67" s="729">
        <f t="shared" si="10"/>
        <v>0</v>
      </c>
      <c r="BE67" s="729">
        <f t="shared" si="11"/>
        <v>0</v>
      </c>
      <c r="BF67" s="729">
        <f t="shared" si="12"/>
        <v>0</v>
      </c>
      <c r="BG67" s="729">
        <f t="shared" si="13"/>
        <v>0</v>
      </c>
      <c r="BH67" s="729">
        <f t="shared" si="14"/>
        <v>0</v>
      </c>
      <c r="BI67" s="729">
        <f t="shared" si="15"/>
        <v>0</v>
      </c>
      <c r="BJ67" s="729">
        <f t="shared" si="16"/>
        <v>0</v>
      </c>
      <c r="BK67" s="729">
        <f t="shared" si="17"/>
        <v>0</v>
      </c>
      <c r="BL67" s="729">
        <f t="shared" si="18"/>
        <v>0</v>
      </c>
      <c r="BM67" s="729">
        <f t="shared" si="19"/>
        <v>0</v>
      </c>
      <c r="BN67" s="729">
        <f t="shared" si="20"/>
        <v>0</v>
      </c>
      <c r="BO67" s="729">
        <f t="shared" si="21"/>
        <v>0</v>
      </c>
      <c r="BP67" s="729">
        <f t="shared" si="22"/>
        <v>0</v>
      </c>
      <c r="BQ67" s="729">
        <f t="shared" si="23"/>
        <v>0</v>
      </c>
      <c r="BR67" s="729">
        <f t="shared" si="24"/>
        <v>0</v>
      </c>
      <c r="BS67" s="729">
        <f t="shared" si="25"/>
        <v>0</v>
      </c>
      <c r="BT67" s="729">
        <f t="shared" si="26"/>
        <v>0</v>
      </c>
      <c r="BU67" s="729">
        <f t="shared" si="27"/>
        <v>0</v>
      </c>
      <c r="BV67" s="729">
        <f t="shared" si="28"/>
        <v>0</v>
      </c>
      <c r="BW67" s="729">
        <f t="shared" si="29"/>
        <v>0</v>
      </c>
      <c r="BX67" s="729">
        <f t="shared" si="30"/>
        <v>0</v>
      </c>
      <c r="BY67" s="729">
        <f t="shared" si="31"/>
        <v>0</v>
      </c>
      <c r="BZ67" s="729">
        <f t="shared" si="32"/>
        <v>0</v>
      </c>
      <c r="CA67" s="729">
        <f t="shared" si="33"/>
        <v>0</v>
      </c>
      <c r="CB67" s="729">
        <f t="shared" si="34"/>
        <v>0</v>
      </c>
      <c r="CC67" s="729">
        <f t="shared" si="35"/>
        <v>0</v>
      </c>
      <c r="CD67" s="729">
        <f t="shared" si="36"/>
        <v>0</v>
      </c>
      <c r="CE67" s="729">
        <f t="shared" si="37"/>
        <v>0</v>
      </c>
      <c r="CF67" s="731">
        <f t="shared" si="38"/>
        <v>0</v>
      </c>
      <c r="CG67" s="692" t="str">
        <f t="shared" si="39"/>
        <v/>
      </c>
      <c r="CH67" s="659" t="str">
        <f t="shared" si="40"/>
        <v/>
      </c>
      <c r="CI67" s="659" t="str">
        <f t="shared" si="41"/>
        <v/>
      </c>
      <c r="CJ67" s="659" t="str">
        <f t="shared" si="42"/>
        <v/>
      </c>
      <c r="CK67" s="659" t="str">
        <f t="shared" si="43"/>
        <v/>
      </c>
      <c r="CL67" s="659" t="str">
        <f t="shared" si="44"/>
        <v/>
      </c>
      <c r="CM67" s="82" t="str">
        <f t="shared" si="45"/>
        <v/>
      </c>
      <c r="CN67" s="625" t="str">
        <f t="shared" si="57"/>
        <v/>
      </c>
      <c r="CO67" s="625" t="str">
        <f t="shared" si="52"/>
        <v>0</v>
      </c>
      <c r="CP67" s="620">
        <f t="shared" si="47"/>
        <v>0</v>
      </c>
      <c r="CQ67" s="1051" t="s">
        <v>138</v>
      </c>
      <c r="CR67" s="1080">
        <v>235064</v>
      </c>
      <c r="CS67" s="625">
        <f t="shared" si="48"/>
        <v>0</v>
      </c>
      <c r="CT67" s="625">
        <f t="shared" si="49"/>
        <v>0</v>
      </c>
      <c r="CU67" s="626" t="str">
        <f t="shared" si="50"/>
        <v>00</v>
      </c>
    </row>
    <row r="68" spans="1:99" ht="15" customHeight="1">
      <c r="A68" s="1094">
        <v>65</v>
      </c>
      <c r="B68" s="1376"/>
      <c r="C68" s="1377"/>
      <c r="D68" s="1068"/>
      <c r="E68" s="1060"/>
      <c r="F68" s="1382"/>
      <c r="G68" s="1200"/>
      <c r="H68" s="1067"/>
      <c r="I68" s="1062"/>
      <c r="J68" s="1063"/>
      <c r="K68" s="1153"/>
      <c r="L68" s="1153"/>
      <c r="M68" s="1183"/>
      <c r="N68" s="1187" t="str">
        <f t="shared" si="5"/>
        <v/>
      </c>
      <c r="O68" s="1190" t="str">
        <f t="shared" si="51"/>
        <v/>
      </c>
      <c r="P68" s="525" t="str">
        <f>IF(O68="","",VLOOKUP(O68,所属コード!$A$2:$E$189,2,FALSE))</f>
        <v/>
      </c>
      <c r="Q68" s="1164" t="str">
        <f>IF(O68="","",VLOOKUP(O68,所属コード!$A$2:$G$189,7,FALSE))</f>
        <v/>
      </c>
      <c r="R68" s="1166"/>
      <c r="S68" s="77"/>
      <c r="T68" s="77"/>
      <c r="U68" s="77"/>
      <c r="V68" s="15"/>
      <c r="X68" s="617"/>
      <c r="Y68" s="1090" t="str">
        <f t="shared" si="6"/>
        <v/>
      </c>
      <c r="Z68" s="618" t="str">
        <f t="shared" si="7"/>
        <v/>
      </c>
      <c r="AA68" s="617"/>
      <c r="AB68" s="617"/>
      <c r="AC68" s="617"/>
      <c r="AD68" s="617"/>
      <c r="AE68" s="617"/>
      <c r="AF68" s="617"/>
      <c r="AG68" s="620"/>
      <c r="AH68" s="727"/>
      <c r="AI68" s="728"/>
      <c r="AJ68" s="728"/>
      <c r="AK68" s="728"/>
      <c r="AL68" s="728"/>
      <c r="AM68" s="728"/>
      <c r="AN68" s="728"/>
      <c r="AO68" s="728"/>
      <c r="AP68" s="728"/>
      <c r="AQ68" s="728"/>
      <c r="AR68" s="728"/>
      <c r="AS68" s="728"/>
      <c r="AT68" s="728"/>
      <c r="AU68" s="728"/>
      <c r="AV68" s="728"/>
      <c r="AW68" s="742"/>
      <c r="AX68" s="747">
        <f t="shared" si="8"/>
        <v>0</v>
      </c>
      <c r="AY68" s="738">
        <f t="shared" ref="AY68:AY99" si="58">AO68</f>
        <v>0</v>
      </c>
      <c r="AZ68" s="729">
        <f t="shared" ref="AZ68:AZ99" si="59">AO68</f>
        <v>0</v>
      </c>
      <c r="BA68" s="730">
        <f t="shared" ref="BA68:BA99" si="60">AO68</f>
        <v>0</v>
      </c>
      <c r="BB68" s="729">
        <f t="shared" ref="BB68:BB99" si="61">AP68</f>
        <v>0</v>
      </c>
      <c r="BC68" s="729">
        <f t="shared" si="9"/>
        <v>0</v>
      </c>
      <c r="BD68" s="729">
        <f t="shared" si="10"/>
        <v>0</v>
      </c>
      <c r="BE68" s="729">
        <f t="shared" si="11"/>
        <v>0</v>
      </c>
      <c r="BF68" s="729">
        <f t="shared" si="12"/>
        <v>0</v>
      </c>
      <c r="BG68" s="729">
        <f t="shared" si="13"/>
        <v>0</v>
      </c>
      <c r="BH68" s="729">
        <f t="shared" si="14"/>
        <v>0</v>
      </c>
      <c r="BI68" s="729">
        <f t="shared" si="15"/>
        <v>0</v>
      </c>
      <c r="BJ68" s="729">
        <f t="shared" si="16"/>
        <v>0</v>
      </c>
      <c r="BK68" s="729">
        <f t="shared" si="17"/>
        <v>0</v>
      </c>
      <c r="BL68" s="729">
        <f t="shared" si="18"/>
        <v>0</v>
      </c>
      <c r="BM68" s="729">
        <f t="shared" si="19"/>
        <v>0</v>
      </c>
      <c r="BN68" s="729">
        <f t="shared" si="20"/>
        <v>0</v>
      </c>
      <c r="BO68" s="729">
        <f t="shared" si="21"/>
        <v>0</v>
      </c>
      <c r="BP68" s="729">
        <f t="shared" si="22"/>
        <v>0</v>
      </c>
      <c r="BQ68" s="729">
        <f t="shared" si="23"/>
        <v>0</v>
      </c>
      <c r="BR68" s="729">
        <f t="shared" si="24"/>
        <v>0</v>
      </c>
      <c r="BS68" s="729">
        <f t="shared" si="25"/>
        <v>0</v>
      </c>
      <c r="BT68" s="729">
        <f t="shared" si="26"/>
        <v>0</v>
      </c>
      <c r="BU68" s="729">
        <f t="shared" si="27"/>
        <v>0</v>
      </c>
      <c r="BV68" s="729">
        <f t="shared" si="28"/>
        <v>0</v>
      </c>
      <c r="BW68" s="729">
        <f t="shared" si="29"/>
        <v>0</v>
      </c>
      <c r="BX68" s="729">
        <f t="shared" si="30"/>
        <v>0</v>
      </c>
      <c r="BY68" s="729">
        <f t="shared" si="31"/>
        <v>0</v>
      </c>
      <c r="BZ68" s="729">
        <f t="shared" si="32"/>
        <v>0</v>
      </c>
      <c r="CA68" s="729">
        <f t="shared" si="33"/>
        <v>0</v>
      </c>
      <c r="CB68" s="729">
        <f t="shared" si="34"/>
        <v>0</v>
      </c>
      <c r="CC68" s="729">
        <f t="shared" si="35"/>
        <v>0</v>
      </c>
      <c r="CD68" s="729">
        <f t="shared" si="36"/>
        <v>0</v>
      </c>
      <c r="CE68" s="729">
        <f t="shared" si="37"/>
        <v>0</v>
      </c>
      <c r="CF68" s="731">
        <f t="shared" si="38"/>
        <v>0</v>
      </c>
      <c r="CG68" s="692" t="str">
        <f t="shared" si="39"/>
        <v/>
      </c>
      <c r="CH68" s="659" t="str">
        <f t="shared" si="40"/>
        <v/>
      </c>
      <c r="CI68" s="659" t="str">
        <f t="shared" si="41"/>
        <v/>
      </c>
      <c r="CJ68" s="659" t="str">
        <f t="shared" si="42"/>
        <v/>
      </c>
      <c r="CK68" s="659" t="str">
        <f t="shared" si="43"/>
        <v/>
      </c>
      <c r="CL68" s="659" t="str">
        <f t="shared" si="44"/>
        <v/>
      </c>
      <c r="CM68" s="82" t="str">
        <f t="shared" si="45"/>
        <v/>
      </c>
      <c r="CN68" s="625" t="str">
        <f t="shared" ref="CN68:CN99" si="62">IF(I68="3",3,IF(I68="2",2,IF(I68="1",1,IF(I68=1,1,IF(I68=2,2,IF(I68=3,3,""))))))</f>
        <v/>
      </c>
      <c r="CO68" s="625" t="str">
        <f t="shared" si="52"/>
        <v>0</v>
      </c>
      <c r="CP68" s="620">
        <f t="shared" si="47"/>
        <v>0</v>
      </c>
      <c r="CQ68" s="1051" t="s">
        <v>136</v>
      </c>
      <c r="CR68" s="1080">
        <v>235065</v>
      </c>
      <c r="CS68" s="625">
        <f t="shared" si="48"/>
        <v>0</v>
      </c>
      <c r="CT68" s="625">
        <f t="shared" si="49"/>
        <v>0</v>
      </c>
      <c r="CU68" s="626" t="str">
        <f t="shared" si="50"/>
        <v>00</v>
      </c>
    </row>
    <row r="69" spans="1:99" ht="15" customHeight="1">
      <c r="A69" s="1094">
        <v>66</v>
      </c>
      <c r="B69" s="1376"/>
      <c r="C69" s="1377"/>
      <c r="D69" s="1068"/>
      <c r="E69" s="1060"/>
      <c r="F69" s="1382"/>
      <c r="G69" s="1200"/>
      <c r="H69" s="1067"/>
      <c r="I69" s="1062"/>
      <c r="J69" s="1063"/>
      <c r="K69" s="1153"/>
      <c r="L69" s="1153"/>
      <c r="M69" s="1183"/>
      <c r="N69" s="1187" t="str">
        <f t="shared" ref="N69:N113" si="63">CONCATENATE(L69,M69)</f>
        <v/>
      </c>
      <c r="O69" s="1190" t="str">
        <f t="shared" si="51"/>
        <v/>
      </c>
      <c r="P69" s="525" t="str">
        <f>IF(O69="","",VLOOKUP(O69,所属コード!$A$2:$E$189,2,FALSE))</f>
        <v/>
      </c>
      <c r="Q69" s="1164" t="str">
        <f>IF(O69="","",VLOOKUP(O69,所属コード!$A$2:$G$189,7,FALSE))</f>
        <v/>
      </c>
      <c r="R69" s="1166"/>
      <c r="S69" s="77"/>
      <c r="T69" s="77"/>
      <c r="U69" s="77"/>
      <c r="V69" s="15"/>
      <c r="X69" s="617"/>
      <c r="Y69" s="1090" t="str">
        <f t="shared" ref="Y69:Y113" si="64">IF(J69="","",IF(J69="男",1,2))</f>
        <v/>
      </c>
      <c r="Z69" s="618" t="str">
        <f t="shared" ref="Z69:Z113" si="65">ASC(H69)</f>
        <v/>
      </c>
      <c r="AA69" s="617"/>
      <c r="AB69" s="617"/>
      <c r="AC69" s="617"/>
      <c r="AD69" s="617"/>
      <c r="AE69" s="617"/>
      <c r="AF69" s="617"/>
      <c r="AG69" s="620"/>
      <c r="AH69" s="727"/>
      <c r="AI69" s="728"/>
      <c r="AJ69" s="728"/>
      <c r="AK69" s="728"/>
      <c r="AL69" s="728"/>
      <c r="AM69" s="728"/>
      <c r="AN69" s="728"/>
      <c r="AO69" s="728"/>
      <c r="AP69" s="728"/>
      <c r="AQ69" s="728"/>
      <c r="AR69" s="728"/>
      <c r="AS69" s="728"/>
      <c r="AT69" s="728"/>
      <c r="AU69" s="728"/>
      <c r="AV69" s="728"/>
      <c r="AW69" s="742"/>
      <c r="AX69" s="747">
        <f t="shared" ref="AX69:AX113" si="66">AQ69</f>
        <v>0</v>
      </c>
      <c r="AY69" s="738">
        <f t="shared" si="58"/>
        <v>0</v>
      </c>
      <c r="AZ69" s="729">
        <f t="shared" si="59"/>
        <v>0</v>
      </c>
      <c r="BA69" s="730">
        <f t="shared" si="60"/>
        <v>0</v>
      </c>
      <c r="BB69" s="729">
        <f t="shared" si="61"/>
        <v>0</v>
      </c>
      <c r="BC69" s="729">
        <f t="shared" ref="BC69:BC113" si="67">AH69</f>
        <v>0</v>
      </c>
      <c r="BD69" s="729">
        <f t="shared" ref="BD69:BD113" si="68">AL69</f>
        <v>0</v>
      </c>
      <c r="BE69" s="729">
        <f t="shared" ref="BE69:BE113" si="69">AH69</f>
        <v>0</v>
      </c>
      <c r="BF69" s="729">
        <f t="shared" ref="BF69:BF113" si="70">AL69</f>
        <v>0</v>
      </c>
      <c r="BG69" s="729">
        <f t="shared" ref="BG69:BG113" si="71">AK69</f>
        <v>0</v>
      </c>
      <c r="BH69" s="729">
        <f t="shared" ref="BH69:BH113" si="72">AH69</f>
        <v>0</v>
      </c>
      <c r="BI69" s="729">
        <f t="shared" ref="BI69:BI113" si="73">AI69</f>
        <v>0</v>
      </c>
      <c r="BJ69" s="729">
        <f t="shared" ref="BJ69:BJ113" si="74">AN69</f>
        <v>0</v>
      </c>
      <c r="BK69" s="729">
        <f t="shared" ref="BK69:BK113" si="75">AO69</f>
        <v>0</v>
      </c>
      <c r="BL69" s="729">
        <f t="shared" ref="BL69:BL113" si="76">AQ69</f>
        <v>0</v>
      </c>
      <c r="BM69" s="729">
        <f t="shared" ref="BM69:BM113" si="77">AU69</f>
        <v>0</v>
      </c>
      <c r="BN69" s="729">
        <f t="shared" ref="BN69:BN113" si="78">AV69</f>
        <v>0</v>
      </c>
      <c r="BO69" s="729">
        <f t="shared" ref="BO69:BO113" si="79">AW69</f>
        <v>0</v>
      </c>
      <c r="BP69" s="729">
        <f t="shared" ref="BP69:BP113" si="80">AP69</f>
        <v>0</v>
      </c>
      <c r="BQ69" s="729">
        <f t="shared" ref="BQ69:BQ113" si="81">AH69</f>
        <v>0</v>
      </c>
      <c r="BR69" s="729">
        <f t="shared" ref="BR69:BR113" si="82">AL69</f>
        <v>0</v>
      </c>
      <c r="BS69" s="729">
        <f t="shared" ref="BS69:BS113" si="83">AO69</f>
        <v>0</v>
      </c>
      <c r="BT69" s="729">
        <f t="shared" ref="BT69:BT113" si="84">AS69</f>
        <v>0</v>
      </c>
      <c r="BU69" s="729">
        <f t="shared" ref="BU69:BU113" si="85">AP69</f>
        <v>0</v>
      </c>
      <c r="BV69" s="729">
        <f t="shared" ref="BV69:BV113" si="86">AK69</f>
        <v>0</v>
      </c>
      <c r="BW69" s="729">
        <f t="shared" ref="BW69:BW113" si="87">AU69</f>
        <v>0</v>
      </c>
      <c r="BX69" s="729">
        <f t="shared" ref="BX69:BX113" si="88">AH69</f>
        <v>0</v>
      </c>
      <c r="BY69" s="729">
        <f t="shared" ref="BY69:BY113" si="89">AL69</f>
        <v>0</v>
      </c>
      <c r="BZ69" s="729">
        <f t="shared" ref="BZ69:BZ113" si="90">AS69</f>
        <v>0</v>
      </c>
      <c r="CA69" s="729">
        <f t="shared" ref="CA69:CA113" si="91">AS69</f>
        <v>0</v>
      </c>
      <c r="CB69" s="729">
        <f t="shared" ref="CB69:CB113" si="92">AU69</f>
        <v>0</v>
      </c>
      <c r="CC69" s="729">
        <f t="shared" ref="CC69:CC113" si="93">AH69</f>
        <v>0</v>
      </c>
      <c r="CD69" s="729">
        <f t="shared" ref="CD69:CD113" si="94">AM69</f>
        <v>0</v>
      </c>
      <c r="CE69" s="729">
        <f t="shared" ref="CE69:CE113" si="95">AN69</f>
        <v>0</v>
      </c>
      <c r="CF69" s="731">
        <f t="shared" ref="CF69:CF113" si="96">AU69</f>
        <v>0</v>
      </c>
      <c r="CG69" s="692" t="str">
        <f t="shared" ref="CG69:CG113" si="97">TRIM(G69)</f>
        <v/>
      </c>
      <c r="CH69" s="659" t="str">
        <f t="shared" ref="CH69:CH113" si="98">IF(CG69="","",LEN(CG69))</f>
        <v/>
      </c>
      <c r="CI69" s="659" t="str">
        <f t="shared" ref="CI69:CI113" si="99">IF(CG69="","",FIND("　",CG69,1))</f>
        <v/>
      </c>
      <c r="CJ69" s="659" t="str">
        <f t="shared" ref="CJ69:CJ113" si="100">IF(CG69="","",CH69-CI69)</f>
        <v/>
      </c>
      <c r="CK69" s="659" t="str">
        <f t="shared" ref="CK69:CK113" si="101">IF(CG69="","",LEFT(CG69,CI69-1))</f>
        <v/>
      </c>
      <c r="CL69" s="659" t="str">
        <f t="shared" ref="CL69:CL113" si="102">IF(CG69="","",RIGHT(CG69,CJ69))</f>
        <v/>
      </c>
      <c r="CM69" s="82" t="str">
        <f t="shared" ref="CM69:CM113" si="103">IF(CG69="","",IF(CH69=4,CONCATENATE(CK69,"　","　",CL69),IF(CH69=6,CONCATENATE(CK69,CL69),CG69)))</f>
        <v/>
      </c>
      <c r="CN69" s="625" t="str">
        <f t="shared" si="62"/>
        <v/>
      </c>
      <c r="CO69" s="625" t="str">
        <f t="shared" si="52"/>
        <v>0</v>
      </c>
      <c r="CP69" s="620">
        <f t="shared" ref="CP69:CP113" si="104">K69</f>
        <v>0</v>
      </c>
      <c r="CQ69" s="1051" t="s">
        <v>190</v>
      </c>
      <c r="CR69" s="1080">
        <v>235066</v>
      </c>
      <c r="CS69" s="625">
        <f t="shared" ref="CS69:CS113" si="105">IF(L69=1,"01",IF(L69=2,"02",IF(L69=3,"03",IF(L69=4,"04",IF(L69=5,"05",IF(L69=6,"06",IF(L69=7,"07",IF(L69=8,"08",IF(L69=9,"09",L69)))))))))</f>
        <v>0</v>
      </c>
      <c r="CT69" s="625">
        <f t="shared" ref="CT69:CT113" si="106">IF(M69=1,"01",IF(M69=2,"02",IF(M69=3,"03",IF(M69=4,"04",IF(M69=5,"05",IF(M69=6,"06",IF(M69=7,"07",IF(M69=8,"08",IF(M69=9,"09",M69)))))))))</f>
        <v>0</v>
      </c>
      <c r="CU69" s="626" t="str">
        <f t="shared" ref="CU69:CU113" si="107">CONCATENATE(CS69,CT69)</f>
        <v>00</v>
      </c>
    </row>
    <row r="70" spans="1:99" ht="15" customHeight="1">
      <c r="A70" s="1094">
        <v>67</v>
      </c>
      <c r="B70" s="1376"/>
      <c r="C70" s="1377"/>
      <c r="D70" s="1068"/>
      <c r="E70" s="1060"/>
      <c r="F70" s="1382"/>
      <c r="G70" s="1200"/>
      <c r="H70" s="1067"/>
      <c r="I70" s="1062"/>
      <c r="J70" s="1063"/>
      <c r="K70" s="1153"/>
      <c r="L70" s="1153"/>
      <c r="M70" s="1183"/>
      <c r="N70" s="1187" t="str">
        <f t="shared" si="63"/>
        <v/>
      </c>
      <c r="O70" s="1190" t="str">
        <f t="shared" ref="O70:O113" si="108">IF(G70="","",$O$4)</f>
        <v/>
      </c>
      <c r="P70" s="525" t="str">
        <f>IF(O70="","",VLOOKUP(O70,所属コード!$A$2:$E$189,2,FALSE))</f>
        <v/>
      </c>
      <c r="Q70" s="1164" t="str">
        <f>IF(O70="","",VLOOKUP(O70,所属コード!$A$2:$G$189,7,FALSE))</f>
        <v/>
      </c>
      <c r="R70" s="1166"/>
      <c r="S70" s="77"/>
      <c r="T70" s="77"/>
      <c r="U70" s="77"/>
      <c r="V70" s="15"/>
      <c r="X70" s="617"/>
      <c r="Y70" s="1090" t="str">
        <f t="shared" si="64"/>
        <v/>
      </c>
      <c r="Z70" s="618" t="str">
        <f t="shared" si="65"/>
        <v/>
      </c>
      <c r="AA70" s="617"/>
      <c r="AB70" s="617"/>
      <c r="AC70" s="617"/>
      <c r="AD70" s="617"/>
      <c r="AE70" s="617"/>
      <c r="AF70" s="617"/>
      <c r="AG70" s="620"/>
      <c r="AH70" s="727"/>
      <c r="AI70" s="728"/>
      <c r="AJ70" s="728"/>
      <c r="AK70" s="728"/>
      <c r="AL70" s="728"/>
      <c r="AM70" s="728"/>
      <c r="AN70" s="728"/>
      <c r="AO70" s="728"/>
      <c r="AP70" s="728"/>
      <c r="AQ70" s="728"/>
      <c r="AR70" s="728"/>
      <c r="AS70" s="728"/>
      <c r="AT70" s="728"/>
      <c r="AU70" s="728"/>
      <c r="AV70" s="728"/>
      <c r="AW70" s="742"/>
      <c r="AX70" s="747">
        <f t="shared" si="66"/>
        <v>0</v>
      </c>
      <c r="AY70" s="738">
        <f t="shared" si="58"/>
        <v>0</v>
      </c>
      <c r="AZ70" s="729">
        <f t="shared" si="59"/>
        <v>0</v>
      </c>
      <c r="BA70" s="730">
        <f t="shared" si="60"/>
        <v>0</v>
      </c>
      <c r="BB70" s="729">
        <f t="shared" si="61"/>
        <v>0</v>
      </c>
      <c r="BC70" s="729">
        <f t="shared" si="67"/>
        <v>0</v>
      </c>
      <c r="BD70" s="729">
        <f t="shared" si="68"/>
        <v>0</v>
      </c>
      <c r="BE70" s="729">
        <f t="shared" si="69"/>
        <v>0</v>
      </c>
      <c r="BF70" s="729">
        <f t="shared" si="70"/>
        <v>0</v>
      </c>
      <c r="BG70" s="729">
        <f t="shared" si="71"/>
        <v>0</v>
      </c>
      <c r="BH70" s="729">
        <f t="shared" si="72"/>
        <v>0</v>
      </c>
      <c r="BI70" s="729">
        <f t="shared" si="73"/>
        <v>0</v>
      </c>
      <c r="BJ70" s="729">
        <f t="shared" si="74"/>
        <v>0</v>
      </c>
      <c r="BK70" s="729">
        <f t="shared" si="75"/>
        <v>0</v>
      </c>
      <c r="BL70" s="729">
        <f t="shared" si="76"/>
        <v>0</v>
      </c>
      <c r="BM70" s="729">
        <f t="shared" si="77"/>
        <v>0</v>
      </c>
      <c r="BN70" s="729">
        <f t="shared" si="78"/>
        <v>0</v>
      </c>
      <c r="BO70" s="729">
        <f t="shared" si="79"/>
        <v>0</v>
      </c>
      <c r="BP70" s="729">
        <f t="shared" si="80"/>
        <v>0</v>
      </c>
      <c r="BQ70" s="729">
        <f t="shared" si="81"/>
        <v>0</v>
      </c>
      <c r="BR70" s="729">
        <f t="shared" si="82"/>
        <v>0</v>
      </c>
      <c r="BS70" s="729">
        <f t="shared" si="83"/>
        <v>0</v>
      </c>
      <c r="BT70" s="729">
        <f t="shared" si="84"/>
        <v>0</v>
      </c>
      <c r="BU70" s="729">
        <f t="shared" si="85"/>
        <v>0</v>
      </c>
      <c r="BV70" s="729">
        <f t="shared" si="86"/>
        <v>0</v>
      </c>
      <c r="BW70" s="729">
        <f t="shared" si="87"/>
        <v>0</v>
      </c>
      <c r="BX70" s="729">
        <f t="shared" si="88"/>
        <v>0</v>
      </c>
      <c r="BY70" s="729">
        <f t="shared" si="89"/>
        <v>0</v>
      </c>
      <c r="BZ70" s="729">
        <f t="shared" si="90"/>
        <v>0</v>
      </c>
      <c r="CA70" s="729">
        <f t="shared" si="91"/>
        <v>0</v>
      </c>
      <c r="CB70" s="729">
        <f t="shared" si="92"/>
        <v>0</v>
      </c>
      <c r="CC70" s="729">
        <f t="shared" si="93"/>
        <v>0</v>
      </c>
      <c r="CD70" s="729">
        <f t="shared" si="94"/>
        <v>0</v>
      </c>
      <c r="CE70" s="729">
        <f t="shared" si="95"/>
        <v>0</v>
      </c>
      <c r="CF70" s="731">
        <f t="shared" si="96"/>
        <v>0</v>
      </c>
      <c r="CG70" s="692" t="str">
        <f t="shared" si="97"/>
        <v/>
      </c>
      <c r="CH70" s="659" t="str">
        <f t="shared" si="98"/>
        <v/>
      </c>
      <c r="CI70" s="659" t="str">
        <f t="shared" si="99"/>
        <v/>
      </c>
      <c r="CJ70" s="659" t="str">
        <f t="shared" si="100"/>
        <v/>
      </c>
      <c r="CK70" s="659" t="str">
        <f t="shared" si="101"/>
        <v/>
      </c>
      <c r="CL70" s="659" t="str">
        <f t="shared" si="102"/>
        <v/>
      </c>
      <c r="CM70" s="82" t="str">
        <f t="shared" si="103"/>
        <v/>
      </c>
      <c r="CN70" s="625" t="str">
        <f t="shared" si="62"/>
        <v/>
      </c>
      <c r="CO70" s="625" t="str">
        <f t="shared" si="52"/>
        <v>0</v>
      </c>
      <c r="CP70" s="620">
        <f t="shared" si="104"/>
        <v>0</v>
      </c>
      <c r="CQ70" s="1051" t="s">
        <v>154</v>
      </c>
      <c r="CR70" s="1080">
        <v>235067</v>
      </c>
      <c r="CS70" s="625">
        <f t="shared" si="105"/>
        <v>0</v>
      </c>
      <c r="CT70" s="625">
        <f t="shared" si="106"/>
        <v>0</v>
      </c>
      <c r="CU70" s="626" t="str">
        <f t="shared" si="107"/>
        <v>00</v>
      </c>
    </row>
    <row r="71" spans="1:99" ht="15" customHeight="1">
      <c r="A71" s="1094">
        <v>68</v>
      </c>
      <c r="B71" s="1376"/>
      <c r="C71" s="1377"/>
      <c r="D71" s="1068"/>
      <c r="E71" s="1060"/>
      <c r="F71" s="1382"/>
      <c r="G71" s="1200"/>
      <c r="H71" s="1067"/>
      <c r="I71" s="1062"/>
      <c r="J71" s="1063"/>
      <c r="K71" s="1153"/>
      <c r="L71" s="1153"/>
      <c r="M71" s="1183"/>
      <c r="N71" s="1187" t="str">
        <f t="shared" si="63"/>
        <v/>
      </c>
      <c r="O71" s="1190" t="str">
        <f t="shared" si="108"/>
        <v/>
      </c>
      <c r="P71" s="525" t="str">
        <f>IF(O71="","",VLOOKUP(O71,所属コード!$A$2:$E$189,2,FALSE))</f>
        <v/>
      </c>
      <c r="Q71" s="1164" t="str">
        <f>IF(O71="","",VLOOKUP(O71,所属コード!$A$2:$G$189,7,FALSE))</f>
        <v/>
      </c>
      <c r="R71" s="1166"/>
      <c r="S71" s="77"/>
      <c r="T71" s="77"/>
      <c r="U71" s="77"/>
      <c r="V71" s="15"/>
      <c r="X71" s="617"/>
      <c r="Y71" s="1090" t="str">
        <f t="shared" si="64"/>
        <v/>
      </c>
      <c r="Z71" s="618" t="str">
        <f t="shared" si="65"/>
        <v/>
      </c>
      <c r="AA71" s="617"/>
      <c r="AB71" s="617"/>
      <c r="AC71" s="617"/>
      <c r="AD71" s="617"/>
      <c r="AE71" s="617"/>
      <c r="AF71" s="617"/>
      <c r="AG71" s="620"/>
      <c r="AH71" s="727"/>
      <c r="AI71" s="728"/>
      <c r="AJ71" s="728"/>
      <c r="AK71" s="728"/>
      <c r="AL71" s="728"/>
      <c r="AM71" s="728"/>
      <c r="AN71" s="728"/>
      <c r="AO71" s="728"/>
      <c r="AP71" s="728"/>
      <c r="AQ71" s="728"/>
      <c r="AR71" s="728"/>
      <c r="AS71" s="728"/>
      <c r="AT71" s="728"/>
      <c r="AU71" s="728"/>
      <c r="AV71" s="728"/>
      <c r="AW71" s="742"/>
      <c r="AX71" s="747">
        <f t="shared" si="66"/>
        <v>0</v>
      </c>
      <c r="AY71" s="738">
        <f t="shared" si="58"/>
        <v>0</v>
      </c>
      <c r="AZ71" s="729">
        <f t="shared" si="59"/>
        <v>0</v>
      </c>
      <c r="BA71" s="730">
        <f t="shared" si="60"/>
        <v>0</v>
      </c>
      <c r="BB71" s="729">
        <f t="shared" si="61"/>
        <v>0</v>
      </c>
      <c r="BC71" s="729">
        <f t="shared" si="67"/>
        <v>0</v>
      </c>
      <c r="BD71" s="729">
        <f t="shared" si="68"/>
        <v>0</v>
      </c>
      <c r="BE71" s="729">
        <f t="shared" si="69"/>
        <v>0</v>
      </c>
      <c r="BF71" s="729">
        <f t="shared" si="70"/>
        <v>0</v>
      </c>
      <c r="BG71" s="729">
        <f t="shared" si="71"/>
        <v>0</v>
      </c>
      <c r="BH71" s="729">
        <f t="shared" si="72"/>
        <v>0</v>
      </c>
      <c r="BI71" s="729">
        <f t="shared" si="73"/>
        <v>0</v>
      </c>
      <c r="BJ71" s="729">
        <f t="shared" si="74"/>
        <v>0</v>
      </c>
      <c r="BK71" s="729">
        <f t="shared" si="75"/>
        <v>0</v>
      </c>
      <c r="BL71" s="729">
        <f t="shared" si="76"/>
        <v>0</v>
      </c>
      <c r="BM71" s="729">
        <f t="shared" si="77"/>
        <v>0</v>
      </c>
      <c r="BN71" s="729">
        <f t="shared" si="78"/>
        <v>0</v>
      </c>
      <c r="BO71" s="729">
        <f t="shared" si="79"/>
        <v>0</v>
      </c>
      <c r="BP71" s="729">
        <f t="shared" si="80"/>
        <v>0</v>
      </c>
      <c r="BQ71" s="729">
        <f t="shared" si="81"/>
        <v>0</v>
      </c>
      <c r="BR71" s="729">
        <f t="shared" si="82"/>
        <v>0</v>
      </c>
      <c r="BS71" s="729">
        <f t="shared" si="83"/>
        <v>0</v>
      </c>
      <c r="BT71" s="729">
        <f t="shared" si="84"/>
        <v>0</v>
      </c>
      <c r="BU71" s="729">
        <f t="shared" si="85"/>
        <v>0</v>
      </c>
      <c r="BV71" s="729">
        <f t="shared" si="86"/>
        <v>0</v>
      </c>
      <c r="BW71" s="729">
        <f t="shared" si="87"/>
        <v>0</v>
      </c>
      <c r="BX71" s="729">
        <f t="shared" si="88"/>
        <v>0</v>
      </c>
      <c r="BY71" s="729">
        <f t="shared" si="89"/>
        <v>0</v>
      </c>
      <c r="BZ71" s="729">
        <f t="shared" si="90"/>
        <v>0</v>
      </c>
      <c r="CA71" s="729">
        <f t="shared" si="91"/>
        <v>0</v>
      </c>
      <c r="CB71" s="729">
        <f t="shared" si="92"/>
        <v>0</v>
      </c>
      <c r="CC71" s="729">
        <f t="shared" si="93"/>
        <v>0</v>
      </c>
      <c r="CD71" s="729">
        <f t="shared" si="94"/>
        <v>0</v>
      </c>
      <c r="CE71" s="729">
        <f t="shared" si="95"/>
        <v>0</v>
      </c>
      <c r="CF71" s="731">
        <f t="shared" si="96"/>
        <v>0</v>
      </c>
      <c r="CG71" s="692" t="str">
        <f t="shared" si="97"/>
        <v/>
      </c>
      <c r="CH71" s="659" t="str">
        <f t="shared" si="98"/>
        <v/>
      </c>
      <c r="CI71" s="659" t="str">
        <f t="shared" si="99"/>
        <v/>
      </c>
      <c r="CJ71" s="659" t="str">
        <f t="shared" si="100"/>
        <v/>
      </c>
      <c r="CK71" s="659" t="str">
        <f t="shared" si="101"/>
        <v/>
      </c>
      <c r="CL71" s="659" t="str">
        <f t="shared" si="102"/>
        <v/>
      </c>
      <c r="CM71" s="82" t="str">
        <f t="shared" si="103"/>
        <v/>
      </c>
      <c r="CN71" s="625" t="str">
        <f t="shared" si="62"/>
        <v/>
      </c>
      <c r="CO71" s="625" t="str">
        <f t="shared" si="52"/>
        <v>0</v>
      </c>
      <c r="CP71" s="620">
        <f t="shared" si="104"/>
        <v>0</v>
      </c>
      <c r="CQ71" s="1051" t="s">
        <v>137</v>
      </c>
      <c r="CR71" s="1080">
        <v>235068</v>
      </c>
      <c r="CS71" s="625">
        <f t="shared" si="105"/>
        <v>0</v>
      </c>
      <c r="CT71" s="625">
        <f t="shared" si="106"/>
        <v>0</v>
      </c>
      <c r="CU71" s="626" t="str">
        <f t="shared" si="107"/>
        <v>00</v>
      </c>
    </row>
    <row r="72" spans="1:99" ht="15" customHeight="1">
      <c r="A72" s="1094">
        <v>69</v>
      </c>
      <c r="B72" s="1376"/>
      <c r="C72" s="1377"/>
      <c r="D72" s="1068"/>
      <c r="E72" s="1060"/>
      <c r="F72" s="1382"/>
      <c r="G72" s="1200"/>
      <c r="H72" s="1067"/>
      <c r="I72" s="1062"/>
      <c r="J72" s="1063"/>
      <c r="K72" s="1153"/>
      <c r="L72" s="1153"/>
      <c r="M72" s="1183"/>
      <c r="N72" s="1187" t="str">
        <f t="shared" si="63"/>
        <v/>
      </c>
      <c r="O72" s="1190" t="str">
        <f t="shared" si="108"/>
        <v/>
      </c>
      <c r="P72" s="525" t="str">
        <f>IF(O72="","",VLOOKUP(O72,所属コード!$A$2:$E$189,2,FALSE))</f>
        <v/>
      </c>
      <c r="Q72" s="1164" t="str">
        <f>IF(O72="","",VLOOKUP(O72,所属コード!$A$2:$G$189,7,FALSE))</f>
        <v/>
      </c>
      <c r="R72" s="1166"/>
      <c r="S72" s="77"/>
      <c r="T72" s="77"/>
      <c r="U72" s="77"/>
      <c r="V72" s="15"/>
      <c r="X72" s="617"/>
      <c r="Y72" s="1090" t="str">
        <f t="shared" si="64"/>
        <v/>
      </c>
      <c r="Z72" s="618" t="str">
        <f t="shared" si="65"/>
        <v/>
      </c>
      <c r="AA72" s="617"/>
      <c r="AB72" s="617"/>
      <c r="AC72" s="617"/>
      <c r="AD72" s="617"/>
      <c r="AE72" s="617"/>
      <c r="AF72" s="617"/>
      <c r="AG72" s="620"/>
      <c r="AH72" s="727"/>
      <c r="AI72" s="728"/>
      <c r="AJ72" s="728"/>
      <c r="AK72" s="728"/>
      <c r="AL72" s="728"/>
      <c r="AM72" s="728"/>
      <c r="AN72" s="728"/>
      <c r="AO72" s="728"/>
      <c r="AP72" s="728"/>
      <c r="AQ72" s="728"/>
      <c r="AR72" s="728"/>
      <c r="AS72" s="728"/>
      <c r="AT72" s="728"/>
      <c r="AU72" s="728"/>
      <c r="AV72" s="728"/>
      <c r="AW72" s="742"/>
      <c r="AX72" s="747">
        <f t="shared" si="66"/>
        <v>0</v>
      </c>
      <c r="AY72" s="738">
        <f t="shared" si="58"/>
        <v>0</v>
      </c>
      <c r="AZ72" s="729">
        <f t="shared" si="59"/>
        <v>0</v>
      </c>
      <c r="BA72" s="730">
        <f t="shared" si="60"/>
        <v>0</v>
      </c>
      <c r="BB72" s="729">
        <f t="shared" si="61"/>
        <v>0</v>
      </c>
      <c r="BC72" s="729">
        <f t="shared" si="67"/>
        <v>0</v>
      </c>
      <c r="BD72" s="729">
        <f t="shared" si="68"/>
        <v>0</v>
      </c>
      <c r="BE72" s="729">
        <f t="shared" si="69"/>
        <v>0</v>
      </c>
      <c r="BF72" s="729">
        <f t="shared" si="70"/>
        <v>0</v>
      </c>
      <c r="BG72" s="729">
        <f t="shared" si="71"/>
        <v>0</v>
      </c>
      <c r="BH72" s="729">
        <f t="shared" si="72"/>
        <v>0</v>
      </c>
      <c r="BI72" s="729">
        <f t="shared" si="73"/>
        <v>0</v>
      </c>
      <c r="BJ72" s="729">
        <f t="shared" si="74"/>
        <v>0</v>
      </c>
      <c r="BK72" s="729">
        <f t="shared" si="75"/>
        <v>0</v>
      </c>
      <c r="BL72" s="729">
        <f t="shared" si="76"/>
        <v>0</v>
      </c>
      <c r="BM72" s="729">
        <f t="shared" si="77"/>
        <v>0</v>
      </c>
      <c r="BN72" s="729">
        <f t="shared" si="78"/>
        <v>0</v>
      </c>
      <c r="BO72" s="729">
        <f t="shared" si="79"/>
        <v>0</v>
      </c>
      <c r="BP72" s="729">
        <f t="shared" si="80"/>
        <v>0</v>
      </c>
      <c r="BQ72" s="729">
        <f t="shared" si="81"/>
        <v>0</v>
      </c>
      <c r="BR72" s="729">
        <f t="shared" si="82"/>
        <v>0</v>
      </c>
      <c r="BS72" s="729">
        <f t="shared" si="83"/>
        <v>0</v>
      </c>
      <c r="BT72" s="729">
        <f t="shared" si="84"/>
        <v>0</v>
      </c>
      <c r="BU72" s="729">
        <f t="shared" si="85"/>
        <v>0</v>
      </c>
      <c r="BV72" s="729">
        <f t="shared" si="86"/>
        <v>0</v>
      </c>
      <c r="BW72" s="729">
        <f t="shared" si="87"/>
        <v>0</v>
      </c>
      <c r="BX72" s="729">
        <f t="shared" si="88"/>
        <v>0</v>
      </c>
      <c r="BY72" s="729">
        <f t="shared" si="89"/>
        <v>0</v>
      </c>
      <c r="BZ72" s="729">
        <f t="shared" si="90"/>
        <v>0</v>
      </c>
      <c r="CA72" s="729">
        <f t="shared" si="91"/>
        <v>0</v>
      </c>
      <c r="CB72" s="729">
        <f t="shared" si="92"/>
        <v>0</v>
      </c>
      <c r="CC72" s="729">
        <f t="shared" si="93"/>
        <v>0</v>
      </c>
      <c r="CD72" s="729">
        <f t="shared" si="94"/>
        <v>0</v>
      </c>
      <c r="CE72" s="729">
        <f t="shared" si="95"/>
        <v>0</v>
      </c>
      <c r="CF72" s="731">
        <f t="shared" si="96"/>
        <v>0</v>
      </c>
      <c r="CG72" s="692" t="str">
        <f t="shared" si="97"/>
        <v/>
      </c>
      <c r="CH72" s="659" t="str">
        <f t="shared" si="98"/>
        <v/>
      </c>
      <c r="CI72" s="659" t="str">
        <f t="shared" si="99"/>
        <v/>
      </c>
      <c r="CJ72" s="659" t="str">
        <f t="shared" si="100"/>
        <v/>
      </c>
      <c r="CK72" s="659" t="str">
        <f t="shared" si="101"/>
        <v/>
      </c>
      <c r="CL72" s="659" t="str">
        <f t="shared" si="102"/>
        <v/>
      </c>
      <c r="CM72" s="82" t="str">
        <f t="shared" si="103"/>
        <v/>
      </c>
      <c r="CN72" s="625" t="str">
        <f t="shared" si="62"/>
        <v/>
      </c>
      <c r="CO72" s="625" t="str">
        <f t="shared" si="52"/>
        <v>0</v>
      </c>
      <c r="CP72" s="620">
        <f t="shared" si="104"/>
        <v>0</v>
      </c>
      <c r="CQ72" s="1051" t="s">
        <v>168</v>
      </c>
      <c r="CR72" s="1080">
        <v>235069</v>
      </c>
      <c r="CS72" s="625">
        <f t="shared" si="105"/>
        <v>0</v>
      </c>
      <c r="CT72" s="625">
        <f t="shared" si="106"/>
        <v>0</v>
      </c>
      <c r="CU72" s="626" t="str">
        <f t="shared" si="107"/>
        <v>00</v>
      </c>
    </row>
    <row r="73" spans="1:99" ht="15" customHeight="1">
      <c r="A73" s="1094">
        <v>70</v>
      </c>
      <c r="B73" s="1376"/>
      <c r="C73" s="1377"/>
      <c r="D73" s="1068"/>
      <c r="E73" s="1060"/>
      <c r="F73" s="1382"/>
      <c r="G73" s="1200"/>
      <c r="H73" s="1067"/>
      <c r="I73" s="1062"/>
      <c r="J73" s="1063"/>
      <c r="K73" s="1153"/>
      <c r="L73" s="1153"/>
      <c r="M73" s="1183"/>
      <c r="N73" s="1187" t="str">
        <f t="shared" si="63"/>
        <v/>
      </c>
      <c r="O73" s="1190" t="str">
        <f t="shared" si="108"/>
        <v/>
      </c>
      <c r="P73" s="525" t="str">
        <f>IF(O73="","",VLOOKUP(O73,所属コード!$A$2:$E$189,2,FALSE))</f>
        <v/>
      </c>
      <c r="Q73" s="1164" t="str">
        <f>IF(O73="","",VLOOKUP(O73,所属コード!$A$2:$G$189,7,FALSE))</f>
        <v/>
      </c>
      <c r="R73" s="1166"/>
      <c r="S73" s="77"/>
      <c r="T73" s="77"/>
      <c r="U73" s="77"/>
      <c r="V73" s="15"/>
      <c r="X73" s="617"/>
      <c r="Y73" s="1090" t="str">
        <f t="shared" si="64"/>
        <v/>
      </c>
      <c r="Z73" s="618" t="str">
        <f t="shared" si="65"/>
        <v/>
      </c>
      <c r="AA73" s="617"/>
      <c r="AB73" s="617"/>
      <c r="AC73" s="617"/>
      <c r="AD73" s="617"/>
      <c r="AE73" s="617"/>
      <c r="AF73" s="617"/>
      <c r="AG73" s="620"/>
      <c r="AH73" s="727"/>
      <c r="AI73" s="728"/>
      <c r="AJ73" s="728"/>
      <c r="AK73" s="728"/>
      <c r="AL73" s="728"/>
      <c r="AM73" s="728"/>
      <c r="AN73" s="728"/>
      <c r="AO73" s="728"/>
      <c r="AP73" s="728"/>
      <c r="AQ73" s="728"/>
      <c r="AR73" s="728"/>
      <c r="AS73" s="728"/>
      <c r="AT73" s="728"/>
      <c r="AU73" s="728"/>
      <c r="AV73" s="728"/>
      <c r="AW73" s="742"/>
      <c r="AX73" s="747">
        <f t="shared" si="66"/>
        <v>0</v>
      </c>
      <c r="AY73" s="738">
        <f t="shared" si="58"/>
        <v>0</v>
      </c>
      <c r="AZ73" s="729">
        <f t="shared" si="59"/>
        <v>0</v>
      </c>
      <c r="BA73" s="730">
        <f t="shared" si="60"/>
        <v>0</v>
      </c>
      <c r="BB73" s="729">
        <f t="shared" si="61"/>
        <v>0</v>
      </c>
      <c r="BC73" s="729">
        <f t="shared" si="67"/>
        <v>0</v>
      </c>
      <c r="BD73" s="729">
        <f t="shared" si="68"/>
        <v>0</v>
      </c>
      <c r="BE73" s="729">
        <f t="shared" si="69"/>
        <v>0</v>
      </c>
      <c r="BF73" s="729">
        <f t="shared" si="70"/>
        <v>0</v>
      </c>
      <c r="BG73" s="729">
        <f t="shared" si="71"/>
        <v>0</v>
      </c>
      <c r="BH73" s="729">
        <f t="shared" si="72"/>
        <v>0</v>
      </c>
      <c r="BI73" s="729">
        <f t="shared" si="73"/>
        <v>0</v>
      </c>
      <c r="BJ73" s="729">
        <f t="shared" si="74"/>
        <v>0</v>
      </c>
      <c r="BK73" s="729">
        <f t="shared" si="75"/>
        <v>0</v>
      </c>
      <c r="BL73" s="729">
        <f t="shared" si="76"/>
        <v>0</v>
      </c>
      <c r="BM73" s="729">
        <f t="shared" si="77"/>
        <v>0</v>
      </c>
      <c r="BN73" s="729">
        <f t="shared" si="78"/>
        <v>0</v>
      </c>
      <c r="BO73" s="729">
        <f t="shared" si="79"/>
        <v>0</v>
      </c>
      <c r="BP73" s="729">
        <f t="shared" si="80"/>
        <v>0</v>
      </c>
      <c r="BQ73" s="729">
        <f t="shared" si="81"/>
        <v>0</v>
      </c>
      <c r="BR73" s="729">
        <f t="shared" si="82"/>
        <v>0</v>
      </c>
      <c r="BS73" s="729">
        <f t="shared" si="83"/>
        <v>0</v>
      </c>
      <c r="BT73" s="729">
        <f t="shared" si="84"/>
        <v>0</v>
      </c>
      <c r="BU73" s="729">
        <f t="shared" si="85"/>
        <v>0</v>
      </c>
      <c r="BV73" s="729">
        <f t="shared" si="86"/>
        <v>0</v>
      </c>
      <c r="BW73" s="729">
        <f t="shared" si="87"/>
        <v>0</v>
      </c>
      <c r="BX73" s="729">
        <f t="shared" si="88"/>
        <v>0</v>
      </c>
      <c r="BY73" s="729">
        <f t="shared" si="89"/>
        <v>0</v>
      </c>
      <c r="BZ73" s="729">
        <f t="shared" si="90"/>
        <v>0</v>
      </c>
      <c r="CA73" s="729">
        <f t="shared" si="91"/>
        <v>0</v>
      </c>
      <c r="CB73" s="729">
        <f t="shared" si="92"/>
        <v>0</v>
      </c>
      <c r="CC73" s="729">
        <f t="shared" si="93"/>
        <v>0</v>
      </c>
      <c r="CD73" s="729">
        <f t="shared" si="94"/>
        <v>0</v>
      </c>
      <c r="CE73" s="729">
        <f t="shared" si="95"/>
        <v>0</v>
      </c>
      <c r="CF73" s="731">
        <f t="shared" si="96"/>
        <v>0</v>
      </c>
      <c r="CG73" s="692" t="str">
        <f t="shared" si="97"/>
        <v/>
      </c>
      <c r="CH73" s="659" t="str">
        <f t="shared" si="98"/>
        <v/>
      </c>
      <c r="CI73" s="659" t="str">
        <f t="shared" si="99"/>
        <v/>
      </c>
      <c r="CJ73" s="659" t="str">
        <f t="shared" si="100"/>
        <v/>
      </c>
      <c r="CK73" s="659" t="str">
        <f t="shared" si="101"/>
        <v/>
      </c>
      <c r="CL73" s="659" t="str">
        <f t="shared" si="102"/>
        <v/>
      </c>
      <c r="CM73" s="82" t="str">
        <f t="shared" si="103"/>
        <v/>
      </c>
      <c r="CN73" s="625" t="str">
        <f t="shared" si="62"/>
        <v/>
      </c>
      <c r="CO73" s="625" t="str">
        <f t="shared" si="52"/>
        <v>0</v>
      </c>
      <c r="CP73" s="620">
        <f t="shared" si="104"/>
        <v>0</v>
      </c>
      <c r="CQ73" s="1051" t="s">
        <v>789</v>
      </c>
      <c r="CR73" s="1080">
        <v>235070</v>
      </c>
      <c r="CS73" s="625">
        <f t="shared" si="105"/>
        <v>0</v>
      </c>
      <c r="CT73" s="625">
        <f t="shared" si="106"/>
        <v>0</v>
      </c>
      <c r="CU73" s="626" t="str">
        <f t="shared" si="107"/>
        <v>00</v>
      </c>
    </row>
    <row r="74" spans="1:99" ht="15" customHeight="1">
      <c r="A74" s="1094">
        <v>71</v>
      </c>
      <c r="B74" s="1376"/>
      <c r="C74" s="1377"/>
      <c r="D74" s="1068"/>
      <c r="E74" s="1060"/>
      <c r="F74" s="1382"/>
      <c r="G74" s="1200"/>
      <c r="H74" s="1067"/>
      <c r="I74" s="1062"/>
      <c r="J74" s="1063"/>
      <c r="K74" s="1153"/>
      <c r="L74" s="1153"/>
      <c r="M74" s="1183"/>
      <c r="N74" s="1187" t="str">
        <f t="shared" si="63"/>
        <v/>
      </c>
      <c r="O74" s="1190" t="str">
        <f t="shared" si="108"/>
        <v/>
      </c>
      <c r="P74" s="525" t="str">
        <f>IF(O74="","",VLOOKUP(O74,所属コード!$A$2:$E$189,2,FALSE))</f>
        <v/>
      </c>
      <c r="Q74" s="1164" t="str">
        <f>IF(O74="","",VLOOKUP(O74,所属コード!$A$2:$G$189,7,FALSE))</f>
        <v/>
      </c>
      <c r="R74" s="1166"/>
      <c r="S74" s="77"/>
      <c r="T74" s="77"/>
      <c r="U74" s="77"/>
      <c r="V74" s="15"/>
      <c r="X74" s="617"/>
      <c r="Y74" s="1090" t="str">
        <f t="shared" si="64"/>
        <v/>
      </c>
      <c r="Z74" s="618" t="str">
        <f t="shared" si="65"/>
        <v/>
      </c>
      <c r="AA74" s="617"/>
      <c r="AB74" s="617"/>
      <c r="AC74" s="617"/>
      <c r="AD74" s="617"/>
      <c r="AE74" s="617"/>
      <c r="AF74" s="617"/>
      <c r="AG74" s="620"/>
      <c r="AH74" s="727"/>
      <c r="AI74" s="728"/>
      <c r="AJ74" s="728"/>
      <c r="AK74" s="728"/>
      <c r="AL74" s="728"/>
      <c r="AM74" s="728"/>
      <c r="AN74" s="728"/>
      <c r="AO74" s="728"/>
      <c r="AP74" s="728"/>
      <c r="AQ74" s="728"/>
      <c r="AR74" s="728"/>
      <c r="AS74" s="728"/>
      <c r="AT74" s="728"/>
      <c r="AU74" s="728"/>
      <c r="AV74" s="728"/>
      <c r="AW74" s="742"/>
      <c r="AX74" s="747">
        <f t="shared" si="66"/>
        <v>0</v>
      </c>
      <c r="AY74" s="738">
        <f t="shared" si="58"/>
        <v>0</v>
      </c>
      <c r="AZ74" s="729">
        <f t="shared" si="59"/>
        <v>0</v>
      </c>
      <c r="BA74" s="730">
        <f t="shared" si="60"/>
        <v>0</v>
      </c>
      <c r="BB74" s="729">
        <f t="shared" si="61"/>
        <v>0</v>
      </c>
      <c r="BC74" s="729">
        <f t="shared" si="67"/>
        <v>0</v>
      </c>
      <c r="BD74" s="729">
        <f t="shared" si="68"/>
        <v>0</v>
      </c>
      <c r="BE74" s="729">
        <f t="shared" si="69"/>
        <v>0</v>
      </c>
      <c r="BF74" s="729">
        <f t="shared" si="70"/>
        <v>0</v>
      </c>
      <c r="BG74" s="729">
        <f t="shared" si="71"/>
        <v>0</v>
      </c>
      <c r="BH74" s="729">
        <f t="shared" si="72"/>
        <v>0</v>
      </c>
      <c r="BI74" s="729">
        <f t="shared" si="73"/>
        <v>0</v>
      </c>
      <c r="BJ74" s="729">
        <f t="shared" si="74"/>
        <v>0</v>
      </c>
      <c r="BK74" s="729">
        <f t="shared" si="75"/>
        <v>0</v>
      </c>
      <c r="BL74" s="729">
        <f t="shared" si="76"/>
        <v>0</v>
      </c>
      <c r="BM74" s="729">
        <f t="shared" si="77"/>
        <v>0</v>
      </c>
      <c r="BN74" s="729">
        <f t="shared" si="78"/>
        <v>0</v>
      </c>
      <c r="BO74" s="729">
        <f t="shared" si="79"/>
        <v>0</v>
      </c>
      <c r="BP74" s="729">
        <f t="shared" si="80"/>
        <v>0</v>
      </c>
      <c r="BQ74" s="729">
        <f t="shared" si="81"/>
        <v>0</v>
      </c>
      <c r="BR74" s="729">
        <f t="shared" si="82"/>
        <v>0</v>
      </c>
      <c r="BS74" s="729">
        <f t="shared" si="83"/>
        <v>0</v>
      </c>
      <c r="BT74" s="729">
        <f t="shared" si="84"/>
        <v>0</v>
      </c>
      <c r="BU74" s="729">
        <f t="shared" si="85"/>
        <v>0</v>
      </c>
      <c r="BV74" s="729">
        <f t="shared" si="86"/>
        <v>0</v>
      </c>
      <c r="BW74" s="729">
        <f t="shared" si="87"/>
        <v>0</v>
      </c>
      <c r="BX74" s="729">
        <f t="shared" si="88"/>
        <v>0</v>
      </c>
      <c r="BY74" s="729">
        <f t="shared" si="89"/>
        <v>0</v>
      </c>
      <c r="BZ74" s="729">
        <f t="shared" si="90"/>
        <v>0</v>
      </c>
      <c r="CA74" s="729">
        <f t="shared" si="91"/>
        <v>0</v>
      </c>
      <c r="CB74" s="729">
        <f t="shared" si="92"/>
        <v>0</v>
      </c>
      <c r="CC74" s="729">
        <f t="shared" si="93"/>
        <v>0</v>
      </c>
      <c r="CD74" s="729">
        <f t="shared" si="94"/>
        <v>0</v>
      </c>
      <c r="CE74" s="729">
        <f t="shared" si="95"/>
        <v>0</v>
      </c>
      <c r="CF74" s="731">
        <f t="shared" si="96"/>
        <v>0</v>
      </c>
      <c r="CG74" s="692" t="str">
        <f t="shared" si="97"/>
        <v/>
      </c>
      <c r="CH74" s="659" t="str">
        <f t="shared" si="98"/>
        <v/>
      </c>
      <c r="CI74" s="659" t="str">
        <f t="shared" si="99"/>
        <v/>
      </c>
      <c r="CJ74" s="659" t="str">
        <f t="shared" si="100"/>
        <v/>
      </c>
      <c r="CK74" s="659" t="str">
        <f t="shared" si="101"/>
        <v/>
      </c>
      <c r="CL74" s="659" t="str">
        <f t="shared" si="102"/>
        <v/>
      </c>
      <c r="CM74" s="82" t="str">
        <f t="shared" si="103"/>
        <v/>
      </c>
      <c r="CN74" s="625" t="str">
        <f t="shared" si="62"/>
        <v/>
      </c>
      <c r="CO74" s="625" t="str">
        <f t="shared" si="52"/>
        <v>0</v>
      </c>
      <c r="CP74" s="620">
        <f t="shared" si="104"/>
        <v>0</v>
      </c>
      <c r="CQ74" s="1051" t="s">
        <v>300</v>
      </c>
      <c r="CR74" s="1080">
        <v>235071</v>
      </c>
      <c r="CS74" s="625">
        <f t="shared" si="105"/>
        <v>0</v>
      </c>
      <c r="CT74" s="625">
        <f t="shared" si="106"/>
        <v>0</v>
      </c>
      <c r="CU74" s="626" t="str">
        <f t="shared" si="107"/>
        <v>00</v>
      </c>
    </row>
    <row r="75" spans="1:99" ht="15" customHeight="1">
      <c r="A75" s="1094">
        <v>72</v>
      </c>
      <c r="B75" s="1376"/>
      <c r="C75" s="1377"/>
      <c r="D75" s="1068"/>
      <c r="E75" s="1060"/>
      <c r="F75" s="1382"/>
      <c r="G75" s="1200"/>
      <c r="H75" s="1067"/>
      <c r="I75" s="1062"/>
      <c r="J75" s="1063"/>
      <c r="K75" s="1153"/>
      <c r="L75" s="1153"/>
      <c r="M75" s="1183"/>
      <c r="N75" s="1187" t="str">
        <f t="shared" si="63"/>
        <v/>
      </c>
      <c r="O75" s="1190" t="str">
        <f t="shared" si="108"/>
        <v/>
      </c>
      <c r="P75" s="525" t="str">
        <f>IF(O75="","",VLOOKUP(O75,所属コード!$A$2:$E$189,2,FALSE))</f>
        <v/>
      </c>
      <c r="Q75" s="1164" t="str">
        <f>IF(O75="","",VLOOKUP(O75,所属コード!$A$2:$G$189,7,FALSE))</f>
        <v/>
      </c>
      <c r="R75" s="1166"/>
      <c r="S75" s="77"/>
      <c r="T75" s="77"/>
      <c r="U75" s="77"/>
      <c r="V75" s="15"/>
      <c r="X75" s="617"/>
      <c r="Y75" s="1090" t="str">
        <f t="shared" si="64"/>
        <v/>
      </c>
      <c r="Z75" s="618" t="str">
        <f t="shared" si="65"/>
        <v/>
      </c>
      <c r="AA75" s="617"/>
      <c r="AB75" s="617"/>
      <c r="AC75" s="617"/>
      <c r="AD75" s="617"/>
      <c r="AE75" s="617"/>
      <c r="AF75" s="617"/>
      <c r="AG75" s="620"/>
      <c r="AH75" s="727"/>
      <c r="AI75" s="728"/>
      <c r="AJ75" s="728"/>
      <c r="AK75" s="728"/>
      <c r="AL75" s="728"/>
      <c r="AM75" s="728"/>
      <c r="AN75" s="728"/>
      <c r="AO75" s="728"/>
      <c r="AP75" s="728"/>
      <c r="AQ75" s="728"/>
      <c r="AR75" s="728"/>
      <c r="AS75" s="728"/>
      <c r="AT75" s="728"/>
      <c r="AU75" s="728"/>
      <c r="AV75" s="728"/>
      <c r="AW75" s="742"/>
      <c r="AX75" s="747">
        <f t="shared" si="66"/>
        <v>0</v>
      </c>
      <c r="AY75" s="738">
        <f t="shared" si="58"/>
        <v>0</v>
      </c>
      <c r="AZ75" s="729">
        <f t="shared" si="59"/>
        <v>0</v>
      </c>
      <c r="BA75" s="730">
        <f t="shared" si="60"/>
        <v>0</v>
      </c>
      <c r="BB75" s="729">
        <f t="shared" si="61"/>
        <v>0</v>
      </c>
      <c r="BC75" s="729">
        <f t="shared" si="67"/>
        <v>0</v>
      </c>
      <c r="BD75" s="729">
        <f t="shared" si="68"/>
        <v>0</v>
      </c>
      <c r="BE75" s="729">
        <f t="shared" si="69"/>
        <v>0</v>
      </c>
      <c r="BF75" s="729">
        <f t="shared" si="70"/>
        <v>0</v>
      </c>
      <c r="BG75" s="729">
        <f t="shared" si="71"/>
        <v>0</v>
      </c>
      <c r="BH75" s="729">
        <f t="shared" si="72"/>
        <v>0</v>
      </c>
      <c r="BI75" s="729">
        <f t="shared" si="73"/>
        <v>0</v>
      </c>
      <c r="BJ75" s="729">
        <f t="shared" si="74"/>
        <v>0</v>
      </c>
      <c r="BK75" s="729">
        <f t="shared" si="75"/>
        <v>0</v>
      </c>
      <c r="BL75" s="729">
        <f t="shared" si="76"/>
        <v>0</v>
      </c>
      <c r="BM75" s="729">
        <f t="shared" si="77"/>
        <v>0</v>
      </c>
      <c r="BN75" s="729">
        <f t="shared" si="78"/>
        <v>0</v>
      </c>
      <c r="BO75" s="729">
        <f t="shared" si="79"/>
        <v>0</v>
      </c>
      <c r="BP75" s="729">
        <f t="shared" si="80"/>
        <v>0</v>
      </c>
      <c r="BQ75" s="729">
        <f t="shared" si="81"/>
        <v>0</v>
      </c>
      <c r="BR75" s="729">
        <f t="shared" si="82"/>
        <v>0</v>
      </c>
      <c r="BS75" s="729">
        <f t="shared" si="83"/>
        <v>0</v>
      </c>
      <c r="BT75" s="729">
        <f t="shared" si="84"/>
        <v>0</v>
      </c>
      <c r="BU75" s="729">
        <f t="shared" si="85"/>
        <v>0</v>
      </c>
      <c r="BV75" s="729">
        <f t="shared" si="86"/>
        <v>0</v>
      </c>
      <c r="BW75" s="729">
        <f t="shared" si="87"/>
        <v>0</v>
      </c>
      <c r="BX75" s="729">
        <f t="shared" si="88"/>
        <v>0</v>
      </c>
      <c r="BY75" s="729">
        <f t="shared" si="89"/>
        <v>0</v>
      </c>
      <c r="BZ75" s="729">
        <f t="shared" si="90"/>
        <v>0</v>
      </c>
      <c r="CA75" s="729">
        <f t="shared" si="91"/>
        <v>0</v>
      </c>
      <c r="CB75" s="729">
        <f t="shared" si="92"/>
        <v>0</v>
      </c>
      <c r="CC75" s="729">
        <f t="shared" si="93"/>
        <v>0</v>
      </c>
      <c r="CD75" s="729">
        <f t="shared" si="94"/>
        <v>0</v>
      </c>
      <c r="CE75" s="729">
        <f t="shared" si="95"/>
        <v>0</v>
      </c>
      <c r="CF75" s="731">
        <f t="shared" si="96"/>
        <v>0</v>
      </c>
      <c r="CG75" s="692" t="str">
        <f t="shared" si="97"/>
        <v/>
      </c>
      <c r="CH75" s="659" t="str">
        <f t="shared" si="98"/>
        <v/>
      </c>
      <c r="CI75" s="659" t="str">
        <f t="shared" si="99"/>
        <v/>
      </c>
      <c r="CJ75" s="659" t="str">
        <f t="shared" si="100"/>
        <v/>
      </c>
      <c r="CK75" s="659" t="str">
        <f t="shared" si="101"/>
        <v/>
      </c>
      <c r="CL75" s="659" t="str">
        <f t="shared" si="102"/>
        <v/>
      </c>
      <c r="CM75" s="82" t="str">
        <f t="shared" si="103"/>
        <v/>
      </c>
      <c r="CN75" s="625" t="str">
        <f t="shared" si="62"/>
        <v/>
      </c>
      <c r="CO75" s="625" t="str">
        <f t="shared" si="52"/>
        <v>0</v>
      </c>
      <c r="CP75" s="620">
        <f t="shared" si="104"/>
        <v>0</v>
      </c>
      <c r="CQ75" s="1051" t="s">
        <v>32</v>
      </c>
      <c r="CR75" s="1080">
        <v>235072</v>
      </c>
      <c r="CS75" s="625">
        <f t="shared" si="105"/>
        <v>0</v>
      </c>
      <c r="CT75" s="625">
        <f t="shared" si="106"/>
        <v>0</v>
      </c>
      <c r="CU75" s="626" t="str">
        <f t="shared" si="107"/>
        <v>00</v>
      </c>
    </row>
    <row r="76" spans="1:99" ht="15" customHeight="1">
      <c r="A76" s="1094">
        <v>73</v>
      </c>
      <c r="B76" s="1376"/>
      <c r="C76" s="1377"/>
      <c r="D76" s="1068"/>
      <c r="E76" s="1060"/>
      <c r="F76" s="1382"/>
      <c r="G76" s="1200"/>
      <c r="H76" s="1067"/>
      <c r="I76" s="1062"/>
      <c r="J76" s="1063"/>
      <c r="K76" s="1153"/>
      <c r="L76" s="1153"/>
      <c r="M76" s="1183"/>
      <c r="N76" s="1187" t="str">
        <f t="shared" si="63"/>
        <v/>
      </c>
      <c r="O76" s="1190" t="str">
        <f t="shared" si="108"/>
        <v/>
      </c>
      <c r="P76" s="525" t="str">
        <f>IF(O76="","",VLOOKUP(O76,所属コード!$A$2:$E$189,2,FALSE))</f>
        <v/>
      </c>
      <c r="Q76" s="1164" t="str">
        <f>IF(O76="","",VLOOKUP(O76,所属コード!$A$2:$G$189,7,FALSE))</f>
        <v/>
      </c>
      <c r="R76" s="1166"/>
      <c r="S76" s="77"/>
      <c r="T76" s="77"/>
      <c r="U76" s="77"/>
      <c r="V76" s="15"/>
      <c r="X76" s="617"/>
      <c r="Y76" s="1090" t="str">
        <f t="shared" si="64"/>
        <v/>
      </c>
      <c r="Z76" s="618" t="str">
        <f t="shared" si="65"/>
        <v/>
      </c>
      <c r="AA76" s="617"/>
      <c r="AB76" s="617"/>
      <c r="AC76" s="617"/>
      <c r="AD76" s="617"/>
      <c r="AE76" s="617"/>
      <c r="AF76" s="617"/>
      <c r="AG76" s="620"/>
      <c r="AH76" s="727"/>
      <c r="AI76" s="728"/>
      <c r="AJ76" s="728"/>
      <c r="AK76" s="728"/>
      <c r="AL76" s="728"/>
      <c r="AM76" s="728"/>
      <c r="AN76" s="728"/>
      <c r="AO76" s="728"/>
      <c r="AP76" s="728"/>
      <c r="AQ76" s="728"/>
      <c r="AR76" s="728"/>
      <c r="AS76" s="728"/>
      <c r="AT76" s="728"/>
      <c r="AU76" s="728"/>
      <c r="AV76" s="728"/>
      <c r="AW76" s="742"/>
      <c r="AX76" s="747">
        <f t="shared" si="66"/>
        <v>0</v>
      </c>
      <c r="AY76" s="738">
        <f t="shared" si="58"/>
        <v>0</v>
      </c>
      <c r="AZ76" s="729">
        <f t="shared" si="59"/>
        <v>0</v>
      </c>
      <c r="BA76" s="730">
        <f t="shared" si="60"/>
        <v>0</v>
      </c>
      <c r="BB76" s="729">
        <f t="shared" si="61"/>
        <v>0</v>
      </c>
      <c r="BC76" s="729">
        <f t="shared" si="67"/>
        <v>0</v>
      </c>
      <c r="BD76" s="729">
        <f t="shared" si="68"/>
        <v>0</v>
      </c>
      <c r="BE76" s="729">
        <f t="shared" si="69"/>
        <v>0</v>
      </c>
      <c r="BF76" s="729">
        <f t="shared" si="70"/>
        <v>0</v>
      </c>
      <c r="BG76" s="729">
        <f t="shared" si="71"/>
        <v>0</v>
      </c>
      <c r="BH76" s="729">
        <f t="shared" si="72"/>
        <v>0</v>
      </c>
      <c r="BI76" s="729">
        <f t="shared" si="73"/>
        <v>0</v>
      </c>
      <c r="BJ76" s="729">
        <f t="shared" si="74"/>
        <v>0</v>
      </c>
      <c r="BK76" s="729">
        <f t="shared" si="75"/>
        <v>0</v>
      </c>
      <c r="BL76" s="729">
        <f t="shared" si="76"/>
        <v>0</v>
      </c>
      <c r="BM76" s="729">
        <f t="shared" si="77"/>
        <v>0</v>
      </c>
      <c r="BN76" s="729">
        <f t="shared" si="78"/>
        <v>0</v>
      </c>
      <c r="BO76" s="729">
        <f t="shared" si="79"/>
        <v>0</v>
      </c>
      <c r="BP76" s="729">
        <f t="shared" si="80"/>
        <v>0</v>
      </c>
      <c r="BQ76" s="729">
        <f t="shared" si="81"/>
        <v>0</v>
      </c>
      <c r="BR76" s="729">
        <f t="shared" si="82"/>
        <v>0</v>
      </c>
      <c r="BS76" s="729">
        <f t="shared" si="83"/>
        <v>0</v>
      </c>
      <c r="BT76" s="729">
        <f t="shared" si="84"/>
        <v>0</v>
      </c>
      <c r="BU76" s="729">
        <f t="shared" si="85"/>
        <v>0</v>
      </c>
      <c r="BV76" s="729">
        <f t="shared" si="86"/>
        <v>0</v>
      </c>
      <c r="BW76" s="729">
        <f t="shared" si="87"/>
        <v>0</v>
      </c>
      <c r="BX76" s="729">
        <f t="shared" si="88"/>
        <v>0</v>
      </c>
      <c r="BY76" s="729">
        <f t="shared" si="89"/>
        <v>0</v>
      </c>
      <c r="BZ76" s="729">
        <f t="shared" si="90"/>
        <v>0</v>
      </c>
      <c r="CA76" s="729">
        <f t="shared" si="91"/>
        <v>0</v>
      </c>
      <c r="CB76" s="729">
        <f t="shared" si="92"/>
        <v>0</v>
      </c>
      <c r="CC76" s="729">
        <f t="shared" si="93"/>
        <v>0</v>
      </c>
      <c r="CD76" s="729">
        <f t="shared" si="94"/>
        <v>0</v>
      </c>
      <c r="CE76" s="729">
        <f t="shared" si="95"/>
        <v>0</v>
      </c>
      <c r="CF76" s="731">
        <f t="shared" si="96"/>
        <v>0</v>
      </c>
      <c r="CG76" s="692" t="str">
        <f t="shared" si="97"/>
        <v/>
      </c>
      <c r="CH76" s="659" t="str">
        <f t="shared" si="98"/>
        <v/>
      </c>
      <c r="CI76" s="659" t="str">
        <f t="shared" si="99"/>
        <v/>
      </c>
      <c r="CJ76" s="659" t="str">
        <f t="shared" si="100"/>
        <v/>
      </c>
      <c r="CK76" s="659" t="str">
        <f t="shared" si="101"/>
        <v/>
      </c>
      <c r="CL76" s="659" t="str">
        <f t="shared" si="102"/>
        <v/>
      </c>
      <c r="CM76" s="82" t="str">
        <f t="shared" si="103"/>
        <v/>
      </c>
      <c r="CN76" s="625" t="str">
        <f t="shared" si="62"/>
        <v/>
      </c>
      <c r="CO76" s="625" t="str">
        <f t="shared" si="52"/>
        <v>0</v>
      </c>
      <c r="CP76" s="620">
        <f t="shared" si="104"/>
        <v>0</v>
      </c>
      <c r="CQ76" s="1051" t="s">
        <v>69</v>
      </c>
      <c r="CR76" s="1080">
        <v>235073</v>
      </c>
      <c r="CS76" s="625">
        <f t="shared" si="105"/>
        <v>0</v>
      </c>
      <c r="CT76" s="625">
        <f t="shared" si="106"/>
        <v>0</v>
      </c>
      <c r="CU76" s="626" t="str">
        <f t="shared" si="107"/>
        <v>00</v>
      </c>
    </row>
    <row r="77" spans="1:99" ht="15" customHeight="1">
      <c r="A77" s="1094">
        <v>74</v>
      </c>
      <c r="B77" s="1376"/>
      <c r="C77" s="1377"/>
      <c r="D77" s="1068"/>
      <c r="E77" s="1060"/>
      <c r="F77" s="1382"/>
      <c r="G77" s="1200"/>
      <c r="H77" s="1067"/>
      <c r="I77" s="1062"/>
      <c r="J77" s="1063"/>
      <c r="K77" s="1153"/>
      <c r="L77" s="1153"/>
      <c r="M77" s="1183"/>
      <c r="N77" s="1187" t="str">
        <f t="shared" si="63"/>
        <v/>
      </c>
      <c r="O77" s="1190" t="str">
        <f t="shared" si="108"/>
        <v/>
      </c>
      <c r="P77" s="525" t="str">
        <f>IF(O77="","",VLOOKUP(O77,所属コード!$A$2:$E$189,2,FALSE))</f>
        <v/>
      </c>
      <c r="Q77" s="1164" t="str">
        <f>IF(O77="","",VLOOKUP(O77,所属コード!$A$2:$G$189,7,FALSE))</f>
        <v/>
      </c>
      <c r="R77" s="1166"/>
      <c r="S77" s="77"/>
      <c r="T77" s="77"/>
      <c r="U77" s="77"/>
      <c r="V77" s="15"/>
      <c r="X77" s="617"/>
      <c r="Y77" s="1090" t="str">
        <f t="shared" si="64"/>
        <v/>
      </c>
      <c r="Z77" s="618" t="str">
        <f t="shared" si="65"/>
        <v/>
      </c>
      <c r="AA77" s="617"/>
      <c r="AB77" s="617"/>
      <c r="AC77" s="617"/>
      <c r="AD77" s="617"/>
      <c r="AE77" s="617"/>
      <c r="AF77" s="617"/>
      <c r="AG77" s="620"/>
      <c r="AH77" s="727"/>
      <c r="AI77" s="728"/>
      <c r="AJ77" s="728"/>
      <c r="AK77" s="728"/>
      <c r="AL77" s="728"/>
      <c r="AM77" s="728"/>
      <c r="AN77" s="728"/>
      <c r="AO77" s="728"/>
      <c r="AP77" s="728"/>
      <c r="AQ77" s="728"/>
      <c r="AR77" s="728"/>
      <c r="AS77" s="728"/>
      <c r="AT77" s="728"/>
      <c r="AU77" s="728"/>
      <c r="AV77" s="728"/>
      <c r="AW77" s="742"/>
      <c r="AX77" s="747">
        <f t="shared" si="66"/>
        <v>0</v>
      </c>
      <c r="AY77" s="738">
        <f t="shared" si="58"/>
        <v>0</v>
      </c>
      <c r="AZ77" s="729">
        <f t="shared" si="59"/>
        <v>0</v>
      </c>
      <c r="BA77" s="730">
        <f t="shared" si="60"/>
        <v>0</v>
      </c>
      <c r="BB77" s="729">
        <f t="shared" si="61"/>
        <v>0</v>
      </c>
      <c r="BC77" s="729">
        <f t="shared" si="67"/>
        <v>0</v>
      </c>
      <c r="BD77" s="729">
        <f t="shared" si="68"/>
        <v>0</v>
      </c>
      <c r="BE77" s="729">
        <f t="shared" si="69"/>
        <v>0</v>
      </c>
      <c r="BF77" s="729">
        <f t="shared" si="70"/>
        <v>0</v>
      </c>
      <c r="BG77" s="729">
        <f t="shared" si="71"/>
        <v>0</v>
      </c>
      <c r="BH77" s="729">
        <f t="shared" si="72"/>
        <v>0</v>
      </c>
      <c r="BI77" s="729">
        <f t="shared" si="73"/>
        <v>0</v>
      </c>
      <c r="BJ77" s="729">
        <f t="shared" si="74"/>
        <v>0</v>
      </c>
      <c r="BK77" s="729">
        <f t="shared" si="75"/>
        <v>0</v>
      </c>
      <c r="BL77" s="729">
        <f t="shared" si="76"/>
        <v>0</v>
      </c>
      <c r="BM77" s="729">
        <f t="shared" si="77"/>
        <v>0</v>
      </c>
      <c r="BN77" s="729">
        <f t="shared" si="78"/>
        <v>0</v>
      </c>
      <c r="BO77" s="729">
        <f t="shared" si="79"/>
        <v>0</v>
      </c>
      <c r="BP77" s="729">
        <f t="shared" si="80"/>
        <v>0</v>
      </c>
      <c r="BQ77" s="729">
        <f t="shared" si="81"/>
        <v>0</v>
      </c>
      <c r="BR77" s="729">
        <f t="shared" si="82"/>
        <v>0</v>
      </c>
      <c r="BS77" s="729">
        <f t="shared" si="83"/>
        <v>0</v>
      </c>
      <c r="BT77" s="729">
        <f t="shared" si="84"/>
        <v>0</v>
      </c>
      <c r="BU77" s="729">
        <f t="shared" si="85"/>
        <v>0</v>
      </c>
      <c r="BV77" s="729">
        <f t="shared" si="86"/>
        <v>0</v>
      </c>
      <c r="BW77" s="729">
        <f t="shared" si="87"/>
        <v>0</v>
      </c>
      <c r="BX77" s="729">
        <f t="shared" si="88"/>
        <v>0</v>
      </c>
      <c r="BY77" s="729">
        <f t="shared" si="89"/>
        <v>0</v>
      </c>
      <c r="BZ77" s="729">
        <f t="shared" si="90"/>
        <v>0</v>
      </c>
      <c r="CA77" s="729">
        <f t="shared" si="91"/>
        <v>0</v>
      </c>
      <c r="CB77" s="729">
        <f t="shared" si="92"/>
        <v>0</v>
      </c>
      <c r="CC77" s="729">
        <f t="shared" si="93"/>
        <v>0</v>
      </c>
      <c r="CD77" s="729">
        <f t="shared" si="94"/>
        <v>0</v>
      </c>
      <c r="CE77" s="729">
        <f t="shared" si="95"/>
        <v>0</v>
      </c>
      <c r="CF77" s="731">
        <f t="shared" si="96"/>
        <v>0</v>
      </c>
      <c r="CG77" s="692" t="str">
        <f t="shared" si="97"/>
        <v/>
      </c>
      <c r="CH77" s="659" t="str">
        <f t="shared" si="98"/>
        <v/>
      </c>
      <c r="CI77" s="659" t="str">
        <f t="shared" si="99"/>
        <v/>
      </c>
      <c r="CJ77" s="659" t="str">
        <f t="shared" si="100"/>
        <v/>
      </c>
      <c r="CK77" s="659" t="str">
        <f t="shared" si="101"/>
        <v/>
      </c>
      <c r="CL77" s="659" t="str">
        <f t="shared" si="102"/>
        <v/>
      </c>
      <c r="CM77" s="82" t="str">
        <f t="shared" si="103"/>
        <v/>
      </c>
      <c r="CN77" s="625" t="str">
        <f t="shared" si="62"/>
        <v/>
      </c>
      <c r="CO77" s="625" t="str">
        <f t="shared" si="52"/>
        <v>0</v>
      </c>
      <c r="CP77" s="620">
        <f t="shared" si="104"/>
        <v>0</v>
      </c>
      <c r="CQ77" s="1051" t="s">
        <v>70</v>
      </c>
      <c r="CR77" s="1080">
        <v>235074</v>
      </c>
      <c r="CS77" s="625">
        <f t="shared" si="105"/>
        <v>0</v>
      </c>
      <c r="CT77" s="625">
        <f t="shared" si="106"/>
        <v>0</v>
      </c>
      <c r="CU77" s="626" t="str">
        <f t="shared" si="107"/>
        <v>00</v>
      </c>
    </row>
    <row r="78" spans="1:99" ht="15" customHeight="1">
      <c r="A78" s="1094">
        <v>75</v>
      </c>
      <c r="B78" s="1376"/>
      <c r="C78" s="1377"/>
      <c r="D78" s="1068"/>
      <c r="E78" s="1060"/>
      <c r="F78" s="1382"/>
      <c r="G78" s="1200"/>
      <c r="H78" s="1067"/>
      <c r="I78" s="1062"/>
      <c r="J78" s="1063"/>
      <c r="K78" s="1153"/>
      <c r="L78" s="1153"/>
      <c r="M78" s="1183"/>
      <c r="N78" s="1187" t="str">
        <f t="shared" si="63"/>
        <v/>
      </c>
      <c r="O78" s="1190" t="str">
        <f t="shared" si="108"/>
        <v/>
      </c>
      <c r="P78" s="525" t="str">
        <f>IF(O78="","",VLOOKUP(O78,所属コード!$A$2:$E$189,2,FALSE))</f>
        <v/>
      </c>
      <c r="Q78" s="1164" t="str">
        <f>IF(O78="","",VLOOKUP(O78,所属コード!$A$2:$G$189,7,FALSE))</f>
        <v/>
      </c>
      <c r="R78" s="1166"/>
      <c r="S78" s="77"/>
      <c r="T78" s="77"/>
      <c r="U78" s="77"/>
      <c r="V78" s="15"/>
      <c r="X78" s="617"/>
      <c r="Y78" s="1090" t="str">
        <f t="shared" si="64"/>
        <v/>
      </c>
      <c r="Z78" s="618" t="str">
        <f t="shared" si="65"/>
        <v/>
      </c>
      <c r="AA78" s="617"/>
      <c r="AB78" s="617"/>
      <c r="AC78" s="617"/>
      <c r="AD78" s="617"/>
      <c r="AE78" s="617"/>
      <c r="AF78" s="617"/>
      <c r="AG78" s="620"/>
      <c r="AH78" s="727"/>
      <c r="AI78" s="728"/>
      <c r="AJ78" s="728"/>
      <c r="AK78" s="728"/>
      <c r="AL78" s="728"/>
      <c r="AM78" s="728"/>
      <c r="AN78" s="728"/>
      <c r="AO78" s="728"/>
      <c r="AP78" s="728"/>
      <c r="AQ78" s="728"/>
      <c r="AR78" s="728"/>
      <c r="AS78" s="728"/>
      <c r="AT78" s="728"/>
      <c r="AU78" s="728"/>
      <c r="AV78" s="728"/>
      <c r="AW78" s="742"/>
      <c r="AX78" s="747">
        <f t="shared" si="66"/>
        <v>0</v>
      </c>
      <c r="AY78" s="738">
        <f t="shared" si="58"/>
        <v>0</v>
      </c>
      <c r="AZ78" s="729">
        <f t="shared" si="59"/>
        <v>0</v>
      </c>
      <c r="BA78" s="730">
        <f t="shared" si="60"/>
        <v>0</v>
      </c>
      <c r="BB78" s="729">
        <f t="shared" si="61"/>
        <v>0</v>
      </c>
      <c r="BC78" s="729">
        <f t="shared" si="67"/>
        <v>0</v>
      </c>
      <c r="BD78" s="729">
        <f t="shared" si="68"/>
        <v>0</v>
      </c>
      <c r="BE78" s="729">
        <f t="shared" si="69"/>
        <v>0</v>
      </c>
      <c r="BF78" s="729">
        <f t="shared" si="70"/>
        <v>0</v>
      </c>
      <c r="BG78" s="729">
        <f t="shared" si="71"/>
        <v>0</v>
      </c>
      <c r="BH78" s="729">
        <f t="shared" si="72"/>
        <v>0</v>
      </c>
      <c r="BI78" s="729">
        <f t="shared" si="73"/>
        <v>0</v>
      </c>
      <c r="BJ78" s="729">
        <f t="shared" si="74"/>
        <v>0</v>
      </c>
      <c r="BK78" s="729">
        <f t="shared" si="75"/>
        <v>0</v>
      </c>
      <c r="BL78" s="729">
        <f t="shared" si="76"/>
        <v>0</v>
      </c>
      <c r="BM78" s="729">
        <f t="shared" si="77"/>
        <v>0</v>
      </c>
      <c r="BN78" s="729">
        <f t="shared" si="78"/>
        <v>0</v>
      </c>
      <c r="BO78" s="729">
        <f t="shared" si="79"/>
        <v>0</v>
      </c>
      <c r="BP78" s="729">
        <f t="shared" si="80"/>
        <v>0</v>
      </c>
      <c r="BQ78" s="729">
        <f t="shared" si="81"/>
        <v>0</v>
      </c>
      <c r="BR78" s="729">
        <f t="shared" si="82"/>
        <v>0</v>
      </c>
      <c r="BS78" s="729">
        <f t="shared" si="83"/>
        <v>0</v>
      </c>
      <c r="BT78" s="729">
        <f t="shared" si="84"/>
        <v>0</v>
      </c>
      <c r="BU78" s="729">
        <f t="shared" si="85"/>
        <v>0</v>
      </c>
      <c r="BV78" s="729">
        <f t="shared" si="86"/>
        <v>0</v>
      </c>
      <c r="BW78" s="729">
        <f t="shared" si="87"/>
        <v>0</v>
      </c>
      <c r="BX78" s="729">
        <f t="shared" si="88"/>
        <v>0</v>
      </c>
      <c r="BY78" s="729">
        <f t="shared" si="89"/>
        <v>0</v>
      </c>
      <c r="BZ78" s="729">
        <f t="shared" si="90"/>
        <v>0</v>
      </c>
      <c r="CA78" s="729">
        <f t="shared" si="91"/>
        <v>0</v>
      </c>
      <c r="CB78" s="729">
        <f t="shared" si="92"/>
        <v>0</v>
      </c>
      <c r="CC78" s="729">
        <f t="shared" si="93"/>
        <v>0</v>
      </c>
      <c r="CD78" s="729">
        <f t="shared" si="94"/>
        <v>0</v>
      </c>
      <c r="CE78" s="729">
        <f t="shared" si="95"/>
        <v>0</v>
      </c>
      <c r="CF78" s="731">
        <f t="shared" si="96"/>
        <v>0</v>
      </c>
      <c r="CG78" s="692" t="str">
        <f t="shared" si="97"/>
        <v/>
      </c>
      <c r="CH78" s="659" t="str">
        <f t="shared" si="98"/>
        <v/>
      </c>
      <c r="CI78" s="659" t="str">
        <f t="shared" si="99"/>
        <v/>
      </c>
      <c r="CJ78" s="659" t="str">
        <f t="shared" si="100"/>
        <v/>
      </c>
      <c r="CK78" s="659" t="str">
        <f t="shared" si="101"/>
        <v/>
      </c>
      <c r="CL78" s="659" t="str">
        <f t="shared" si="102"/>
        <v/>
      </c>
      <c r="CM78" s="82" t="str">
        <f t="shared" si="103"/>
        <v/>
      </c>
      <c r="CN78" s="625" t="str">
        <f t="shared" si="62"/>
        <v/>
      </c>
      <c r="CO78" s="625" t="str">
        <f t="shared" ref="CO78:CO113" si="109">IF(M78&lt;10,CONCATENATE(0,M78),M78)</f>
        <v>0</v>
      </c>
      <c r="CP78" s="620">
        <f t="shared" si="104"/>
        <v>0</v>
      </c>
      <c r="CQ78" s="1051" t="s">
        <v>139</v>
      </c>
      <c r="CR78" s="1080">
        <v>235075</v>
      </c>
      <c r="CS78" s="625">
        <f t="shared" si="105"/>
        <v>0</v>
      </c>
      <c r="CT78" s="625">
        <f t="shared" si="106"/>
        <v>0</v>
      </c>
      <c r="CU78" s="626" t="str">
        <f t="shared" si="107"/>
        <v>00</v>
      </c>
    </row>
    <row r="79" spans="1:99" ht="15" customHeight="1">
      <c r="A79" s="1094">
        <v>76</v>
      </c>
      <c r="B79" s="1376"/>
      <c r="C79" s="1377"/>
      <c r="D79" s="1068"/>
      <c r="E79" s="1060"/>
      <c r="F79" s="1382"/>
      <c r="G79" s="1200"/>
      <c r="H79" s="1067"/>
      <c r="I79" s="1062"/>
      <c r="J79" s="1063"/>
      <c r="K79" s="1153"/>
      <c r="L79" s="1153"/>
      <c r="M79" s="1183"/>
      <c r="N79" s="1187" t="str">
        <f t="shared" si="63"/>
        <v/>
      </c>
      <c r="O79" s="1190" t="str">
        <f t="shared" si="108"/>
        <v/>
      </c>
      <c r="P79" s="525" t="str">
        <f>IF(O79="","",VLOOKUP(O79,所属コード!$A$2:$E$189,2,FALSE))</f>
        <v/>
      </c>
      <c r="Q79" s="1164" t="str">
        <f>IF(O79="","",VLOOKUP(O79,所属コード!$A$2:$G$189,7,FALSE))</f>
        <v/>
      </c>
      <c r="R79" s="1166"/>
      <c r="S79" s="77"/>
      <c r="T79" s="77"/>
      <c r="U79" s="77"/>
      <c r="V79" s="15"/>
      <c r="X79" s="617"/>
      <c r="Y79" s="1090" t="str">
        <f t="shared" si="64"/>
        <v/>
      </c>
      <c r="Z79" s="618" t="str">
        <f t="shared" si="65"/>
        <v/>
      </c>
      <c r="AA79" s="617"/>
      <c r="AB79" s="617"/>
      <c r="AC79" s="617"/>
      <c r="AD79" s="617"/>
      <c r="AE79" s="617"/>
      <c r="AF79" s="617"/>
      <c r="AG79" s="620"/>
      <c r="AH79" s="727"/>
      <c r="AI79" s="728"/>
      <c r="AJ79" s="728"/>
      <c r="AK79" s="728"/>
      <c r="AL79" s="728"/>
      <c r="AM79" s="728"/>
      <c r="AN79" s="728"/>
      <c r="AO79" s="728"/>
      <c r="AP79" s="728"/>
      <c r="AQ79" s="728"/>
      <c r="AR79" s="728"/>
      <c r="AS79" s="728"/>
      <c r="AT79" s="728"/>
      <c r="AU79" s="728"/>
      <c r="AV79" s="728"/>
      <c r="AW79" s="742"/>
      <c r="AX79" s="747">
        <f t="shared" si="66"/>
        <v>0</v>
      </c>
      <c r="AY79" s="738">
        <f t="shared" si="58"/>
        <v>0</v>
      </c>
      <c r="AZ79" s="729">
        <f t="shared" si="59"/>
        <v>0</v>
      </c>
      <c r="BA79" s="730">
        <f t="shared" si="60"/>
        <v>0</v>
      </c>
      <c r="BB79" s="729">
        <f t="shared" si="61"/>
        <v>0</v>
      </c>
      <c r="BC79" s="729">
        <f t="shared" si="67"/>
        <v>0</v>
      </c>
      <c r="BD79" s="729">
        <f t="shared" si="68"/>
        <v>0</v>
      </c>
      <c r="BE79" s="729">
        <f t="shared" si="69"/>
        <v>0</v>
      </c>
      <c r="BF79" s="729">
        <f t="shared" si="70"/>
        <v>0</v>
      </c>
      <c r="BG79" s="729">
        <f t="shared" si="71"/>
        <v>0</v>
      </c>
      <c r="BH79" s="729">
        <f t="shared" si="72"/>
        <v>0</v>
      </c>
      <c r="BI79" s="729">
        <f t="shared" si="73"/>
        <v>0</v>
      </c>
      <c r="BJ79" s="729">
        <f t="shared" si="74"/>
        <v>0</v>
      </c>
      <c r="BK79" s="729">
        <f t="shared" si="75"/>
        <v>0</v>
      </c>
      <c r="BL79" s="729">
        <f t="shared" si="76"/>
        <v>0</v>
      </c>
      <c r="BM79" s="729">
        <f t="shared" si="77"/>
        <v>0</v>
      </c>
      <c r="BN79" s="729">
        <f t="shared" si="78"/>
        <v>0</v>
      </c>
      <c r="BO79" s="729">
        <f t="shared" si="79"/>
        <v>0</v>
      </c>
      <c r="BP79" s="729">
        <f t="shared" si="80"/>
        <v>0</v>
      </c>
      <c r="BQ79" s="729">
        <f t="shared" si="81"/>
        <v>0</v>
      </c>
      <c r="BR79" s="729">
        <f t="shared" si="82"/>
        <v>0</v>
      </c>
      <c r="BS79" s="729">
        <f t="shared" si="83"/>
        <v>0</v>
      </c>
      <c r="BT79" s="729">
        <f t="shared" si="84"/>
        <v>0</v>
      </c>
      <c r="BU79" s="729">
        <f t="shared" si="85"/>
        <v>0</v>
      </c>
      <c r="BV79" s="729">
        <f t="shared" si="86"/>
        <v>0</v>
      </c>
      <c r="BW79" s="729">
        <f t="shared" si="87"/>
        <v>0</v>
      </c>
      <c r="BX79" s="729">
        <f t="shared" si="88"/>
        <v>0</v>
      </c>
      <c r="BY79" s="729">
        <f t="shared" si="89"/>
        <v>0</v>
      </c>
      <c r="BZ79" s="729">
        <f t="shared" si="90"/>
        <v>0</v>
      </c>
      <c r="CA79" s="729">
        <f t="shared" si="91"/>
        <v>0</v>
      </c>
      <c r="CB79" s="729">
        <f t="shared" si="92"/>
        <v>0</v>
      </c>
      <c r="CC79" s="729">
        <f t="shared" si="93"/>
        <v>0</v>
      </c>
      <c r="CD79" s="729">
        <f t="shared" si="94"/>
        <v>0</v>
      </c>
      <c r="CE79" s="729">
        <f t="shared" si="95"/>
        <v>0</v>
      </c>
      <c r="CF79" s="731">
        <f t="shared" si="96"/>
        <v>0</v>
      </c>
      <c r="CG79" s="692" t="str">
        <f t="shared" si="97"/>
        <v/>
      </c>
      <c r="CH79" s="659" t="str">
        <f t="shared" si="98"/>
        <v/>
      </c>
      <c r="CI79" s="659" t="str">
        <f t="shared" si="99"/>
        <v/>
      </c>
      <c r="CJ79" s="659" t="str">
        <f t="shared" si="100"/>
        <v/>
      </c>
      <c r="CK79" s="659" t="str">
        <f t="shared" si="101"/>
        <v/>
      </c>
      <c r="CL79" s="659" t="str">
        <f t="shared" si="102"/>
        <v/>
      </c>
      <c r="CM79" s="82" t="str">
        <f t="shared" si="103"/>
        <v/>
      </c>
      <c r="CN79" s="625" t="str">
        <f t="shared" si="62"/>
        <v/>
      </c>
      <c r="CO79" s="625" t="str">
        <f t="shared" si="109"/>
        <v>0</v>
      </c>
      <c r="CP79" s="620">
        <f t="shared" si="104"/>
        <v>0</v>
      </c>
      <c r="CQ79" s="1051" t="s">
        <v>189</v>
      </c>
      <c r="CR79" s="1080">
        <v>235076</v>
      </c>
      <c r="CS79" s="625">
        <f t="shared" si="105"/>
        <v>0</v>
      </c>
      <c r="CT79" s="625">
        <f t="shared" si="106"/>
        <v>0</v>
      </c>
      <c r="CU79" s="626" t="str">
        <f t="shared" si="107"/>
        <v>00</v>
      </c>
    </row>
    <row r="80" spans="1:99" ht="15" customHeight="1">
      <c r="A80" s="1094">
        <v>77</v>
      </c>
      <c r="B80" s="1376"/>
      <c r="C80" s="1377"/>
      <c r="D80" s="1068"/>
      <c r="E80" s="1060"/>
      <c r="F80" s="1382"/>
      <c r="G80" s="1200"/>
      <c r="H80" s="1067"/>
      <c r="I80" s="1062"/>
      <c r="J80" s="1063"/>
      <c r="K80" s="1153"/>
      <c r="L80" s="1153"/>
      <c r="M80" s="1183"/>
      <c r="N80" s="1187" t="str">
        <f t="shared" si="63"/>
        <v/>
      </c>
      <c r="O80" s="1190" t="str">
        <f t="shared" si="108"/>
        <v/>
      </c>
      <c r="P80" s="525" t="str">
        <f>IF(O80="","",VLOOKUP(O80,所属コード!$A$2:$E$189,2,FALSE))</f>
        <v/>
      </c>
      <c r="Q80" s="1164" t="str">
        <f>IF(O80="","",VLOOKUP(O80,所属コード!$A$2:$G$189,7,FALSE))</f>
        <v/>
      </c>
      <c r="R80" s="1166"/>
      <c r="S80" s="77"/>
      <c r="T80" s="77"/>
      <c r="U80" s="77"/>
      <c r="V80" s="15"/>
      <c r="X80" s="617"/>
      <c r="Y80" s="1090" t="str">
        <f t="shared" si="64"/>
        <v/>
      </c>
      <c r="Z80" s="618" t="str">
        <f t="shared" si="65"/>
        <v/>
      </c>
      <c r="AA80" s="617"/>
      <c r="AB80" s="617"/>
      <c r="AC80" s="617"/>
      <c r="AD80" s="617"/>
      <c r="AE80" s="617"/>
      <c r="AF80" s="617"/>
      <c r="AG80" s="620"/>
      <c r="AH80" s="727"/>
      <c r="AI80" s="728"/>
      <c r="AJ80" s="728"/>
      <c r="AK80" s="728"/>
      <c r="AL80" s="728"/>
      <c r="AM80" s="728"/>
      <c r="AN80" s="728"/>
      <c r="AO80" s="728"/>
      <c r="AP80" s="728"/>
      <c r="AQ80" s="728"/>
      <c r="AR80" s="728"/>
      <c r="AS80" s="728"/>
      <c r="AT80" s="728"/>
      <c r="AU80" s="728"/>
      <c r="AV80" s="728"/>
      <c r="AW80" s="742"/>
      <c r="AX80" s="747">
        <f t="shared" si="66"/>
        <v>0</v>
      </c>
      <c r="AY80" s="738">
        <f t="shared" si="58"/>
        <v>0</v>
      </c>
      <c r="AZ80" s="729">
        <f t="shared" si="59"/>
        <v>0</v>
      </c>
      <c r="BA80" s="730">
        <f t="shared" si="60"/>
        <v>0</v>
      </c>
      <c r="BB80" s="729">
        <f t="shared" si="61"/>
        <v>0</v>
      </c>
      <c r="BC80" s="729">
        <f t="shared" si="67"/>
        <v>0</v>
      </c>
      <c r="BD80" s="729">
        <f t="shared" si="68"/>
        <v>0</v>
      </c>
      <c r="BE80" s="729">
        <f t="shared" si="69"/>
        <v>0</v>
      </c>
      <c r="BF80" s="729">
        <f t="shared" si="70"/>
        <v>0</v>
      </c>
      <c r="BG80" s="729">
        <f t="shared" si="71"/>
        <v>0</v>
      </c>
      <c r="BH80" s="729">
        <f t="shared" si="72"/>
        <v>0</v>
      </c>
      <c r="BI80" s="729">
        <f t="shared" si="73"/>
        <v>0</v>
      </c>
      <c r="BJ80" s="729">
        <f t="shared" si="74"/>
        <v>0</v>
      </c>
      <c r="BK80" s="729">
        <f t="shared" si="75"/>
        <v>0</v>
      </c>
      <c r="BL80" s="729">
        <f t="shared" si="76"/>
        <v>0</v>
      </c>
      <c r="BM80" s="729">
        <f t="shared" si="77"/>
        <v>0</v>
      </c>
      <c r="BN80" s="729">
        <f t="shared" si="78"/>
        <v>0</v>
      </c>
      <c r="BO80" s="729">
        <f t="shared" si="79"/>
        <v>0</v>
      </c>
      <c r="BP80" s="729">
        <f t="shared" si="80"/>
        <v>0</v>
      </c>
      <c r="BQ80" s="729">
        <f t="shared" si="81"/>
        <v>0</v>
      </c>
      <c r="BR80" s="729">
        <f t="shared" si="82"/>
        <v>0</v>
      </c>
      <c r="BS80" s="729">
        <f t="shared" si="83"/>
        <v>0</v>
      </c>
      <c r="BT80" s="729">
        <f t="shared" si="84"/>
        <v>0</v>
      </c>
      <c r="BU80" s="729">
        <f t="shared" si="85"/>
        <v>0</v>
      </c>
      <c r="BV80" s="729">
        <f t="shared" si="86"/>
        <v>0</v>
      </c>
      <c r="BW80" s="729">
        <f t="shared" si="87"/>
        <v>0</v>
      </c>
      <c r="BX80" s="729">
        <f t="shared" si="88"/>
        <v>0</v>
      </c>
      <c r="BY80" s="729">
        <f t="shared" si="89"/>
        <v>0</v>
      </c>
      <c r="BZ80" s="729">
        <f t="shared" si="90"/>
        <v>0</v>
      </c>
      <c r="CA80" s="729">
        <f t="shared" si="91"/>
        <v>0</v>
      </c>
      <c r="CB80" s="729">
        <f t="shared" si="92"/>
        <v>0</v>
      </c>
      <c r="CC80" s="729">
        <f t="shared" si="93"/>
        <v>0</v>
      </c>
      <c r="CD80" s="729">
        <f t="shared" si="94"/>
        <v>0</v>
      </c>
      <c r="CE80" s="729">
        <f t="shared" si="95"/>
        <v>0</v>
      </c>
      <c r="CF80" s="731">
        <f t="shared" si="96"/>
        <v>0</v>
      </c>
      <c r="CG80" s="692" t="str">
        <f t="shared" si="97"/>
        <v/>
      </c>
      <c r="CH80" s="659" t="str">
        <f t="shared" si="98"/>
        <v/>
      </c>
      <c r="CI80" s="659" t="str">
        <f t="shared" si="99"/>
        <v/>
      </c>
      <c r="CJ80" s="659" t="str">
        <f t="shared" si="100"/>
        <v/>
      </c>
      <c r="CK80" s="659" t="str">
        <f t="shared" si="101"/>
        <v/>
      </c>
      <c r="CL80" s="659" t="str">
        <f t="shared" si="102"/>
        <v/>
      </c>
      <c r="CM80" s="82" t="str">
        <f t="shared" si="103"/>
        <v/>
      </c>
      <c r="CN80" s="625" t="str">
        <f t="shared" si="62"/>
        <v/>
      </c>
      <c r="CO80" s="625" t="str">
        <f t="shared" si="109"/>
        <v>0</v>
      </c>
      <c r="CP80" s="620">
        <f t="shared" si="104"/>
        <v>0</v>
      </c>
      <c r="CQ80" s="1051" t="s">
        <v>286</v>
      </c>
      <c r="CR80" s="1080">
        <v>235077</v>
      </c>
      <c r="CS80" s="625">
        <f t="shared" si="105"/>
        <v>0</v>
      </c>
      <c r="CT80" s="625">
        <f t="shared" si="106"/>
        <v>0</v>
      </c>
      <c r="CU80" s="626" t="str">
        <f t="shared" si="107"/>
        <v>00</v>
      </c>
    </row>
    <row r="81" spans="1:99" ht="15" customHeight="1">
      <c r="A81" s="1094">
        <v>78</v>
      </c>
      <c r="B81" s="1376"/>
      <c r="C81" s="1377"/>
      <c r="D81" s="1068"/>
      <c r="E81" s="1060"/>
      <c r="F81" s="1382"/>
      <c r="G81" s="1200"/>
      <c r="H81" s="1067"/>
      <c r="I81" s="1062"/>
      <c r="J81" s="1063"/>
      <c r="K81" s="1153"/>
      <c r="L81" s="1153"/>
      <c r="M81" s="1183"/>
      <c r="N81" s="1187" t="str">
        <f t="shared" si="63"/>
        <v/>
      </c>
      <c r="O81" s="1190" t="str">
        <f t="shared" si="108"/>
        <v/>
      </c>
      <c r="P81" s="525" t="str">
        <f>IF(O81="","",VLOOKUP(O81,所属コード!$A$2:$E$189,2,FALSE))</f>
        <v/>
      </c>
      <c r="Q81" s="1164" t="str">
        <f>IF(O81="","",VLOOKUP(O81,所属コード!$A$2:$G$189,7,FALSE))</f>
        <v/>
      </c>
      <c r="R81" s="1166"/>
      <c r="S81" s="77"/>
      <c r="T81" s="77"/>
      <c r="U81" s="77"/>
      <c r="V81" s="15"/>
      <c r="X81" s="617"/>
      <c r="Y81" s="1090" t="str">
        <f t="shared" si="64"/>
        <v/>
      </c>
      <c r="Z81" s="618" t="str">
        <f t="shared" si="65"/>
        <v/>
      </c>
      <c r="AA81" s="617"/>
      <c r="AB81" s="617"/>
      <c r="AC81" s="617"/>
      <c r="AD81" s="617"/>
      <c r="AE81" s="617"/>
      <c r="AF81" s="617"/>
      <c r="AG81" s="620"/>
      <c r="AH81" s="727"/>
      <c r="AI81" s="728"/>
      <c r="AJ81" s="728"/>
      <c r="AK81" s="728"/>
      <c r="AL81" s="728"/>
      <c r="AM81" s="728"/>
      <c r="AN81" s="728"/>
      <c r="AO81" s="728"/>
      <c r="AP81" s="728"/>
      <c r="AQ81" s="728"/>
      <c r="AR81" s="728"/>
      <c r="AS81" s="728"/>
      <c r="AT81" s="728"/>
      <c r="AU81" s="728"/>
      <c r="AV81" s="728"/>
      <c r="AW81" s="742"/>
      <c r="AX81" s="747">
        <f t="shared" si="66"/>
        <v>0</v>
      </c>
      <c r="AY81" s="738">
        <f t="shared" si="58"/>
        <v>0</v>
      </c>
      <c r="AZ81" s="729">
        <f t="shared" si="59"/>
        <v>0</v>
      </c>
      <c r="BA81" s="730">
        <f t="shared" si="60"/>
        <v>0</v>
      </c>
      <c r="BB81" s="729">
        <f t="shared" si="61"/>
        <v>0</v>
      </c>
      <c r="BC81" s="729">
        <f t="shared" si="67"/>
        <v>0</v>
      </c>
      <c r="BD81" s="729">
        <f t="shared" si="68"/>
        <v>0</v>
      </c>
      <c r="BE81" s="729">
        <f t="shared" si="69"/>
        <v>0</v>
      </c>
      <c r="BF81" s="729">
        <f t="shared" si="70"/>
        <v>0</v>
      </c>
      <c r="BG81" s="729">
        <f t="shared" si="71"/>
        <v>0</v>
      </c>
      <c r="BH81" s="729">
        <f t="shared" si="72"/>
        <v>0</v>
      </c>
      <c r="BI81" s="729">
        <f t="shared" si="73"/>
        <v>0</v>
      </c>
      <c r="BJ81" s="729">
        <f t="shared" si="74"/>
        <v>0</v>
      </c>
      <c r="BK81" s="729">
        <f t="shared" si="75"/>
        <v>0</v>
      </c>
      <c r="BL81" s="729">
        <f t="shared" si="76"/>
        <v>0</v>
      </c>
      <c r="BM81" s="729">
        <f t="shared" si="77"/>
        <v>0</v>
      </c>
      <c r="BN81" s="729">
        <f t="shared" si="78"/>
        <v>0</v>
      </c>
      <c r="BO81" s="729">
        <f t="shared" si="79"/>
        <v>0</v>
      </c>
      <c r="BP81" s="729">
        <f t="shared" si="80"/>
        <v>0</v>
      </c>
      <c r="BQ81" s="729">
        <f t="shared" si="81"/>
        <v>0</v>
      </c>
      <c r="BR81" s="729">
        <f t="shared" si="82"/>
        <v>0</v>
      </c>
      <c r="BS81" s="729">
        <f t="shared" si="83"/>
        <v>0</v>
      </c>
      <c r="BT81" s="729">
        <f t="shared" si="84"/>
        <v>0</v>
      </c>
      <c r="BU81" s="729">
        <f t="shared" si="85"/>
        <v>0</v>
      </c>
      <c r="BV81" s="729">
        <f t="shared" si="86"/>
        <v>0</v>
      </c>
      <c r="BW81" s="729">
        <f t="shared" si="87"/>
        <v>0</v>
      </c>
      <c r="BX81" s="729">
        <f t="shared" si="88"/>
        <v>0</v>
      </c>
      <c r="BY81" s="729">
        <f t="shared" si="89"/>
        <v>0</v>
      </c>
      <c r="BZ81" s="729">
        <f t="shared" si="90"/>
        <v>0</v>
      </c>
      <c r="CA81" s="729">
        <f t="shared" si="91"/>
        <v>0</v>
      </c>
      <c r="CB81" s="729">
        <f t="shared" si="92"/>
        <v>0</v>
      </c>
      <c r="CC81" s="729">
        <f t="shared" si="93"/>
        <v>0</v>
      </c>
      <c r="CD81" s="729">
        <f t="shared" si="94"/>
        <v>0</v>
      </c>
      <c r="CE81" s="729">
        <f t="shared" si="95"/>
        <v>0</v>
      </c>
      <c r="CF81" s="731">
        <f t="shared" si="96"/>
        <v>0</v>
      </c>
      <c r="CG81" s="692" t="str">
        <f t="shared" si="97"/>
        <v/>
      </c>
      <c r="CH81" s="659" t="str">
        <f t="shared" si="98"/>
        <v/>
      </c>
      <c r="CI81" s="659" t="str">
        <f t="shared" si="99"/>
        <v/>
      </c>
      <c r="CJ81" s="659" t="str">
        <f t="shared" si="100"/>
        <v/>
      </c>
      <c r="CK81" s="659" t="str">
        <f t="shared" si="101"/>
        <v/>
      </c>
      <c r="CL81" s="659" t="str">
        <f t="shared" si="102"/>
        <v/>
      </c>
      <c r="CM81" s="82" t="str">
        <f t="shared" si="103"/>
        <v/>
      </c>
      <c r="CN81" s="625" t="str">
        <f t="shared" si="62"/>
        <v/>
      </c>
      <c r="CO81" s="625" t="str">
        <f t="shared" si="109"/>
        <v>0</v>
      </c>
      <c r="CP81" s="620">
        <f t="shared" si="104"/>
        <v>0</v>
      </c>
      <c r="CQ81" s="1051" t="s">
        <v>143</v>
      </c>
      <c r="CR81" s="1080">
        <v>235078</v>
      </c>
      <c r="CS81" s="625">
        <f t="shared" si="105"/>
        <v>0</v>
      </c>
      <c r="CT81" s="625">
        <f t="shared" si="106"/>
        <v>0</v>
      </c>
      <c r="CU81" s="626" t="str">
        <f t="shared" si="107"/>
        <v>00</v>
      </c>
    </row>
    <row r="82" spans="1:99" ht="15" customHeight="1">
      <c r="A82" s="1094">
        <v>79</v>
      </c>
      <c r="B82" s="1376"/>
      <c r="C82" s="1377"/>
      <c r="D82" s="1068"/>
      <c r="E82" s="1060"/>
      <c r="F82" s="1382"/>
      <c r="G82" s="1200"/>
      <c r="H82" s="1067"/>
      <c r="I82" s="1062"/>
      <c r="J82" s="1063"/>
      <c r="K82" s="1153"/>
      <c r="L82" s="1153"/>
      <c r="M82" s="1183"/>
      <c r="N82" s="1187" t="str">
        <f t="shared" si="63"/>
        <v/>
      </c>
      <c r="O82" s="1190" t="str">
        <f t="shared" si="108"/>
        <v/>
      </c>
      <c r="P82" s="525" t="str">
        <f>IF(O82="","",VLOOKUP(O82,所属コード!$A$2:$E$189,2,FALSE))</f>
        <v/>
      </c>
      <c r="Q82" s="1164" t="str">
        <f>IF(O82="","",VLOOKUP(O82,所属コード!$A$2:$G$189,7,FALSE))</f>
        <v/>
      </c>
      <c r="R82" s="1166"/>
      <c r="S82" s="77"/>
      <c r="T82" s="77"/>
      <c r="U82" s="77"/>
      <c r="V82" s="15"/>
      <c r="X82" s="617"/>
      <c r="Y82" s="1090" t="str">
        <f t="shared" si="64"/>
        <v/>
      </c>
      <c r="Z82" s="618" t="str">
        <f t="shared" si="65"/>
        <v/>
      </c>
      <c r="AA82" s="617"/>
      <c r="AB82" s="617"/>
      <c r="AC82" s="617"/>
      <c r="AD82" s="617"/>
      <c r="AE82" s="617"/>
      <c r="AF82" s="617"/>
      <c r="AG82" s="620"/>
      <c r="AH82" s="727"/>
      <c r="AI82" s="728"/>
      <c r="AJ82" s="728"/>
      <c r="AK82" s="728"/>
      <c r="AL82" s="728"/>
      <c r="AM82" s="728"/>
      <c r="AN82" s="728"/>
      <c r="AO82" s="728"/>
      <c r="AP82" s="728"/>
      <c r="AQ82" s="728"/>
      <c r="AR82" s="728"/>
      <c r="AS82" s="728"/>
      <c r="AT82" s="728"/>
      <c r="AU82" s="728"/>
      <c r="AV82" s="728"/>
      <c r="AW82" s="742"/>
      <c r="AX82" s="747">
        <f t="shared" si="66"/>
        <v>0</v>
      </c>
      <c r="AY82" s="738">
        <f t="shared" si="58"/>
        <v>0</v>
      </c>
      <c r="AZ82" s="729">
        <f t="shared" si="59"/>
        <v>0</v>
      </c>
      <c r="BA82" s="730">
        <f t="shared" si="60"/>
        <v>0</v>
      </c>
      <c r="BB82" s="729">
        <f t="shared" si="61"/>
        <v>0</v>
      </c>
      <c r="BC82" s="729">
        <f t="shared" si="67"/>
        <v>0</v>
      </c>
      <c r="BD82" s="729">
        <f t="shared" si="68"/>
        <v>0</v>
      </c>
      <c r="BE82" s="729">
        <f t="shared" si="69"/>
        <v>0</v>
      </c>
      <c r="BF82" s="729">
        <f t="shared" si="70"/>
        <v>0</v>
      </c>
      <c r="BG82" s="729">
        <f t="shared" si="71"/>
        <v>0</v>
      </c>
      <c r="BH82" s="729">
        <f t="shared" si="72"/>
        <v>0</v>
      </c>
      <c r="BI82" s="729">
        <f t="shared" si="73"/>
        <v>0</v>
      </c>
      <c r="BJ82" s="729">
        <f t="shared" si="74"/>
        <v>0</v>
      </c>
      <c r="BK82" s="729">
        <f t="shared" si="75"/>
        <v>0</v>
      </c>
      <c r="BL82" s="729">
        <f t="shared" si="76"/>
        <v>0</v>
      </c>
      <c r="BM82" s="729">
        <f t="shared" si="77"/>
        <v>0</v>
      </c>
      <c r="BN82" s="729">
        <f t="shared" si="78"/>
        <v>0</v>
      </c>
      <c r="BO82" s="729">
        <f t="shared" si="79"/>
        <v>0</v>
      </c>
      <c r="BP82" s="729">
        <f t="shared" si="80"/>
        <v>0</v>
      </c>
      <c r="BQ82" s="729">
        <f t="shared" si="81"/>
        <v>0</v>
      </c>
      <c r="BR82" s="729">
        <f t="shared" si="82"/>
        <v>0</v>
      </c>
      <c r="BS82" s="729">
        <f t="shared" si="83"/>
        <v>0</v>
      </c>
      <c r="BT82" s="729">
        <f t="shared" si="84"/>
        <v>0</v>
      </c>
      <c r="BU82" s="729">
        <f t="shared" si="85"/>
        <v>0</v>
      </c>
      <c r="BV82" s="729">
        <f t="shared" si="86"/>
        <v>0</v>
      </c>
      <c r="BW82" s="729">
        <f t="shared" si="87"/>
        <v>0</v>
      </c>
      <c r="BX82" s="729">
        <f t="shared" si="88"/>
        <v>0</v>
      </c>
      <c r="BY82" s="729">
        <f t="shared" si="89"/>
        <v>0</v>
      </c>
      <c r="BZ82" s="729">
        <f t="shared" si="90"/>
        <v>0</v>
      </c>
      <c r="CA82" s="729">
        <f t="shared" si="91"/>
        <v>0</v>
      </c>
      <c r="CB82" s="729">
        <f t="shared" si="92"/>
        <v>0</v>
      </c>
      <c r="CC82" s="729">
        <f t="shared" si="93"/>
        <v>0</v>
      </c>
      <c r="CD82" s="729">
        <f t="shared" si="94"/>
        <v>0</v>
      </c>
      <c r="CE82" s="729">
        <f t="shared" si="95"/>
        <v>0</v>
      </c>
      <c r="CF82" s="731">
        <f t="shared" si="96"/>
        <v>0</v>
      </c>
      <c r="CG82" s="692" t="str">
        <f t="shared" si="97"/>
        <v/>
      </c>
      <c r="CH82" s="659" t="str">
        <f t="shared" si="98"/>
        <v/>
      </c>
      <c r="CI82" s="659" t="str">
        <f t="shared" si="99"/>
        <v/>
      </c>
      <c r="CJ82" s="659" t="str">
        <f t="shared" si="100"/>
        <v/>
      </c>
      <c r="CK82" s="659" t="str">
        <f t="shared" si="101"/>
        <v/>
      </c>
      <c r="CL82" s="659" t="str">
        <f t="shared" si="102"/>
        <v/>
      </c>
      <c r="CM82" s="82" t="str">
        <f t="shared" si="103"/>
        <v/>
      </c>
      <c r="CN82" s="625" t="str">
        <f t="shared" si="62"/>
        <v/>
      </c>
      <c r="CO82" s="625" t="str">
        <f t="shared" si="109"/>
        <v>0</v>
      </c>
      <c r="CP82" s="620">
        <f t="shared" si="104"/>
        <v>0</v>
      </c>
      <c r="CQ82" s="1051" t="s">
        <v>148</v>
      </c>
      <c r="CR82" s="1080">
        <v>235079</v>
      </c>
      <c r="CS82" s="625">
        <f t="shared" si="105"/>
        <v>0</v>
      </c>
      <c r="CT82" s="625">
        <f t="shared" si="106"/>
        <v>0</v>
      </c>
      <c r="CU82" s="626" t="str">
        <f t="shared" si="107"/>
        <v>00</v>
      </c>
    </row>
    <row r="83" spans="1:99" ht="15" customHeight="1">
      <c r="A83" s="1094">
        <v>80</v>
      </c>
      <c r="B83" s="1376"/>
      <c r="C83" s="1377"/>
      <c r="D83" s="1068"/>
      <c r="E83" s="1060"/>
      <c r="F83" s="1382"/>
      <c r="G83" s="1200"/>
      <c r="H83" s="1067"/>
      <c r="I83" s="1062"/>
      <c r="J83" s="1063"/>
      <c r="K83" s="1153"/>
      <c r="L83" s="1153"/>
      <c r="M83" s="1183"/>
      <c r="N83" s="1187" t="str">
        <f t="shared" si="63"/>
        <v/>
      </c>
      <c r="O83" s="1190" t="str">
        <f t="shared" si="108"/>
        <v/>
      </c>
      <c r="P83" s="525" t="str">
        <f>IF(O83="","",VLOOKUP(O83,所属コード!$A$2:$E$189,2,FALSE))</f>
        <v/>
      </c>
      <c r="Q83" s="1164" t="str">
        <f>IF(O83="","",VLOOKUP(O83,所属コード!$A$2:$G$189,7,FALSE))</f>
        <v/>
      </c>
      <c r="R83" s="1166"/>
      <c r="S83" s="77"/>
      <c r="T83" s="77"/>
      <c r="U83" s="77"/>
      <c r="V83" s="15"/>
      <c r="X83" s="617"/>
      <c r="Y83" s="1090" t="str">
        <f t="shared" si="64"/>
        <v/>
      </c>
      <c r="Z83" s="618" t="str">
        <f t="shared" si="65"/>
        <v/>
      </c>
      <c r="AA83" s="617"/>
      <c r="AB83" s="617"/>
      <c r="AC83" s="617"/>
      <c r="AD83" s="617"/>
      <c r="AE83" s="617"/>
      <c r="AF83" s="617"/>
      <c r="AG83" s="620"/>
      <c r="AH83" s="727"/>
      <c r="AI83" s="728"/>
      <c r="AJ83" s="728"/>
      <c r="AK83" s="728"/>
      <c r="AL83" s="728"/>
      <c r="AM83" s="728"/>
      <c r="AN83" s="728"/>
      <c r="AO83" s="728"/>
      <c r="AP83" s="728"/>
      <c r="AQ83" s="728"/>
      <c r="AR83" s="728"/>
      <c r="AS83" s="728"/>
      <c r="AT83" s="728"/>
      <c r="AU83" s="728"/>
      <c r="AV83" s="728"/>
      <c r="AW83" s="742"/>
      <c r="AX83" s="747">
        <f t="shared" si="66"/>
        <v>0</v>
      </c>
      <c r="AY83" s="738">
        <f t="shared" si="58"/>
        <v>0</v>
      </c>
      <c r="AZ83" s="729">
        <f t="shared" si="59"/>
        <v>0</v>
      </c>
      <c r="BA83" s="730">
        <f t="shared" si="60"/>
        <v>0</v>
      </c>
      <c r="BB83" s="729">
        <f t="shared" si="61"/>
        <v>0</v>
      </c>
      <c r="BC83" s="729">
        <f t="shared" si="67"/>
        <v>0</v>
      </c>
      <c r="BD83" s="729">
        <f t="shared" si="68"/>
        <v>0</v>
      </c>
      <c r="BE83" s="729">
        <f t="shared" si="69"/>
        <v>0</v>
      </c>
      <c r="BF83" s="729">
        <f t="shared" si="70"/>
        <v>0</v>
      </c>
      <c r="BG83" s="729">
        <f t="shared" si="71"/>
        <v>0</v>
      </c>
      <c r="BH83" s="729">
        <f t="shared" si="72"/>
        <v>0</v>
      </c>
      <c r="BI83" s="729">
        <f t="shared" si="73"/>
        <v>0</v>
      </c>
      <c r="BJ83" s="729">
        <f t="shared" si="74"/>
        <v>0</v>
      </c>
      <c r="BK83" s="729">
        <f t="shared" si="75"/>
        <v>0</v>
      </c>
      <c r="BL83" s="729">
        <f t="shared" si="76"/>
        <v>0</v>
      </c>
      <c r="BM83" s="729">
        <f t="shared" si="77"/>
        <v>0</v>
      </c>
      <c r="BN83" s="729">
        <f t="shared" si="78"/>
        <v>0</v>
      </c>
      <c r="BO83" s="729">
        <f t="shared" si="79"/>
        <v>0</v>
      </c>
      <c r="BP83" s="729">
        <f t="shared" si="80"/>
        <v>0</v>
      </c>
      <c r="BQ83" s="729">
        <f t="shared" si="81"/>
        <v>0</v>
      </c>
      <c r="BR83" s="729">
        <f t="shared" si="82"/>
        <v>0</v>
      </c>
      <c r="BS83" s="729">
        <f t="shared" si="83"/>
        <v>0</v>
      </c>
      <c r="BT83" s="729">
        <f t="shared" si="84"/>
        <v>0</v>
      </c>
      <c r="BU83" s="729">
        <f t="shared" si="85"/>
        <v>0</v>
      </c>
      <c r="BV83" s="729">
        <f t="shared" si="86"/>
        <v>0</v>
      </c>
      <c r="BW83" s="729">
        <f t="shared" si="87"/>
        <v>0</v>
      </c>
      <c r="BX83" s="729">
        <f t="shared" si="88"/>
        <v>0</v>
      </c>
      <c r="BY83" s="729">
        <f t="shared" si="89"/>
        <v>0</v>
      </c>
      <c r="BZ83" s="729">
        <f t="shared" si="90"/>
        <v>0</v>
      </c>
      <c r="CA83" s="729">
        <f t="shared" si="91"/>
        <v>0</v>
      </c>
      <c r="CB83" s="729">
        <f t="shared" si="92"/>
        <v>0</v>
      </c>
      <c r="CC83" s="729">
        <f t="shared" si="93"/>
        <v>0</v>
      </c>
      <c r="CD83" s="729">
        <f t="shared" si="94"/>
        <v>0</v>
      </c>
      <c r="CE83" s="729">
        <f t="shared" si="95"/>
        <v>0</v>
      </c>
      <c r="CF83" s="731">
        <f t="shared" si="96"/>
        <v>0</v>
      </c>
      <c r="CG83" s="692" t="str">
        <f t="shared" si="97"/>
        <v/>
      </c>
      <c r="CH83" s="659" t="str">
        <f t="shared" si="98"/>
        <v/>
      </c>
      <c r="CI83" s="659" t="str">
        <f t="shared" si="99"/>
        <v/>
      </c>
      <c r="CJ83" s="659" t="str">
        <f t="shared" si="100"/>
        <v/>
      </c>
      <c r="CK83" s="659" t="str">
        <f t="shared" si="101"/>
        <v/>
      </c>
      <c r="CL83" s="659" t="str">
        <f t="shared" si="102"/>
        <v/>
      </c>
      <c r="CM83" s="82" t="str">
        <f t="shared" si="103"/>
        <v/>
      </c>
      <c r="CN83" s="625" t="str">
        <f t="shared" si="62"/>
        <v/>
      </c>
      <c r="CO83" s="625" t="str">
        <f t="shared" si="109"/>
        <v>0</v>
      </c>
      <c r="CP83" s="620">
        <f t="shared" si="104"/>
        <v>0</v>
      </c>
      <c r="CQ83" s="1051" t="s">
        <v>71</v>
      </c>
      <c r="CR83" s="1080">
        <v>235080</v>
      </c>
      <c r="CS83" s="625">
        <f t="shared" si="105"/>
        <v>0</v>
      </c>
      <c r="CT83" s="625">
        <f t="shared" si="106"/>
        <v>0</v>
      </c>
      <c r="CU83" s="626" t="str">
        <f t="shared" si="107"/>
        <v>00</v>
      </c>
    </row>
    <row r="84" spans="1:99" ht="15" customHeight="1">
      <c r="A84" s="1094">
        <v>81</v>
      </c>
      <c r="B84" s="1376"/>
      <c r="C84" s="1377"/>
      <c r="D84" s="1068"/>
      <c r="E84" s="1060"/>
      <c r="F84" s="1382"/>
      <c r="G84" s="1200"/>
      <c r="H84" s="1067"/>
      <c r="I84" s="1062"/>
      <c r="J84" s="1063"/>
      <c r="K84" s="1153"/>
      <c r="L84" s="1153"/>
      <c r="M84" s="1183"/>
      <c r="N84" s="1187" t="str">
        <f t="shared" si="63"/>
        <v/>
      </c>
      <c r="O84" s="1190" t="str">
        <f t="shared" si="108"/>
        <v/>
      </c>
      <c r="P84" s="525" t="str">
        <f>IF(O84="","",VLOOKUP(O84,所属コード!$A$2:$E$189,2,FALSE))</f>
        <v/>
      </c>
      <c r="Q84" s="1164" t="str">
        <f>IF(O84="","",VLOOKUP(O84,所属コード!$A$2:$G$189,7,FALSE))</f>
        <v/>
      </c>
      <c r="R84" s="1166"/>
      <c r="S84" s="77"/>
      <c r="T84" s="77"/>
      <c r="U84" s="77"/>
      <c r="V84" s="15"/>
      <c r="X84" s="617"/>
      <c r="Y84" s="1090" t="str">
        <f t="shared" si="64"/>
        <v/>
      </c>
      <c r="Z84" s="618" t="str">
        <f t="shared" si="65"/>
        <v/>
      </c>
      <c r="AA84" s="617"/>
      <c r="AB84" s="617"/>
      <c r="AC84" s="617"/>
      <c r="AD84" s="617"/>
      <c r="AE84" s="617"/>
      <c r="AF84" s="617"/>
      <c r="AG84" s="620"/>
      <c r="AH84" s="727"/>
      <c r="AI84" s="728"/>
      <c r="AJ84" s="728"/>
      <c r="AK84" s="728"/>
      <c r="AL84" s="728"/>
      <c r="AM84" s="728"/>
      <c r="AN84" s="728"/>
      <c r="AO84" s="728"/>
      <c r="AP84" s="728"/>
      <c r="AQ84" s="728"/>
      <c r="AR84" s="728"/>
      <c r="AS84" s="728"/>
      <c r="AT84" s="728"/>
      <c r="AU84" s="728"/>
      <c r="AV84" s="728"/>
      <c r="AW84" s="742"/>
      <c r="AX84" s="747">
        <f t="shared" si="66"/>
        <v>0</v>
      </c>
      <c r="AY84" s="738">
        <f t="shared" si="58"/>
        <v>0</v>
      </c>
      <c r="AZ84" s="729">
        <f t="shared" si="59"/>
        <v>0</v>
      </c>
      <c r="BA84" s="730">
        <f t="shared" si="60"/>
        <v>0</v>
      </c>
      <c r="BB84" s="729">
        <f t="shared" si="61"/>
        <v>0</v>
      </c>
      <c r="BC84" s="729">
        <f t="shared" si="67"/>
        <v>0</v>
      </c>
      <c r="BD84" s="729">
        <f t="shared" si="68"/>
        <v>0</v>
      </c>
      <c r="BE84" s="729">
        <f t="shared" si="69"/>
        <v>0</v>
      </c>
      <c r="BF84" s="729">
        <f t="shared" si="70"/>
        <v>0</v>
      </c>
      <c r="BG84" s="729">
        <f t="shared" si="71"/>
        <v>0</v>
      </c>
      <c r="BH84" s="729">
        <f t="shared" si="72"/>
        <v>0</v>
      </c>
      <c r="BI84" s="729">
        <f t="shared" si="73"/>
        <v>0</v>
      </c>
      <c r="BJ84" s="729">
        <f t="shared" si="74"/>
        <v>0</v>
      </c>
      <c r="BK84" s="729">
        <f t="shared" si="75"/>
        <v>0</v>
      </c>
      <c r="BL84" s="729">
        <f t="shared" si="76"/>
        <v>0</v>
      </c>
      <c r="BM84" s="729">
        <f t="shared" si="77"/>
        <v>0</v>
      </c>
      <c r="BN84" s="729">
        <f t="shared" si="78"/>
        <v>0</v>
      </c>
      <c r="BO84" s="729">
        <f t="shared" si="79"/>
        <v>0</v>
      </c>
      <c r="BP84" s="729">
        <f t="shared" si="80"/>
        <v>0</v>
      </c>
      <c r="BQ84" s="729">
        <f t="shared" si="81"/>
        <v>0</v>
      </c>
      <c r="BR84" s="729">
        <f t="shared" si="82"/>
        <v>0</v>
      </c>
      <c r="BS84" s="729">
        <f t="shared" si="83"/>
        <v>0</v>
      </c>
      <c r="BT84" s="729">
        <f t="shared" si="84"/>
        <v>0</v>
      </c>
      <c r="BU84" s="729">
        <f t="shared" si="85"/>
        <v>0</v>
      </c>
      <c r="BV84" s="729">
        <f t="shared" si="86"/>
        <v>0</v>
      </c>
      <c r="BW84" s="729">
        <f t="shared" si="87"/>
        <v>0</v>
      </c>
      <c r="BX84" s="729">
        <f t="shared" si="88"/>
        <v>0</v>
      </c>
      <c r="BY84" s="729">
        <f t="shared" si="89"/>
        <v>0</v>
      </c>
      <c r="BZ84" s="729">
        <f t="shared" si="90"/>
        <v>0</v>
      </c>
      <c r="CA84" s="729">
        <f t="shared" si="91"/>
        <v>0</v>
      </c>
      <c r="CB84" s="729">
        <f t="shared" si="92"/>
        <v>0</v>
      </c>
      <c r="CC84" s="729">
        <f t="shared" si="93"/>
        <v>0</v>
      </c>
      <c r="CD84" s="729">
        <f t="shared" si="94"/>
        <v>0</v>
      </c>
      <c r="CE84" s="729">
        <f t="shared" si="95"/>
        <v>0</v>
      </c>
      <c r="CF84" s="731">
        <f t="shared" si="96"/>
        <v>0</v>
      </c>
      <c r="CG84" s="692" t="str">
        <f t="shared" si="97"/>
        <v/>
      </c>
      <c r="CH84" s="659" t="str">
        <f t="shared" si="98"/>
        <v/>
      </c>
      <c r="CI84" s="659" t="str">
        <f t="shared" si="99"/>
        <v/>
      </c>
      <c r="CJ84" s="659" t="str">
        <f t="shared" si="100"/>
        <v/>
      </c>
      <c r="CK84" s="659" t="str">
        <f t="shared" si="101"/>
        <v/>
      </c>
      <c r="CL84" s="659" t="str">
        <f t="shared" si="102"/>
        <v/>
      </c>
      <c r="CM84" s="82" t="str">
        <f t="shared" si="103"/>
        <v/>
      </c>
      <c r="CN84" s="625" t="str">
        <f t="shared" si="62"/>
        <v/>
      </c>
      <c r="CO84" s="625" t="str">
        <f t="shared" si="109"/>
        <v>0</v>
      </c>
      <c r="CP84" s="620">
        <f t="shared" si="104"/>
        <v>0</v>
      </c>
      <c r="CQ84" s="1051" t="s">
        <v>35</v>
      </c>
      <c r="CR84" s="1080">
        <v>235081</v>
      </c>
      <c r="CS84" s="625">
        <f t="shared" si="105"/>
        <v>0</v>
      </c>
      <c r="CT84" s="625">
        <f t="shared" si="106"/>
        <v>0</v>
      </c>
      <c r="CU84" s="626" t="str">
        <f t="shared" si="107"/>
        <v>00</v>
      </c>
    </row>
    <row r="85" spans="1:99" ht="15" customHeight="1">
      <c r="A85" s="1094">
        <v>82</v>
      </c>
      <c r="B85" s="1376"/>
      <c r="C85" s="1377"/>
      <c r="D85" s="1068"/>
      <c r="E85" s="1060"/>
      <c r="F85" s="1382"/>
      <c r="G85" s="1200"/>
      <c r="H85" s="1067"/>
      <c r="I85" s="1062"/>
      <c r="J85" s="1063"/>
      <c r="K85" s="1153"/>
      <c r="L85" s="1153"/>
      <c r="M85" s="1183"/>
      <c r="N85" s="1187" t="str">
        <f t="shared" si="63"/>
        <v/>
      </c>
      <c r="O85" s="1190" t="str">
        <f t="shared" si="108"/>
        <v/>
      </c>
      <c r="P85" s="525" t="str">
        <f>IF(O85="","",VLOOKUP(O85,所属コード!$A$2:$E$189,2,FALSE))</f>
        <v/>
      </c>
      <c r="Q85" s="1164" t="str">
        <f>IF(O85="","",VLOOKUP(O85,所属コード!$A$2:$G$189,7,FALSE))</f>
        <v/>
      </c>
      <c r="R85" s="1166"/>
      <c r="S85" s="77"/>
      <c r="T85" s="77"/>
      <c r="U85" s="77"/>
      <c r="V85" s="15"/>
      <c r="X85" s="617"/>
      <c r="Y85" s="1090" t="str">
        <f t="shared" si="64"/>
        <v/>
      </c>
      <c r="Z85" s="618" t="str">
        <f t="shared" si="65"/>
        <v/>
      </c>
      <c r="AA85" s="617"/>
      <c r="AB85" s="617"/>
      <c r="AC85" s="617"/>
      <c r="AD85" s="617"/>
      <c r="AE85" s="617"/>
      <c r="AF85" s="617"/>
      <c r="AG85" s="620"/>
      <c r="AH85" s="727"/>
      <c r="AI85" s="728"/>
      <c r="AJ85" s="728"/>
      <c r="AK85" s="728"/>
      <c r="AL85" s="728"/>
      <c r="AM85" s="728"/>
      <c r="AN85" s="728"/>
      <c r="AO85" s="728"/>
      <c r="AP85" s="728"/>
      <c r="AQ85" s="728"/>
      <c r="AR85" s="728"/>
      <c r="AS85" s="728"/>
      <c r="AT85" s="728"/>
      <c r="AU85" s="728"/>
      <c r="AV85" s="728"/>
      <c r="AW85" s="742"/>
      <c r="AX85" s="747">
        <f t="shared" si="66"/>
        <v>0</v>
      </c>
      <c r="AY85" s="738">
        <f t="shared" si="58"/>
        <v>0</v>
      </c>
      <c r="AZ85" s="729">
        <f t="shared" si="59"/>
        <v>0</v>
      </c>
      <c r="BA85" s="730">
        <f t="shared" si="60"/>
        <v>0</v>
      </c>
      <c r="BB85" s="729">
        <f t="shared" si="61"/>
        <v>0</v>
      </c>
      <c r="BC85" s="729">
        <f t="shared" si="67"/>
        <v>0</v>
      </c>
      <c r="BD85" s="729">
        <f t="shared" si="68"/>
        <v>0</v>
      </c>
      <c r="BE85" s="729">
        <f t="shared" si="69"/>
        <v>0</v>
      </c>
      <c r="BF85" s="729">
        <f t="shared" si="70"/>
        <v>0</v>
      </c>
      <c r="BG85" s="729">
        <f t="shared" si="71"/>
        <v>0</v>
      </c>
      <c r="BH85" s="729">
        <f t="shared" si="72"/>
        <v>0</v>
      </c>
      <c r="BI85" s="729">
        <f t="shared" si="73"/>
        <v>0</v>
      </c>
      <c r="BJ85" s="729">
        <f t="shared" si="74"/>
        <v>0</v>
      </c>
      <c r="BK85" s="729">
        <f t="shared" si="75"/>
        <v>0</v>
      </c>
      <c r="BL85" s="729">
        <f t="shared" si="76"/>
        <v>0</v>
      </c>
      <c r="BM85" s="729">
        <f t="shared" si="77"/>
        <v>0</v>
      </c>
      <c r="BN85" s="729">
        <f t="shared" si="78"/>
        <v>0</v>
      </c>
      <c r="BO85" s="729">
        <f t="shared" si="79"/>
        <v>0</v>
      </c>
      <c r="BP85" s="729">
        <f t="shared" si="80"/>
        <v>0</v>
      </c>
      <c r="BQ85" s="729">
        <f t="shared" si="81"/>
        <v>0</v>
      </c>
      <c r="BR85" s="729">
        <f t="shared" si="82"/>
        <v>0</v>
      </c>
      <c r="BS85" s="729">
        <f t="shared" si="83"/>
        <v>0</v>
      </c>
      <c r="BT85" s="729">
        <f t="shared" si="84"/>
        <v>0</v>
      </c>
      <c r="BU85" s="729">
        <f t="shared" si="85"/>
        <v>0</v>
      </c>
      <c r="BV85" s="729">
        <f t="shared" si="86"/>
        <v>0</v>
      </c>
      <c r="BW85" s="729">
        <f t="shared" si="87"/>
        <v>0</v>
      </c>
      <c r="BX85" s="729">
        <f t="shared" si="88"/>
        <v>0</v>
      </c>
      <c r="BY85" s="729">
        <f t="shared" si="89"/>
        <v>0</v>
      </c>
      <c r="BZ85" s="729">
        <f t="shared" si="90"/>
        <v>0</v>
      </c>
      <c r="CA85" s="729">
        <f t="shared" si="91"/>
        <v>0</v>
      </c>
      <c r="CB85" s="729">
        <f t="shared" si="92"/>
        <v>0</v>
      </c>
      <c r="CC85" s="729">
        <f t="shared" si="93"/>
        <v>0</v>
      </c>
      <c r="CD85" s="729">
        <f t="shared" si="94"/>
        <v>0</v>
      </c>
      <c r="CE85" s="729">
        <f t="shared" si="95"/>
        <v>0</v>
      </c>
      <c r="CF85" s="731">
        <f t="shared" si="96"/>
        <v>0</v>
      </c>
      <c r="CG85" s="692" t="str">
        <f t="shared" si="97"/>
        <v/>
      </c>
      <c r="CH85" s="659" t="str">
        <f t="shared" si="98"/>
        <v/>
      </c>
      <c r="CI85" s="659" t="str">
        <f t="shared" si="99"/>
        <v/>
      </c>
      <c r="CJ85" s="659" t="str">
        <f t="shared" si="100"/>
        <v/>
      </c>
      <c r="CK85" s="659" t="str">
        <f t="shared" si="101"/>
        <v/>
      </c>
      <c r="CL85" s="659" t="str">
        <f t="shared" si="102"/>
        <v/>
      </c>
      <c r="CM85" s="82" t="str">
        <f t="shared" si="103"/>
        <v/>
      </c>
      <c r="CN85" s="625" t="str">
        <f t="shared" si="62"/>
        <v/>
      </c>
      <c r="CO85" s="625" t="str">
        <f t="shared" si="109"/>
        <v>0</v>
      </c>
      <c r="CP85" s="620">
        <f t="shared" si="104"/>
        <v>0</v>
      </c>
      <c r="CQ85" s="1051" t="s">
        <v>179</v>
      </c>
      <c r="CR85" s="1080">
        <v>235082</v>
      </c>
      <c r="CS85" s="625">
        <f t="shared" si="105"/>
        <v>0</v>
      </c>
      <c r="CT85" s="625">
        <f t="shared" si="106"/>
        <v>0</v>
      </c>
      <c r="CU85" s="626" t="str">
        <f t="shared" si="107"/>
        <v>00</v>
      </c>
    </row>
    <row r="86" spans="1:99" ht="15" customHeight="1">
      <c r="A86" s="1094">
        <v>83</v>
      </c>
      <c r="B86" s="1376"/>
      <c r="C86" s="1377"/>
      <c r="D86" s="1068"/>
      <c r="E86" s="1060"/>
      <c r="F86" s="1382"/>
      <c r="G86" s="1200"/>
      <c r="H86" s="1067"/>
      <c r="I86" s="1062"/>
      <c r="J86" s="1063"/>
      <c r="K86" s="1153"/>
      <c r="L86" s="1153"/>
      <c r="M86" s="1183"/>
      <c r="N86" s="1187" t="str">
        <f t="shared" si="63"/>
        <v/>
      </c>
      <c r="O86" s="1190" t="str">
        <f t="shared" si="108"/>
        <v/>
      </c>
      <c r="P86" s="525" t="str">
        <f>IF(O86="","",VLOOKUP(O86,所属コード!$A$2:$E$189,2,FALSE))</f>
        <v/>
      </c>
      <c r="Q86" s="1164" t="str">
        <f>IF(O86="","",VLOOKUP(O86,所属コード!$A$2:$G$189,7,FALSE))</f>
        <v/>
      </c>
      <c r="R86" s="1166"/>
      <c r="S86" s="77"/>
      <c r="T86" s="77"/>
      <c r="U86" s="77"/>
      <c r="V86" s="15"/>
      <c r="X86" s="617"/>
      <c r="Y86" s="1090" t="str">
        <f t="shared" si="64"/>
        <v/>
      </c>
      <c r="Z86" s="618" t="str">
        <f t="shared" si="65"/>
        <v/>
      </c>
      <c r="AA86" s="617"/>
      <c r="AB86" s="617"/>
      <c r="AC86" s="617"/>
      <c r="AD86" s="617"/>
      <c r="AE86" s="617"/>
      <c r="AF86" s="617"/>
      <c r="AG86" s="620"/>
      <c r="AH86" s="727"/>
      <c r="AI86" s="728"/>
      <c r="AJ86" s="728"/>
      <c r="AK86" s="728"/>
      <c r="AL86" s="728"/>
      <c r="AM86" s="728"/>
      <c r="AN86" s="728"/>
      <c r="AO86" s="728"/>
      <c r="AP86" s="728"/>
      <c r="AQ86" s="728"/>
      <c r="AR86" s="728"/>
      <c r="AS86" s="728"/>
      <c r="AT86" s="728"/>
      <c r="AU86" s="728"/>
      <c r="AV86" s="728"/>
      <c r="AW86" s="742"/>
      <c r="AX86" s="747">
        <f t="shared" si="66"/>
        <v>0</v>
      </c>
      <c r="AY86" s="738">
        <f t="shared" si="58"/>
        <v>0</v>
      </c>
      <c r="AZ86" s="729">
        <f t="shared" si="59"/>
        <v>0</v>
      </c>
      <c r="BA86" s="730">
        <f t="shared" si="60"/>
        <v>0</v>
      </c>
      <c r="BB86" s="729">
        <f t="shared" si="61"/>
        <v>0</v>
      </c>
      <c r="BC86" s="729">
        <f t="shared" si="67"/>
        <v>0</v>
      </c>
      <c r="BD86" s="729">
        <f t="shared" si="68"/>
        <v>0</v>
      </c>
      <c r="BE86" s="729">
        <f t="shared" si="69"/>
        <v>0</v>
      </c>
      <c r="BF86" s="729">
        <f t="shared" si="70"/>
        <v>0</v>
      </c>
      <c r="BG86" s="729">
        <f t="shared" si="71"/>
        <v>0</v>
      </c>
      <c r="BH86" s="729">
        <f t="shared" si="72"/>
        <v>0</v>
      </c>
      <c r="BI86" s="729">
        <f t="shared" si="73"/>
        <v>0</v>
      </c>
      <c r="BJ86" s="729">
        <f t="shared" si="74"/>
        <v>0</v>
      </c>
      <c r="BK86" s="729">
        <f t="shared" si="75"/>
        <v>0</v>
      </c>
      <c r="BL86" s="729">
        <f t="shared" si="76"/>
        <v>0</v>
      </c>
      <c r="BM86" s="729">
        <f t="shared" si="77"/>
        <v>0</v>
      </c>
      <c r="BN86" s="729">
        <f t="shared" si="78"/>
        <v>0</v>
      </c>
      <c r="BO86" s="729">
        <f t="shared" si="79"/>
        <v>0</v>
      </c>
      <c r="BP86" s="729">
        <f t="shared" si="80"/>
        <v>0</v>
      </c>
      <c r="BQ86" s="729">
        <f t="shared" si="81"/>
        <v>0</v>
      </c>
      <c r="BR86" s="729">
        <f t="shared" si="82"/>
        <v>0</v>
      </c>
      <c r="BS86" s="729">
        <f t="shared" si="83"/>
        <v>0</v>
      </c>
      <c r="BT86" s="729">
        <f t="shared" si="84"/>
        <v>0</v>
      </c>
      <c r="BU86" s="729">
        <f t="shared" si="85"/>
        <v>0</v>
      </c>
      <c r="BV86" s="729">
        <f t="shared" si="86"/>
        <v>0</v>
      </c>
      <c r="BW86" s="729">
        <f t="shared" si="87"/>
        <v>0</v>
      </c>
      <c r="BX86" s="729">
        <f t="shared" si="88"/>
        <v>0</v>
      </c>
      <c r="BY86" s="729">
        <f t="shared" si="89"/>
        <v>0</v>
      </c>
      <c r="BZ86" s="729">
        <f t="shared" si="90"/>
        <v>0</v>
      </c>
      <c r="CA86" s="729">
        <f t="shared" si="91"/>
        <v>0</v>
      </c>
      <c r="CB86" s="729">
        <f t="shared" si="92"/>
        <v>0</v>
      </c>
      <c r="CC86" s="729">
        <f t="shared" si="93"/>
        <v>0</v>
      </c>
      <c r="CD86" s="729">
        <f t="shared" si="94"/>
        <v>0</v>
      </c>
      <c r="CE86" s="729">
        <f t="shared" si="95"/>
        <v>0</v>
      </c>
      <c r="CF86" s="731">
        <f t="shared" si="96"/>
        <v>0</v>
      </c>
      <c r="CG86" s="692" t="str">
        <f t="shared" si="97"/>
        <v/>
      </c>
      <c r="CH86" s="659" t="str">
        <f t="shared" si="98"/>
        <v/>
      </c>
      <c r="CI86" s="659" t="str">
        <f t="shared" si="99"/>
        <v/>
      </c>
      <c r="CJ86" s="659" t="str">
        <f t="shared" si="100"/>
        <v/>
      </c>
      <c r="CK86" s="659" t="str">
        <f t="shared" si="101"/>
        <v/>
      </c>
      <c r="CL86" s="659" t="str">
        <f t="shared" si="102"/>
        <v/>
      </c>
      <c r="CM86" s="82" t="str">
        <f t="shared" si="103"/>
        <v/>
      </c>
      <c r="CN86" s="625" t="str">
        <f t="shared" si="62"/>
        <v/>
      </c>
      <c r="CO86" s="625" t="str">
        <f t="shared" si="109"/>
        <v>0</v>
      </c>
      <c r="CP86" s="620">
        <f t="shared" si="104"/>
        <v>0</v>
      </c>
      <c r="CQ86" s="1051" t="s">
        <v>37</v>
      </c>
      <c r="CR86" s="1080">
        <v>235083</v>
      </c>
      <c r="CS86" s="625">
        <f t="shared" si="105"/>
        <v>0</v>
      </c>
      <c r="CT86" s="625">
        <f t="shared" si="106"/>
        <v>0</v>
      </c>
      <c r="CU86" s="626" t="str">
        <f t="shared" si="107"/>
        <v>00</v>
      </c>
    </row>
    <row r="87" spans="1:99" ht="15" customHeight="1">
      <c r="A87" s="1094">
        <v>84</v>
      </c>
      <c r="B87" s="1376"/>
      <c r="C87" s="1377"/>
      <c r="D87" s="1068"/>
      <c r="E87" s="1060"/>
      <c r="F87" s="1382"/>
      <c r="G87" s="1200"/>
      <c r="H87" s="1067"/>
      <c r="I87" s="1062"/>
      <c r="J87" s="1063"/>
      <c r="K87" s="1153"/>
      <c r="L87" s="1153"/>
      <c r="M87" s="1183"/>
      <c r="N87" s="1187" t="str">
        <f t="shared" si="63"/>
        <v/>
      </c>
      <c r="O87" s="1190" t="str">
        <f t="shared" si="108"/>
        <v/>
      </c>
      <c r="P87" s="525" t="str">
        <f>IF(O87="","",VLOOKUP(O87,所属コード!$A$2:$E$189,2,FALSE))</f>
        <v/>
      </c>
      <c r="Q87" s="1164" t="str">
        <f>IF(O87="","",VLOOKUP(O87,所属コード!$A$2:$G$189,7,FALSE))</f>
        <v/>
      </c>
      <c r="R87" s="1166"/>
      <c r="S87" s="77"/>
      <c r="T87" s="77"/>
      <c r="U87" s="77"/>
      <c r="V87" s="15"/>
      <c r="X87" s="617"/>
      <c r="Y87" s="1090" t="str">
        <f t="shared" si="64"/>
        <v/>
      </c>
      <c r="Z87" s="618" t="str">
        <f t="shared" si="65"/>
        <v/>
      </c>
      <c r="AA87" s="617"/>
      <c r="AB87" s="617"/>
      <c r="AC87" s="617"/>
      <c r="AD87" s="617"/>
      <c r="AE87" s="617"/>
      <c r="AF87" s="617"/>
      <c r="AG87" s="620"/>
      <c r="AH87" s="727"/>
      <c r="AI87" s="728"/>
      <c r="AJ87" s="728"/>
      <c r="AK87" s="728"/>
      <c r="AL87" s="728"/>
      <c r="AM87" s="728"/>
      <c r="AN87" s="728"/>
      <c r="AO87" s="728"/>
      <c r="AP87" s="728"/>
      <c r="AQ87" s="728"/>
      <c r="AR87" s="728"/>
      <c r="AS87" s="728"/>
      <c r="AT87" s="728"/>
      <c r="AU87" s="728"/>
      <c r="AV87" s="728"/>
      <c r="AW87" s="742"/>
      <c r="AX87" s="747">
        <f t="shared" si="66"/>
        <v>0</v>
      </c>
      <c r="AY87" s="738">
        <f t="shared" si="58"/>
        <v>0</v>
      </c>
      <c r="AZ87" s="729">
        <f t="shared" si="59"/>
        <v>0</v>
      </c>
      <c r="BA87" s="730">
        <f t="shared" si="60"/>
        <v>0</v>
      </c>
      <c r="BB87" s="729">
        <f t="shared" si="61"/>
        <v>0</v>
      </c>
      <c r="BC87" s="729">
        <f t="shared" si="67"/>
        <v>0</v>
      </c>
      <c r="BD87" s="729">
        <f t="shared" si="68"/>
        <v>0</v>
      </c>
      <c r="BE87" s="729">
        <f t="shared" si="69"/>
        <v>0</v>
      </c>
      <c r="BF87" s="729">
        <f t="shared" si="70"/>
        <v>0</v>
      </c>
      <c r="BG87" s="729">
        <f t="shared" si="71"/>
        <v>0</v>
      </c>
      <c r="BH87" s="729">
        <f t="shared" si="72"/>
        <v>0</v>
      </c>
      <c r="BI87" s="729">
        <f t="shared" si="73"/>
        <v>0</v>
      </c>
      <c r="BJ87" s="729">
        <f t="shared" si="74"/>
        <v>0</v>
      </c>
      <c r="BK87" s="729">
        <f t="shared" si="75"/>
        <v>0</v>
      </c>
      <c r="BL87" s="729">
        <f t="shared" si="76"/>
        <v>0</v>
      </c>
      <c r="BM87" s="729">
        <f t="shared" si="77"/>
        <v>0</v>
      </c>
      <c r="BN87" s="729">
        <f t="shared" si="78"/>
        <v>0</v>
      </c>
      <c r="BO87" s="729">
        <f t="shared" si="79"/>
        <v>0</v>
      </c>
      <c r="BP87" s="729">
        <f t="shared" si="80"/>
        <v>0</v>
      </c>
      <c r="BQ87" s="729">
        <f t="shared" si="81"/>
        <v>0</v>
      </c>
      <c r="BR87" s="729">
        <f t="shared" si="82"/>
        <v>0</v>
      </c>
      <c r="BS87" s="729">
        <f t="shared" si="83"/>
        <v>0</v>
      </c>
      <c r="BT87" s="729">
        <f t="shared" si="84"/>
        <v>0</v>
      </c>
      <c r="BU87" s="729">
        <f t="shared" si="85"/>
        <v>0</v>
      </c>
      <c r="BV87" s="729">
        <f t="shared" si="86"/>
        <v>0</v>
      </c>
      <c r="BW87" s="729">
        <f t="shared" si="87"/>
        <v>0</v>
      </c>
      <c r="BX87" s="729">
        <f t="shared" si="88"/>
        <v>0</v>
      </c>
      <c r="BY87" s="729">
        <f t="shared" si="89"/>
        <v>0</v>
      </c>
      <c r="BZ87" s="729">
        <f t="shared" si="90"/>
        <v>0</v>
      </c>
      <c r="CA87" s="729">
        <f t="shared" si="91"/>
        <v>0</v>
      </c>
      <c r="CB87" s="729">
        <f t="shared" si="92"/>
        <v>0</v>
      </c>
      <c r="CC87" s="729">
        <f t="shared" si="93"/>
        <v>0</v>
      </c>
      <c r="CD87" s="729">
        <f t="shared" si="94"/>
        <v>0</v>
      </c>
      <c r="CE87" s="729">
        <f t="shared" si="95"/>
        <v>0</v>
      </c>
      <c r="CF87" s="731">
        <f t="shared" si="96"/>
        <v>0</v>
      </c>
      <c r="CG87" s="692" t="str">
        <f t="shared" si="97"/>
        <v/>
      </c>
      <c r="CH87" s="659" t="str">
        <f t="shared" si="98"/>
        <v/>
      </c>
      <c r="CI87" s="659" t="str">
        <f t="shared" si="99"/>
        <v/>
      </c>
      <c r="CJ87" s="659" t="str">
        <f t="shared" si="100"/>
        <v/>
      </c>
      <c r="CK87" s="659" t="str">
        <f t="shared" si="101"/>
        <v/>
      </c>
      <c r="CL87" s="659" t="str">
        <f t="shared" si="102"/>
        <v/>
      </c>
      <c r="CM87" s="82" t="str">
        <f t="shared" si="103"/>
        <v/>
      </c>
      <c r="CN87" s="625" t="str">
        <f t="shared" si="62"/>
        <v/>
      </c>
      <c r="CO87" s="625" t="str">
        <f t="shared" si="109"/>
        <v>0</v>
      </c>
      <c r="CP87" s="620">
        <f t="shared" si="104"/>
        <v>0</v>
      </c>
      <c r="CQ87" s="1051" t="s">
        <v>72</v>
      </c>
      <c r="CR87" s="1080">
        <v>235084</v>
      </c>
      <c r="CS87" s="625">
        <f t="shared" si="105"/>
        <v>0</v>
      </c>
      <c r="CT87" s="625">
        <f t="shared" si="106"/>
        <v>0</v>
      </c>
      <c r="CU87" s="626" t="str">
        <f t="shared" si="107"/>
        <v>00</v>
      </c>
    </row>
    <row r="88" spans="1:99" ht="15" customHeight="1">
      <c r="A88" s="1094">
        <v>85</v>
      </c>
      <c r="B88" s="1376"/>
      <c r="C88" s="1377"/>
      <c r="D88" s="1068"/>
      <c r="E88" s="1060"/>
      <c r="F88" s="1382"/>
      <c r="G88" s="1200"/>
      <c r="H88" s="1067"/>
      <c r="I88" s="1062"/>
      <c r="J88" s="1063"/>
      <c r="K88" s="1153"/>
      <c r="L88" s="1153"/>
      <c r="M88" s="1183"/>
      <c r="N88" s="1187" t="str">
        <f t="shared" si="63"/>
        <v/>
      </c>
      <c r="O88" s="1190" t="str">
        <f t="shared" si="108"/>
        <v/>
      </c>
      <c r="P88" s="525" t="str">
        <f>IF(O88="","",VLOOKUP(O88,所属コード!$A$2:$E$189,2,FALSE))</f>
        <v/>
      </c>
      <c r="Q88" s="1164" t="str">
        <f>IF(O88="","",VLOOKUP(O88,所属コード!$A$2:$G$189,7,FALSE))</f>
        <v/>
      </c>
      <c r="R88" s="1166"/>
      <c r="S88" s="77"/>
      <c r="T88" s="77"/>
      <c r="U88" s="77"/>
      <c r="V88" s="15"/>
      <c r="X88" s="617"/>
      <c r="Y88" s="1090" t="str">
        <f t="shared" si="64"/>
        <v/>
      </c>
      <c r="Z88" s="618" t="str">
        <f t="shared" si="65"/>
        <v/>
      </c>
      <c r="AA88" s="617"/>
      <c r="AB88" s="617"/>
      <c r="AC88" s="617"/>
      <c r="AD88" s="617"/>
      <c r="AE88" s="617"/>
      <c r="AF88" s="617"/>
      <c r="AG88" s="620"/>
      <c r="AH88" s="727"/>
      <c r="AI88" s="728"/>
      <c r="AJ88" s="728"/>
      <c r="AK88" s="728"/>
      <c r="AL88" s="728"/>
      <c r="AM88" s="728"/>
      <c r="AN88" s="728"/>
      <c r="AO88" s="728"/>
      <c r="AP88" s="728"/>
      <c r="AQ88" s="728"/>
      <c r="AR88" s="728"/>
      <c r="AS88" s="728"/>
      <c r="AT88" s="728"/>
      <c r="AU88" s="728"/>
      <c r="AV88" s="728"/>
      <c r="AW88" s="742"/>
      <c r="AX88" s="747">
        <f t="shared" si="66"/>
        <v>0</v>
      </c>
      <c r="AY88" s="738">
        <f t="shared" si="58"/>
        <v>0</v>
      </c>
      <c r="AZ88" s="729">
        <f t="shared" si="59"/>
        <v>0</v>
      </c>
      <c r="BA88" s="730">
        <f t="shared" si="60"/>
        <v>0</v>
      </c>
      <c r="BB88" s="729">
        <f t="shared" si="61"/>
        <v>0</v>
      </c>
      <c r="BC88" s="729">
        <f t="shared" si="67"/>
        <v>0</v>
      </c>
      <c r="BD88" s="729">
        <f t="shared" si="68"/>
        <v>0</v>
      </c>
      <c r="BE88" s="729">
        <f t="shared" si="69"/>
        <v>0</v>
      </c>
      <c r="BF88" s="729">
        <f t="shared" si="70"/>
        <v>0</v>
      </c>
      <c r="BG88" s="729">
        <f t="shared" si="71"/>
        <v>0</v>
      </c>
      <c r="BH88" s="729">
        <f t="shared" si="72"/>
        <v>0</v>
      </c>
      <c r="BI88" s="729">
        <f t="shared" si="73"/>
        <v>0</v>
      </c>
      <c r="BJ88" s="729">
        <f t="shared" si="74"/>
        <v>0</v>
      </c>
      <c r="BK88" s="729">
        <f t="shared" si="75"/>
        <v>0</v>
      </c>
      <c r="BL88" s="729">
        <f t="shared" si="76"/>
        <v>0</v>
      </c>
      <c r="BM88" s="729">
        <f t="shared" si="77"/>
        <v>0</v>
      </c>
      <c r="BN88" s="729">
        <f t="shared" si="78"/>
        <v>0</v>
      </c>
      <c r="BO88" s="729">
        <f t="shared" si="79"/>
        <v>0</v>
      </c>
      <c r="BP88" s="729">
        <f t="shared" si="80"/>
        <v>0</v>
      </c>
      <c r="BQ88" s="729">
        <f t="shared" si="81"/>
        <v>0</v>
      </c>
      <c r="BR88" s="729">
        <f t="shared" si="82"/>
        <v>0</v>
      </c>
      <c r="BS88" s="729">
        <f t="shared" si="83"/>
        <v>0</v>
      </c>
      <c r="BT88" s="729">
        <f t="shared" si="84"/>
        <v>0</v>
      </c>
      <c r="BU88" s="729">
        <f t="shared" si="85"/>
        <v>0</v>
      </c>
      <c r="BV88" s="729">
        <f t="shared" si="86"/>
        <v>0</v>
      </c>
      <c r="BW88" s="729">
        <f t="shared" si="87"/>
        <v>0</v>
      </c>
      <c r="BX88" s="729">
        <f t="shared" si="88"/>
        <v>0</v>
      </c>
      <c r="BY88" s="729">
        <f t="shared" si="89"/>
        <v>0</v>
      </c>
      <c r="BZ88" s="729">
        <f t="shared" si="90"/>
        <v>0</v>
      </c>
      <c r="CA88" s="729">
        <f t="shared" si="91"/>
        <v>0</v>
      </c>
      <c r="CB88" s="729">
        <f t="shared" si="92"/>
        <v>0</v>
      </c>
      <c r="CC88" s="729">
        <f t="shared" si="93"/>
        <v>0</v>
      </c>
      <c r="CD88" s="729">
        <f t="shared" si="94"/>
        <v>0</v>
      </c>
      <c r="CE88" s="729">
        <f t="shared" si="95"/>
        <v>0</v>
      </c>
      <c r="CF88" s="731">
        <f t="shared" si="96"/>
        <v>0</v>
      </c>
      <c r="CG88" s="692" t="str">
        <f t="shared" si="97"/>
        <v/>
      </c>
      <c r="CH88" s="659" t="str">
        <f t="shared" si="98"/>
        <v/>
      </c>
      <c r="CI88" s="659" t="str">
        <f t="shared" si="99"/>
        <v/>
      </c>
      <c r="CJ88" s="659" t="str">
        <f t="shared" si="100"/>
        <v/>
      </c>
      <c r="CK88" s="659" t="str">
        <f t="shared" si="101"/>
        <v/>
      </c>
      <c r="CL88" s="659" t="str">
        <f t="shared" si="102"/>
        <v/>
      </c>
      <c r="CM88" s="82" t="str">
        <f t="shared" si="103"/>
        <v/>
      </c>
      <c r="CN88" s="625" t="str">
        <f t="shared" si="62"/>
        <v/>
      </c>
      <c r="CO88" s="625" t="str">
        <f t="shared" si="109"/>
        <v>0</v>
      </c>
      <c r="CP88" s="620">
        <f t="shared" si="104"/>
        <v>0</v>
      </c>
      <c r="CQ88" s="1051" t="s">
        <v>156</v>
      </c>
      <c r="CR88" s="1080">
        <v>235085</v>
      </c>
      <c r="CS88" s="625">
        <f t="shared" si="105"/>
        <v>0</v>
      </c>
      <c r="CT88" s="625">
        <f t="shared" si="106"/>
        <v>0</v>
      </c>
      <c r="CU88" s="626" t="str">
        <f t="shared" si="107"/>
        <v>00</v>
      </c>
    </row>
    <row r="89" spans="1:99" ht="15" customHeight="1">
      <c r="A89" s="1094">
        <v>86</v>
      </c>
      <c r="B89" s="1376"/>
      <c r="C89" s="1377"/>
      <c r="D89" s="1068"/>
      <c r="E89" s="1060"/>
      <c r="F89" s="1382"/>
      <c r="G89" s="1200"/>
      <c r="H89" s="1067"/>
      <c r="I89" s="1062"/>
      <c r="J89" s="1063"/>
      <c r="K89" s="1153"/>
      <c r="L89" s="1153"/>
      <c r="M89" s="1183"/>
      <c r="N89" s="1187" t="str">
        <f t="shared" si="63"/>
        <v/>
      </c>
      <c r="O89" s="1190" t="str">
        <f t="shared" si="108"/>
        <v/>
      </c>
      <c r="P89" s="525" t="str">
        <f>IF(O89="","",VLOOKUP(O89,所属コード!$A$2:$E$189,2,FALSE))</f>
        <v/>
      </c>
      <c r="Q89" s="1164" t="str">
        <f>IF(O89="","",VLOOKUP(O89,所属コード!$A$2:$G$189,7,FALSE))</f>
        <v/>
      </c>
      <c r="R89" s="1166"/>
      <c r="S89" s="77"/>
      <c r="T89" s="77"/>
      <c r="U89" s="77"/>
      <c r="V89" s="15"/>
      <c r="X89" s="617"/>
      <c r="Y89" s="1090" t="str">
        <f t="shared" si="64"/>
        <v/>
      </c>
      <c r="Z89" s="618" t="str">
        <f t="shared" si="65"/>
        <v/>
      </c>
      <c r="AA89" s="617"/>
      <c r="AB89" s="617"/>
      <c r="AC89" s="617"/>
      <c r="AD89" s="617"/>
      <c r="AE89" s="617"/>
      <c r="AF89" s="617"/>
      <c r="AG89" s="620"/>
      <c r="AH89" s="727"/>
      <c r="AI89" s="728"/>
      <c r="AJ89" s="728"/>
      <c r="AK89" s="728"/>
      <c r="AL89" s="728"/>
      <c r="AM89" s="728"/>
      <c r="AN89" s="728"/>
      <c r="AO89" s="728"/>
      <c r="AP89" s="728"/>
      <c r="AQ89" s="728"/>
      <c r="AR89" s="728"/>
      <c r="AS89" s="728"/>
      <c r="AT89" s="728"/>
      <c r="AU89" s="728"/>
      <c r="AV89" s="728"/>
      <c r="AW89" s="742"/>
      <c r="AX89" s="747">
        <f t="shared" si="66"/>
        <v>0</v>
      </c>
      <c r="AY89" s="738">
        <f t="shared" si="58"/>
        <v>0</v>
      </c>
      <c r="AZ89" s="729">
        <f t="shared" si="59"/>
        <v>0</v>
      </c>
      <c r="BA89" s="730">
        <f t="shared" si="60"/>
        <v>0</v>
      </c>
      <c r="BB89" s="729">
        <f t="shared" si="61"/>
        <v>0</v>
      </c>
      <c r="BC89" s="729">
        <f t="shared" si="67"/>
        <v>0</v>
      </c>
      <c r="BD89" s="729">
        <f t="shared" si="68"/>
        <v>0</v>
      </c>
      <c r="BE89" s="729">
        <f t="shared" si="69"/>
        <v>0</v>
      </c>
      <c r="BF89" s="729">
        <f t="shared" si="70"/>
        <v>0</v>
      </c>
      <c r="BG89" s="729">
        <f t="shared" si="71"/>
        <v>0</v>
      </c>
      <c r="BH89" s="729">
        <f t="shared" si="72"/>
        <v>0</v>
      </c>
      <c r="BI89" s="729">
        <f t="shared" si="73"/>
        <v>0</v>
      </c>
      <c r="BJ89" s="729">
        <f t="shared" si="74"/>
        <v>0</v>
      </c>
      <c r="BK89" s="729">
        <f t="shared" si="75"/>
        <v>0</v>
      </c>
      <c r="BL89" s="729">
        <f t="shared" si="76"/>
        <v>0</v>
      </c>
      <c r="BM89" s="729">
        <f t="shared" si="77"/>
        <v>0</v>
      </c>
      <c r="BN89" s="729">
        <f t="shared" si="78"/>
        <v>0</v>
      </c>
      <c r="BO89" s="729">
        <f t="shared" si="79"/>
        <v>0</v>
      </c>
      <c r="BP89" s="729">
        <f t="shared" si="80"/>
        <v>0</v>
      </c>
      <c r="BQ89" s="729">
        <f t="shared" si="81"/>
        <v>0</v>
      </c>
      <c r="BR89" s="729">
        <f t="shared" si="82"/>
        <v>0</v>
      </c>
      <c r="BS89" s="729">
        <f t="shared" si="83"/>
        <v>0</v>
      </c>
      <c r="BT89" s="729">
        <f t="shared" si="84"/>
        <v>0</v>
      </c>
      <c r="BU89" s="729">
        <f t="shared" si="85"/>
        <v>0</v>
      </c>
      <c r="BV89" s="729">
        <f t="shared" si="86"/>
        <v>0</v>
      </c>
      <c r="BW89" s="729">
        <f t="shared" si="87"/>
        <v>0</v>
      </c>
      <c r="BX89" s="729">
        <f t="shared" si="88"/>
        <v>0</v>
      </c>
      <c r="BY89" s="729">
        <f t="shared" si="89"/>
        <v>0</v>
      </c>
      <c r="BZ89" s="729">
        <f t="shared" si="90"/>
        <v>0</v>
      </c>
      <c r="CA89" s="729">
        <f t="shared" si="91"/>
        <v>0</v>
      </c>
      <c r="CB89" s="729">
        <f t="shared" si="92"/>
        <v>0</v>
      </c>
      <c r="CC89" s="729">
        <f t="shared" si="93"/>
        <v>0</v>
      </c>
      <c r="CD89" s="729">
        <f t="shared" si="94"/>
        <v>0</v>
      </c>
      <c r="CE89" s="729">
        <f t="shared" si="95"/>
        <v>0</v>
      </c>
      <c r="CF89" s="731">
        <f t="shared" si="96"/>
        <v>0</v>
      </c>
      <c r="CG89" s="692" t="str">
        <f t="shared" si="97"/>
        <v/>
      </c>
      <c r="CH89" s="659" t="str">
        <f t="shared" si="98"/>
        <v/>
      </c>
      <c r="CI89" s="659" t="str">
        <f t="shared" si="99"/>
        <v/>
      </c>
      <c r="CJ89" s="659" t="str">
        <f t="shared" si="100"/>
        <v/>
      </c>
      <c r="CK89" s="659" t="str">
        <f t="shared" si="101"/>
        <v/>
      </c>
      <c r="CL89" s="659" t="str">
        <f t="shared" si="102"/>
        <v/>
      </c>
      <c r="CM89" s="82" t="str">
        <f t="shared" si="103"/>
        <v/>
      </c>
      <c r="CN89" s="625" t="str">
        <f t="shared" si="62"/>
        <v/>
      </c>
      <c r="CO89" s="625" t="str">
        <f t="shared" si="109"/>
        <v>0</v>
      </c>
      <c r="CP89" s="620">
        <f t="shared" si="104"/>
        <v>0</v>
      </c>
      <c r="CQ89" s="1051" t="s">
        <v>73</v>
      </c>
      <c r="CR89" s="1080">
        <v>235086</v>
      </c>
      <c r="CS89" s="625">
        <f t="shared" si="105"/>
        <v>0</v>
      </c>
      <c r="CT89" s="625">
        <f t="shared" si="106"/>
        <v>0</v>
      </c>
      <c r="CU89" s="626" t="str">
        <f t="shared" si="107"/>
        <v>00</v>
      </c>
    </row>
    <row r="90" spans="1:99" ht="15" customHeight="1">
      <c r="A90" s="1094">
        <v>87</v>
      </c>
      <c r="B90" s="1376"/>
      <c r="C90" s="1377"/>
      <c r="D90" s="1068"/>
      <c r="E90" s="1060"/>
      <c r="F90" s="1382"/>
      <c r="G90" s="1200"/>
      <c r="H90" s="1067"/>
      <c r="I90" s="1062"/>
      <c r="J90" s="1063"/>
      <c r="K90" s="1153"/>
      <c r="L90" s="1153"/>
      <c r="M90" s="1183"/>
      <c r="N90" s="1187" t="str">
        <f t="shared" si="63"/>
        <v/>
      </c>
      <c r="O90" s="1190" t="str">
        <f t="shared" si="108"/>
        <v/>
      </c>
      <c r="P90" s="525" t="str">
        <f>IF(O90="","",VLOOKUP(O90,所属コード!$A$2:$E$189,2,FALSE))</f>
        <v/>
      </c>
      <c r="Q90" s="1164" t="str">
        <f>IF(O90="","",VLOOKUP(O90,所属コード!$A$2:$G$189,7,FALSE))</f>
        <v/>
      </c>
      <c r="R90" s="1166"/>
      <c r="S90" s="77"/>
      <c r="T90" s="77"/>
      <c r="U90" s="77"/>
      <c r="V90" s="15"/>
      <c r="X90" s="617"/>
      <c r="Y90" s="1090" t="str">
        <f t="shared" si="64"/>
        <v/>
      </c>
      <c r="Z90" s="618" t="str">
        <f t="shared" si="65"/>
        <v/>
      </c>
      <c r="AA90" s="617"/>
      <c r="AB90" s="617"/>
      <c r="AC90" s="617"/>
      <c r="AD90" s="617"/>
      <c r="AE90" s="617"/>
      <c r="AF90" s="617"/>
      <c r="AG90" s="620"/>
      <c r="AH90" s="727"/>
      <c r="AI90" s="728"/>
      <c r="AJ90" s="728"/>
      <c r="AK90" s="728"/>
      <c r="AL90" s="728"/>
      <c r="AM90" s="728"/>
      <c r="AN90" s="728"/>
      <c r="AO90" s="728"/>
      <c r="AP90" s="728"/>
      <c r="AQ90" s="728"/>
      <c r="AR90" s="728"/>
      <c r="AS90" s="728"/>
      <c r="AT90" s="728"/>
      <c r="AU90" s="728"/>
      <c r="AV90" s="728"/>
      <c r="AW90" s="742"/>
      <c r="AX90" s="747">
        <f t="shared" si="66"/>
        <v>0</v>
      </c>
      <c r="AY90" s="738">
        <f t="shared" si="58"/>
        <v>0</v>
      </c>
      <c r="AZ90" s="729">
        <f t="shared" si="59"/>
        <v>0</v>
      </c>
      <c r="BA90" s="730">
        <f t="shared" si="60"/>
        <v>0</v>
      </c>
      <c r="BB90" s="729">
        <f t="shared" si="61"/>
        <v>0</v>
      </c>
      <c r="BC90" s="729">
        <f t="shared" si="67"/>
        <v>0</v>
      </c>
      <c r="BD90" s="729">
        <f t="shared" si="68"/>
        <v>0</v>
      </c>
      <c r="BE90" s="729">
        <f t="shared" si="69"/>
        <v>0</v>
      </c>
      <c r="BF90" s="729">
        <f t="shared" si="70"/>
        <v>0</v>
      </c>
      <c r="BG90" s="729">
        <f t="shared" si="71"/>
        <v>0</v>
      </c>
      <c r="BH90" s="729">
        <f t="shared" si="72"/>
        <v>0</v>
      </c>
      <c r="BI90" s="729">
        <f t="shared" si="73"/>
        <v>0</v>
      </c>
      <c r="BJ90" s="729">
        <f t="shared" si="74"/>
        <v>0</v>
      </c>
      <c r="BK90" s="729">
        <f t="shared" si="75"/>
        <v>0</v>
      </c>
      <c r="BL90" s="729">
        <f t="shared" si="76"/>
        <v>0</v>
      </c>
      <c r="BM90" s="729">
        <f t="shared" si="77"/>
        <v>0</v>
      </c>
      <c r="BN90" s="729">
        <f t="shared" si="78"/>
        <v>0</v>
      </c>
      <c r="BO90" s="729">
        <f t="shared" si="79"/>
        <v>0</v>
      </c>
      <c r="BP90" s="729">
        <f t="shared" si="80"/>
        <v>0</v>
      </c>
      <c r="BQ90" s="729">
        <f t="shared" si="81"/>
        <v>0</v>
      </c>
      <c r="BR90" s="729">
        <f t="shared" si="82"/>
        <v>0</v>
      </c>
      <c r="BS90" s="729">
        <f t="shared" si="83"/>
        <v>0</v>
      </c>
      <c r="BT90" s="729">
        <f t="shared" si="84"/>
        <v>0</v>
      </c>
      <c r="BU90" s="729">
        <f t="shared" si="85"/>
        <v>0</v>
      </c>
      <c r="BV90" s="729">
        <f t="shared" si="86"/>
        <v>0</v>
      </c>
      <c r="BW90" s="729">
        <f t="shared" si="87"/>
        <v>0</v>
      </c>
      <c r="BX90" s="729">
        <f t="shared" si="88"/>
        <v>0</v>
      </c>
      <c r="BY90" s="729">
        <f t="shared" si="89"/>
        <v>0</v>
      </c>
      <c r="BZ90" s="729">
        <f t="shared" si="90"/>
        <v>0</v>
      </c>
      <c r="CA90" s="729">
        <f t="shared" si="91"/>
        <v>0</v>
      </c>
      <c r="CB90" s="729">
        <f t="shared" si="92"/>
        <v>0</v>
      </c>
      <c r="CC90" s="729">
        <f t="shared" si="93"/>
        <v>0</v>
      </c>
      <c r="CD90" s="729">
        <f t="shared" si="94"/>
        <v>0</v>
      </c>
      <c r="CE90" s="729">
        <f t="shared" si="95"/>
        <v>0</v>
      </c>
      <c r="CF90" s="731">
        <f t="shared" si="96"/>
        <v>0</v>
      </c>
      <c r="CG90" s="692" t="str">
        <f t="shared" si="97"/>
        <v/>
      </c>
      <c r="CH90" s="659" t="str">
        <f t="shared" si="98"/>
        <v/>
      </c>
      <c r="CI90" s="659" t="str">
        <f t="shared" si="99"/>
        <v/>
      </c>
      <c r="CJ90" s="659" t="str">
        <f t="shared" si="100"/>
        <v/>
      </c>
      <c r="CK90" s="659" t="str">
        <f t="shared" si="101"/>
        <v/>
      </c>
      <c r="CL90" s="659" t="str">
        <f t="shared" si="102"/>
        <v/>
      </c>
      <c r="CM90" s="82" t="str">
        <f t="shared" si="103"/>
        <v/>
      </c>
      <c r="CN90" s="625" t="str">
        <f t="shared" si="62"/>
        <v/>
      </c>
      <c r="CO90" s="625" t="str">
        <f t="shared" si="109"/>
        <v>0</v>
      </c>
      <c r="CP90" s="620">
        <f t="shared" si="104"/>
        <v>0</v>
      </c>
      <c r="CQ90" s="1051" t="s">
        <v>74</v>
      </c>
      <c r="CR90" s="1080">
        <v>235087</v>
      </c>
      <c r="CS90" s="625">
        <f t="shared" si="105"/>
        <v>0</v>
      </c>
      <c r="CT90" s="625">
        <f t="shared" si="106"/>
        <v>0</v>
      </c>
      <c r="CU90" s="626" t="str">
        <f t="shared" si="107"/>
        <v>00</v>
      </c>
    </row>
    <row r="91" spans="1:99" ht="15" customHeight="1">
      <c r="A91" s="1094">
        <v>88</v>
      </c>
      <c r="B91" s="1376"/>
      <c r="C91" s="1377"/>
      <c r="D91" s="1068"/>
      <c r="E91" s="1060"/>
      <c r="F91" s="1382"/>
      <c r="G91" s="1200"/>
      <c r="H91" s="1067"/>
      <c r="I91" s="1062"/>
      <c r="J91" s="1063"/>
      <c r="K91" s="1153"/>
      <c r="L91" s="1153"/>
      <c r="M91" s="1183"/>
      <c r="N91" s="1187" t="str">
        <f t="shared" si="63"/>
        <v/>
      </c>
      <c r="O91" s="1190" t="str">
        <f t="shared" si="108"/>
        <v/>
      </c>
      <c r="P91" s="525" t="str">
        <f>IF(O91="","",VLOOKUP(O91,所属コード!$A$2:$E$189,2,FALSE))</f>
        <v/>
      </c>
      <c r="Q91" s="1164" t="str">
        <f>IF(O91="","",VLOOKUP(O91,所属コード!$A$2:$G$189,7,FALSE))</f>
        <v/>
      </c>
      <c r="R91" s="1166"/>
      <c r="S91" s="77"/>
      <c r="T91" s="77"/>
      <c r="U91" s="77"/>
      <c r="V91" s="15"/>
      <c r="X91" s="617"/>
      <c r="Y91" s="1090" t="str">
        <f t="shared" si="64"/>
        <v/>
      </c>
      <c r="Z91" s="618" t="str">
        <f t="shared" si="65"/>
        <v/>
      </c>
      <c r="AA91" s="617"/>
      <c r="AB91" s="617"/>
      <c r="AC91" s="617"/>
      <c r="AD91" s="617"/>
      <c r="AE91" s="617"/>
      <c r="AF91" s="617"/>
      <c r="AG91" s="620"/>
      <c r="AH91" s="727"/>
      <c r="AI91" s="728"/>
      <c r="AJ91" s="728"/>
      <c r="AK91" s="728"/>
      <c r="AL91" s="728"/>
      <c r="AM91" s="728"/>
      <c r="AN91" s="728"/>
      <c r="AO91" s="728"/>
      <c r="AP91" s="728"/>
      <c r="AQ91" s="728"/>
      <c r="AR91" s="728"/>
      <c r="AS91" s="728"/>
      <c r="AT91" s="728"/>
      <c r="AU91" s="728"/>
      <c r="AV91" s="728"/>
      <c r="AW91" s="742"/>
      <c r="AX91" s="747">
        <f t="shared" si="66"/>
        <v>0</v>
      </c>
      <c r="AY91" s="738">
        <f t="shared" si="58"/>
        <v>0</v>
      </c>
      <c r="AZ91" s="729">
        <f t="shared" si="59"/>
        <v>0</v>
      </c>
      <c r="BA91" s="730">
        <f t="shared" si="60"/>
        <v>0</v>
      </c>
      <c r="BB91" s="729">
        <f t="shared" si="61"/>
        <v>0</v>
      </c>
      <c r="BC91" s="729">
        <f t="shared" si="67"/>
        <v>0</v>
      </c>
      <c r="BD91" s="729">
        <f t="shared" si="68"/>
        <v>0</v>
      </c>
      <c r="BE91" s="729">
        <f t="shared" si="69"/>
        <v>0</v>
      </c>
      <c r="BF91" s="729">
        <f t="shared" si="70"/>
        <v>0</v>
      </c>
      <c r="BG91" s="729">
        <f t="shared" si="71"/>
        <v>0</v>
      </c>
      <c r="BH91" s="729">
        <f t="shared" si="72"/>
        <v>0</v>
      </c>
      <c r="BI91" s="729">
        <f t="shared" si="73"/>
        <v>0</v>
      </c>
      <c r="BJ91" s="729">
        <f t="shared" si="74"/>
        <v>0</v>
      </c>
      <c r="BK91" s="729">
        <f t="shared" si="75"/>
        <v>0</v>
      </c>
      <c r="BL91" s="729">
        <f t="shared" si="76"/>
        <v>0</v>
      </c>
      <c r="BM91" s="729">
        <f t="shared" si="77"/>
        <v>0</v>
      </c>
      <c r="BN91" s="729">
        <f t="shared" si="78"/>
        <v>0</v>
      </c>
      <c r="BO91" s="729">
        <f t="shared" si="79"/>
        <v>0</v>
      </c>
      <c r="BP91" s="729">
        <f t="shared" si="80"/>
        <v>0</v>
      </c>
      <c r="BQ91" s="729">
        <f t="shared" si="81"/>
        <v>0</v>
      </c>
      <c r="BR91" s="729">
        <f t="shared" si="82"/>
        <v>0</v>
      </c>
      <c r="BS91" s="729">
        <f t="shared" si="83"/>
        <v>0</v>
      </c>
      <c r="BT91" s="729">
        <f t="shared" si="84"/>
        <v>0</v>
      </c>
      <c r="BU91" s="729">
        <f t="shared" si="85"/>
        <v>0</v>
      </c>
      <c r="BV91" s="729">
        <f t="shared" si="86"/>
        <v>0</v>
      </c>
      <c r="BW91" s="729">
        <f t="shared" si="87"/>
        <v>0</v>
      </c>
      <c r="BX91" s="729">
        <f t="shared" si="88"/>
        <v>0</v>
      </c>
      <c r="BY91" s="729">
        <f t="shared" si="89"/>
        <v>0</v>
      </c>
      <c r="BZ91" s="729">
        <f t="shared" si="90"/>
        <v>0</v>
      </c>
      <c r="CA91" s="729">
        <f t="shared" si="91"/>
        <v>0</v>
      </c>
      <c r="CB91" s="729">
        <f t="shared" si="92"/>
        <v>0</v>
      </c>
      <c r="CC91" s="729">
        <f t="shared" si="93"/>
        <v>0</v>
      </c>
      <c r="CD91" s="729">
        <f t="shared" si="94"/>
        <v>0</v>
      </c>
      <c r="CE91" s="729">
        <f t="shared" si="95"/>
        <v>0</v>
      </c>
      <c r="CF91" s="731">
        <f t="shared" si="96"/>
        <v>0</v>
      </c>
      <c r="CG91" s="692" t="str">
        <f t="shared" si="97"/>
        <v/>
      </c>
      <c r="CH91" s="659" t="str">
        <f t="shared" si="98"/>
        <v/>
      </c>
      <c r="CI91" s="659" t="str">
        <f t="shared" si="99"/>
        <v/>
      </c>
      <c r="CJ91" s="659" t="str">
        <f t="shared" si="100"/>
        <v/>
      </c>
      <c r="CK91" s="659" t="str">
        <f t="shared" si="101"/>
        <v/>
      </c>
      <c r="CL91" s="659" t="str">
        <f t="shared" si="102"/>
        <v/>
      </c>
      <c r="CM91" s="82" t="str">
        <f t="shared" si="103"/>
        <v/>
      </c>
      <c r="CN91" s="625" t="str">
        <f t="shared" si="62"/>
        <v/>
      </c>
      <c r="CO91" s="625" t="str">
        <f t="shared" si="109"/>
        <v>0</v>
      </c>
      <c r="CP91" s="620">
        <f t="shared" si="104"/>
        <v>0</v>
      </c>
      <c r="CQ91" s="1051" t="s">
        <v>75</v>
      </c>
      <c r="CR91" s="1080">
        <v>235088</v>
      </c>
      <c r="CS91" s="625">
        <f t="shared" si="105"/>
        <v>0</v>
      </c>
      <c r="CT91" s="625">
        <f t="shared" si="106"/>
        <v>0</v>
      </c>
      <c r="CU91" s="626" t="str">
        <f t="shared" si="107"/>
        <v>00</v>
      </c>
    </row>
    <row r="92" spans="1:99" ht="15" customHeight="1">
      <c r="A92" s="1094">
        <v>89</v>
      </c>
      <c r="B92" s="1376"/>
      <c r="C92" s="1377"/>
      <c r="D92" s="1068"/>
      <c r="E92" s="1060"/>
      <c r="F92" s="1382"/>
      <c r="G92" s="1200"/>
      <c r="H92" s="1067"/>
      <c r="I92" s="1062"/>
      <c r="J92" s="1063"/>
      <c r="K92" s="1153"/>
      <c r="L92" s="1153"/>
      <c r="M92" s="1183"/>
      <c r="N92" s="1187" t="str">
        <f t="shared" si="63"/>
        <v/>
      </c>
      <c r="O92" s="1190" t="str">
        <f t="shared" si="108"/>
        <v/>
      </c>
      <c r="P92" s="525" t="str">
        <f>IF(O92="","",VLOOKUP(O92,所属コード!$A$2:$E$189,2,FALSE))</f>
        <v/>
      </c>
      <c r="Q92" s="1164" t="str">
        <f>IF(O92="","",VLOOKUP(O92,所属コード!$A$2:$G$189,7,FALSE))</f>
        <v/>
      </c>
      <c r="R92" s="1166"/>
      <c r="S92" s="77"/>
      <c r="T92" s="77"/>
      <c r="U92" s="77"/>
      <c r="V92" s="15"/>
      <c r="X92" s="617"/>
      <c r="Y92" s="1090" t="str">
        <f t="shared" si="64"/>
        <v/>
      </c>
      <c r="Z92" s="618" t="str">
        <f t="shared" si="65"/>
        <v/>
      </c>
      <c r="AA92" s="617"/>
      <c r="AB92" s="617"/>
      <c r="AC92" s="617"/>
      <c r="AD92" s="617"/>
      <c r="AE92" s="617"/>
      <c r="AF92" s="617"/>
      <c r="AG92" s="620"/>
      <c r="AH92" s="727"/>
      <c r="AI92" s="728"/>
      <c r="AJ92" s="728"/>
      <c r="AK92" s="728"/>
      <c r="AL92" s="728"/>
      <c r="AM92" s="728"/>
      <c r="AN92" s="728"/>
      <c r="AO92" s="728"/>
      <c r="AP92" s="728"/>
      <c r="AQ92" s="728"/>
      <c r="AR92" s="728"/>
      <c r="AS92" s="728"/>
      <c r="AT92" s="728"/>
      <c r="AU92" s="728"/>
      <c r="AV92" s="728"/>
      <c r="AW92" s="742"/>
      <c r="AX92" s="747">
        <f t="shared" si="66"/>
        <v>0</v>
      </c>
      <c r="AY92" s="738">
        <f t="shared" si="58"/>
        <v>0</v>
      </c>
      <c r="AZ92" s="729">
        <f t="shared" si="59"/>
        <v>0</v>
      </c>
      <c r="BA92" s="730">
        <f t="shared" si="60"/>
        <v>0</v>
      </c>
      <c r="BB92" s="729">
        <f t="shared" si="61"/>
        <v>0</v>
      </c>
      <c r="BC92" s="729">
        <f t="shared" si="67"/>
        <v>0</v>
      </c>
      <c r="BD92" s="729">
        <f t="shared" si="68"/>
        <v>0</v>
      </c>
      <c r="BE92" s="729">
        <f t="shared" si="69"/>
        <v>0</v>
      </c>
      <c r="BF92" s="729">
        <f t="shared" si="70"/>
        <v>0</v>
      </c>
      <c r="BG92" s="729">
        <f t="shared" si="71"/>
        <v>0</v>
      </c>
      <c r="BH92" s="729">
        <f t="shared" si="72"/>
        <v>0</v>
      </c>
      <c r="BI92" s="729">
        <f t="shared" si="73"/>
        <v>0</v>
      </c>
      <c r="BJ92" s="729">
        <f t="shared" si="74"/>
        <v>0</v>
      </c>
      <c r="BK92" s="729">
        <f t="shared" si="75"/>
        <v>0</v>
      </c>
      <c r="BL92" s="729">
        <f t="shared" si="76"/>
        <v>0</v>
      </c>
      <c r="BM92" s="729">
        <f t="shared" si="77"/>
        <v>0</v>
      </c>
      <c r="BN92" s="729">
        <f t="shared" si="78"/>
        <v>0</v>
      </c>
      <c r="BO92" s="729">
        <f t="shared" si="79"/>
        <v>0</v>
      </c>
      <c r="BP92" s="729">
        <f t="shared" si="80"/>
        <v>0</v>
      </c>
      <c r="BQ92" s="729">
        <f t="shared" si="81"/>
        <v>0</v>
      </c>
      <c r="BR92" s="729">
        <f t="shared" si="82"/>
        <v>0</v>
      </c>
      <c r="BS92" s="729">
        <f t="shared" si="83"/>
        <v>0</v>
      </c>
      <c r="BT92" s="729">
        <f t="shared" si="84"/>
        <v>0</v>
      </c>
      <c r="BU92" s="729">
        <f t="shared" si="85"/>
        <v>0</v>
      </c>
      <c r="BV92" s="729">
        <f t="shared" si="86"/>
        <v>0</v>
      </c>
      <c r="BW92" s="729">
        <f t="shared" si="87"/>
        <v>0</v>
      </c>
      <c r="BX92" s="729">
        <f t="shared" si="88"/>
        <v>0</v>
      </c>
      <c r="BY92" s="729">
        <f t="shared" si="89"/>
        <v>0</v>
      </c>
      <c r="BZ92" s="729">
        <f t="shared" si="90"/>
        <v>0</v>
      </c>
      <c r="CA92" s="729">
        <f t="shared" si="91"/>
        <v>0</v>
      </c>
      <c r="CB92" s="729">
        <f t="shared" si="92"/>
        <v>0</v>
      </c>
      <c r="CC92" s="729">
        <f t="shared" si="93"/>
        <v>0</v>
      </c>
      <c r="CD92" s="729">
        <f t="shared" si="94"/>
        <v>0</v>
      </c>
      <c r="CE92" s="729">
        <f t="shared" si="95"/>
        <v>0</v>
      </c>
      <c r="CF92" s="731">
        <f t="shared" si="96"/>
        <v>0</v>
      </c>
      <c r="CG92" s="692" t="str">
        <f t="shared" si="97"/>
        <v/>
      </c>
      <c r="CH92" s="659" t="str">
        <f t="shared" si="98"/>
        <v/>
      </c>
      <c r="CI92" s="659" t="str">
        <f t="shared" si="99"/>
        <v/>
      </c>
      <c r="CJ92" s="659" t="str">
        <f t="shared" si="100"/>
        <v/>
      </c>
      <c r="CK92" s="659" t="str">
        <f t="shared" si="101"/>
        <v/>
      </c>
      <c r="CL92" s="659" t="str">
        <f t="shared" si="102"/>
        <v/>
      </c>
      <c r="CM92" s="82" t="str">
        <f t="shared" si="103"/>
        <v/>
      </c>
      <c r="CN92" s="625" t="str">
        <f t="shared" si="62"/>
        <v/>
      </c>
      <c r="CO92" s="625" t="str">
        <f t="shared" si="109"/>
        <v>0</v>
      </c>
      <c r="CP92" s="620">
        <f t="shared" si="104"/>
        <v>0</v>
      </c>
      <c r="CQ92" s="1051" t="s">
        <v>287</v>
      </c>
      <c r="CR92" s="1080">
        <v>235089</v>
      </c>
      <c r="CS92" s="625">
        <f t="shared" si="105"/>
        <v>0</v>
      </c>
      <c r="CT92" s="625">
        <f t="shared" si="106"/>
        <v>0</v>
      </c>
      <c r="CU92" s="626" t="str">
        <f t="shared" si="107"/>
        <v>00</v>
      </c>
    </row>
    <row r="93" spans="1:99" ht="15" customHeight="1">
      <c r="A93" s="1094">
        <v>90</v>
      </c>
      <c r="B93" s="1376"/>
      <c r="C93" s="1377"/>
      <c r="D93" s="1068"/>
      <c r="E93" s="1060"/>
      <c r="F93" s="1382"/>
      <c r="G93" s="1200"/>
      <c r="H93" s="1067"/>
      <c r="I93" s="1062"/>
      <c r="J93" s="1063"/>
      <c r="K93" s="1153"/>
      <c r="L93" s="1153"/>
      <c r="M93" s="1183"/>
      <c r="N93" s="1187" t="str">
        <f t="shared" si="63"/>
        <v/>
      </c>
      <c r="O93" s="1190" t="str">
        <f t="shared" si="108"/>
        <v/>
      </c>
      <c r="P93" s="525" t="str">
        <f>IF(O93="","",VLOOKUP(O93,所属コード!$A$2:$E$189,2,FALSE))</f>
        <v/>
      </c>
      <c r="Q93" s="1164" t="str">
        <f>IF(O93="","",VLOOKUP(O93,所属コード!$A$2:$G$189,7,FALSE))</f>
        <v/>
      </c>
      <c r="R93" s="1166"/>
      <c r="S93" s="77"/>
      <c r="T93" s="77"/>
      <c r="U93" s="77"/>
      <c r="V93" s="15"/>
      <c r="X93" s="617"/>
      <c r="Y93" s="1090" t="str">
        <f t="shared" si="64"/>
        <v/>
      </c>
      <c r="Z93" s="618" t="str">
        <f t="shared" si="65"/>
        <v/>
      </c>
      <c r="AA93" s="617"/>
      <c r="AB93" s="617"/>
      <c r="AC93" s="617"/>
      <c r="AD93" s="617"/>
      <c r="AE93" s="617"/>
      <c r="AF93" s="617"/>
      <c r="AG93" s="620"/>
      <c r="AH93" s="727"/>
      <c r="AI93" s="728"/>
      <c r="AJ93" s="728"/>
      <c r="AK93" s="728"/>
      <c r="AL93" s="728"/>
      <c r="AM93" s="728"/>
      <c r="AN93" s="728"/>
      <c r="AO93" s="728"/>
      <c r="AP93" s="728"/>
      <c r="AQ93" s="728"/>
      <c r="AR93" s="728"/>
      <c r="AS93" s="728"/>
      <c r="AT93" s="728"/>
      <c r="AU93" s="728"/>
      <c r="AV93" s="728"/>
      <c r="AW93" s="742"/>
      <c r="AX93" s="747">
        <f t="shared" si="66"/>
        <v>0</v>
      </c>
      <c r="AY93" s="738">
        <f t="shared" si="58"/>
        <v>0</v>
      </c>
      <c r="AZ93" s="729">
        <f t="shared" si="59"/>
        <v>0</v>
      </c>
      <c r="BA93" s="730">
        <f t="shared" si="60"/>
        <v>0</v>
      </c>
      <c r="BB93" s="729">
        <f t="shared" si="61"/>
        <v>0</v>
      </c>
      <c r="BC93" s="729">
        <f t="shared" si="67"/>
        <v>0</v>
      </c>
      <c r="BD93" s="729">
        <f t="shared" si="68"/>
        <v>0</v>
      </c>
      <c r="BE93" s="729">
        <f t="shared" si="69"/>
        <v>0</v>
      </c>
      <c r="BF93" s="729">
        <f t="shared" si="70"/>
        <v>0</v>
      </c>
      <c r="BG93" s="729">
        <f t="shared" si="71"/>
        <v>0</v>
      </c>
      <c r="BH93" s="729">
        <f t="shared" si="72"/>
        <v>0</v>
      </c>
      <c r="BI93" s="729">
        <f t="shared" si="73"/>
        <v>0</v>
      </c>
      <c r="BJ93" s="729">
        <f t="shared" si="74"/>
        <v>0</v>
      </c>
      <c r="BK93" s="729">
        <f t="shared" si="75"/>
        <v>0</v>
      </c>
      <c r="BL93" s="729">
        <f t="shared" si="76"/>
        <v>0</v>
      </c>
      <c r="BM93" s="729">
        <f t="shared" si="77"/>
        <v>0</v>
      </c>
      <c r="BN93" s="729">
        <f t="shared" si="78"/>
        <v>0</v>
      </c>
      <c r="BO93" s="729">
        <f t="shared" si="79"/>
        <v>0</v>
      </c>
      <c r="BP93" s="729">
        <f t="shared" si="80"/>
        <v>0</v>
      </c>
      <c r="BQ93" s="729">
        <f t="shared" si="81"/>
        <v>0</v>
      </c>
      <c r="BR93" s="729">
        <f t="shared" si="82"/>
        <v>0</v>
      </c>
      <c r="BS93" s="729">
        <f t="shared" si="83"/>
        <v>0</v>
      </c>
      <c r="BT93" s="729">
        <f t="shared" si="84"/>
        <v>0</v>
      </c>
      <c r="BU93" s="729">
        <f t="shared" si="85"/>
        <v>0</v>
      </c>
      <c r="BV93" s="729">
        <f t="shared" si="86"/>
        <v>0</v>
      </c>
      <c r="BW93" s="729">
        <f t="shared" si="87"/>
        <v>0</v>
      </c>
      <c r="BX93" s="729">
        <f t="shared" si="88"/>
        <v>0</v>
      </c>
      <c r="BY93" s="729">
        <f t="shared" si="89"/>
        <v>0</v>
      </c>
      <c r="BZ93" s="729">
        <f t="shared" si="90"/>
        <v>0</v>
      </c>
      <c r="CA93" s="729">
        <f t="shared" si="91"/>
        <v>0</v>
      </c>
      <c r="CB93" s="729">
        <f t="shared" si="92"/>
        <v>0</v>
      </c>
      <c r="CC93" s="729">
        <f t="shared" si="93"/>
        <v>0</v>
      </c>
      <c r="CD93" s="729">
        <f t="shared" si="94"/>
        <v>0</v>
      </c>
      <c r="CE93" s="729">
        <f t="shared" si="95"/>
        <v>0</v>
      </c>
      <c r="CF93" s="731">
        <f t="shared" si="96"/>
        <v>0</v>
      </c>
      <c r="CG93" s="692" t="str">
        <f t="shared" si="97"/>
        <v/>
      </c>
      <c r="CH93" s="659" t="str">
        <f t="shared" si="98"/>
        <v/>
      </c>
      <c r="CI93" s="659" t="str">
        <f t="shared" si="99"/>
        <v/>
      </c>
      <c r="CJ93" s="659" t="str">
        <f t="shared" si="100"/>
        <v/>
      </c>
      <c r="CK93" s="659" t="str">
        <f t="shared" si="101"/>
        <v/>
      </c>
      <c r="CL93" s="659" t="str">
        <f t="shared" si="102"/>
        <v/>
      </c>
      <c r="CM93" s="82" t="str">
        <f t="shared" si="103"/>
        <v/>
      </c>
      <c r="CN93" s="625" t="str">
        <f t="shared" si="62"/>
        <v/>
      </c>
      <c r="CO93" s="625" t="str">
        <f t="shared" si="109"/>
        <v>0</v>
      </c>
      <c r="CP93" s="620">
        <f t="shared" si="104"/>
        <v>0</v>
      </c>
      <c r="CQ93" s="1051" t="s">
        <v>288</v>
      </c>
      <c r="CR93" s="1080">
        <v>235090</v>
      </c>
      <c r="CS93" s="625">
        <f t="shared" si="105"/>
        <v>0</v>
      </c>
      <c r="CT93" s="625">
        <f t="shared" si="106"/>
        <v>0</v>
      </c>
      <c r="CU93" s="626" t="str">
        <f t="shared" si="107"/>
        <v>00</v>
      </c>
    </row>
    <row r="94" spans="1:99" ht="15" customHeight="1">
      <c r="A94" s="1094">
        <v>91</v>
      </c>
      <c r="B94" s="1376"/>
      <c r="C94" s="1377"/>
      <c r="D94" s="1068"/>
      <c r="E94" s="1060"/>
      <c r="F94" s="1382"/>
      <c r="G94" s="1200"/>
      <c r="H94" s="1067"/>
      <c r="I94" s="1062"/>
      <c r="J94" s="1063"/>
      <c r="K94" s="1153"/>
      <c r="L94" s="1153"/>
      <c r="M94" s="1183"/>
      <c r="N94" s="1187" t="str">
        <f t="shared" si="63"/>
        <v/>
      </c>
      <c r="O94" s="1190" t="str">
        <f t="shared" si="108"/>
        <v/>
      </c>
      <c r="P94" s="525" t="str">
        <f>IF(O94="","",VLOOKUP(O94,所属コード!$A$2:$E$189,2,FALSE))</f>
        <v/>
      </c>
      <c r="Q94" s="1164" t="str">
        <f>IF(O94="","",VLOOKUP(O94,所属コード!$A$2:$G$189,7,FALSE))</f>
        <v/>
      </c>
      <c r="R94" s="1166"/>
      <c r="S94" s="77"/>
      <c r="T94" s="77"/>
      <c r="U94" s="77"/>
      <c r="V94" s="15"/>
      <c r="X94" s="617"/>
      <c r="Y94" s="1090" t="str">
        <f t="shared" si="64"/>
        <v/>
      </c>
      <c r="Z94" s="618" t="str">
        <f t="shared" si="65"/>
        <v/>
      </c>
      <c r="AA94" s="617"/>
      <c r="AB94" s="617"/>
      <c r="AC94" s="617"/>
      <c r="AD94" s="617"/>
      <c r="AE94" s="617"/>
      <c r="AF94" s="617"/>
      <c r="AG94" s="620"/>
      <c r="AH94" s="727"/>
      <c r="AI94" s="728"/>
      <c r="AJ94" s="728"/>
      <c r="AK94" s="728"/>
      <c r="AL94" s="728"/>
      <c r="AM94" s="728"/>
      <c r="AN94" s="728"/>
      <c r="AO94" s="728"/>
      <c r="AP94" s="728"/>
      <c r="AQ94" s="728"/>
      <c r="AR94" s="728"/>
      <c r="AS94" s="728"/>
      <c r="AT94" s="728"/>
      <c r="AU94" s="728"/>
      <c r="AV94" s="728"/>
      <c r="AW94" s="742"/>
      <c r="AX94" s="747">
        <f t="shared" si="66"/>
        <v>0</v>
      </c>
      <c r="AY94" s="738">
        <f t="shared" si="58"/>
        <v>0</v>
      </c>
      <c r="AZ94" s="729">
        <f t="shared" si="59"/>
        <v>0</v>
      </c>
      <c r="BA94" s="730">
        <f t="shared" si="60"/>
        <v>0</v>
      </c>
      <c r="BB94" s="729">
        <f t="shared" si="61"/>
        <v>0</v>
      </c>
      <c r="BC94" s="729">
        <f t="shared" si="67"/>
        <v>0</v>
      </c>
      <c r="BD94" s="729">
        <f t="shared" si="68"/>
        <v>0</v>
      </c>
      <c r="BE94" s="729">
        <f t="shared" si="69"/>
        <v>0</v>
      </c>
      <c r="BF94" s="729">
        <f t="shared" si="70"/>
        <v>0</v>
      </c>
      <c r="BG94" s="729">
        <f t="shared" si="71"/>
        <v>0</v>
      </c>
      <c r="BH94" s="729">
        <f t="shared" si="72"/>
        <v>0</v>
      </c>
      <c r="BI94" s="729">
        <f t="shared" si="73"/>
        <v>0</v>
      </c>
      <c r="BJ94" s="729">
        <f t="shared" si="74"/>
        <v>0</v>
      </c>
      <c r="BK94" s="729">
        <f t="shared" si="75"/>
        <v>0</v>
      </c>
      <c r="BL94" s="729">
        <f t="shared" si="76"/>
        <v>0</v>
      </c>
      <c r="BM94" s="729">
        <f t="shared" si="77"/>
        <v>0</v>
      </c>
      <c r="BN94" s="729">
        <f t="shared" si="78"/>
        <v>0</v>
      </c>
      <c r="BO94" s="729">
        <f t="shared" si="79"/>
        <v>0</v>
      </c>
      <c r="BP94" s="729">
        <f t="shared" si="80"/>
        <v>0</v>
      </c>
      <c r="BQ94" s="729">
        <f t="shared" si="81"/>
        <v>0</v>
      </c>
      <c r="BR94" s="729">
        <f t="shared" si="82"/>
        <v>0</v>
      </c>
      <c r="BS94" s="729">
        <f t="shared" si="83"/>
        <v>0</v>
      </c>
      <c r="BT94" s="729">
        <f t="shared" si="84"/>
        <v>0</v>
      </c>
      <c r="BU94" s="729">
        <f t="shared" si="85"/>
        <v>0</v>
      </c>
      <c r="BV94" s="729">
        <f t="shared" si="86"/>
        <v>0</v>
      </c>
      <c r="BW94" s="729">
        <f t="shared" si="87"/>
        <v>0</v>
      </c>
      <c r="BX94" s="729">
        <f t="shared" si="88"/>
        <v>0</v>
      </c>
      <c r="BY94" s="729">
        <f t="shared" si="89"/>
        <v>0</v>
      </c>
      <c r="BZ94" s="729">
        <f t="shared" si="90"/>
        <v>0</v>
      </c>
      <c r="CA94" s="729">
        <f t="shared" si="91"/>
        <v>0</v>
      </c>
      <c r="CB94" s="729">
        <f t="shared" si="92"/>
        <v>0</v>
      </c>
      <c r="CC94" s="729">
        <f t="shared" si="93"/>
        <v>0</v>
      </c>
      <c r="CD94" s="729">
        <f t="shared" si="94"/>
        <v>0</v>
      </c>
      <c r="CE94" s="729">
        <f t="shared" si="95"/>
        <v>0</v>
      </c>
      <c r="CF94" s="731">
        <f t="shared" si="96"/>
        <v>0</v>
      </c>
      <c r="CG94" s="692" t="str">
        <f t="shared" si="97"/>
        <v/>
      </c>
      <c r="CH94" s="659" t="str">
        <f t="shared" si="98"/>
        <v/>
      </c>
      <c r="CI94" s="659" t="str">
        <f t="shared" si="99"/>
        <v/>
      </c>
      <c r="CJ94" s="659" t="str">
        <f t="shared" si="100"/>
        <v/>
      </c>
      <c r="CK94" s="659" t="str">
        <f t="shared" si="101"/>
        <v/>
      </c>
      <c r="CL94" s="659" t="str">
        <f t="shared" si="102"/>
        <v/>
      </c>
      <c r="CM94" s="82" t="str">
        <f t="shared" si="103"/>
        <v/>
      </c>
      <c r="CN94" s="625" t="str">
        <f t="shared" si="62"/>
        <v/>
      </c>
      <c r="CO94" s="625" t="str">
        <f t="shared" si="109"/>
        <v>0</v>
      </c>
      <c r="CP94" s="620">
        <f t="shared" si="104"/>
        <v>0</v>
      </c>
      <c r="CQ94" s="1051" t="s">
        <v>76</v>
      </c>
      <c r="CR94" s="1080">
        <v>235091</v>
      </c>
      <c r="CS94" s="625">
        <f t="shared" si="105"/>
        <v>0</v>
      </c>
      <c r="CT94" s="625">
        <f t="shared" si="106"/>
        <v>0</v>
      </c>
      <c r="CU94" s="626" t="str">
        <f t="shared" si="107"/>
        <v>00</v>
      </c>
    </row>
    <row r="95" spans="1:99" ht="15" customHeight="1">
      <c r="A95" s="1094">
        <v>92</v>
      </c>
      <c r="B95" s="1376"/>
      <c r="C95" s="1377"/>
      <c r="D95" s="1068"/>
      <c r="E95" s="1060"/>
      <c r="F95" s="1382"/>
      <c r="G95" s="1200"/>
      <c r="H95" s="1067"/>
      <c r="I95" s="1062"/>
      <c r="J95" s="1063"/>
      <c r="K95" s="1153"/>
      <c r="L95" s="1153"/>
      <c r="M95" s="1183"/>
      <c r="N95" s="1187" t="str">
        <f t="shared" si="63"/>
        <v/>
      </c>
      <c r="O95" s="1190" t="str">
        <f t="shared" si="108"/>
        <v/>
      </c>
      <c r="P95" s="525" t="str">
        <f>IF(O95="","",VLOOKUP(O95,所属コード!$A$2:$E$189,2,FALSE))</f>
        <v/>
      </c>
      <c r="Q95" s="1164" t="str">
        <f>IF(O95="","",VLOOKUP(O95,所属コード!$A$2:$G$189,7,FALSE))</f>
        <v/>
      </c>
      <c r="R95" s="1166"/>
      <c r="S95" s="77"/>
      <c r="T95" s="77"/>
      <c r="U95" s="77"/>
      <c r="V95" s="15"/>
      <c r="X95" s="617"/>
      <c r="Y95" s="1090" t="str">
        <f t="shared" si="64"/>
        <v/>
      </c>
      <c r="Z95" s="618" t="str">
        <f t="shared" si="65"/>
        <v/>
      </c>
      <c r="AA95" s="617"/>
      <c r="AB95" s="617"/>
      <c r="AC95" s="617"/>
      <c r="AD95" s="617"/>
      <c r="AE95" s="617"/>
      <c r="AF95" s="617"/>
      <c r="AG95" s="620"/>
      <c r="AH95" s="727"/>
      <c r="AI95" s="728"/>
      <c r="AJ95" s="728"/>
      <c r="AK95" s="728"/>
      <c r="AL95" s="728"/>
      <c r="AM95" s="728"/>
      <c r="AN95" s="728"/>
      <c r="AO95" s="728"/>
      <c r="AP95" s="728"/>
      <c r="AQ95" s="728"/>
      <c r="AR95" s="728"/>
      <c r="AS95" s="728"/>
      <c r="AT95" s="728"/>
      <c r="AU95" s="728"/>
      <c r="AV95" s="728"/>
      <c r="AW95" s="742"/>
      <c r="AX95" s="747">
        <f t="shared" si="66"/>
        <v>0</v>
      </c>
      <c r="AY95" s="738">
        <f t="shared" si="58"/>
        <v>0</v>
      </c>
      <c r="AZ95" s="729">
        <f t="shared" si="59"/>
        <v>0</v>
      </c>
      <c r="BA95" s="730">
        <f t="shared" si="60"/>
        <v>0</v>
      </c>
      <c r="BB95" s="729">
        <f t="shared" si="61"/>
        <v>0</v>
      </c>
      <c r="BC95" s="729">
        <f t="shared" si="67"/>
        <v>0</v>
      </c>
      <c r="BD95" s="729">
        <f t="shared" si="68"/>
        <v>0</v>
      </c>
      <c r="BE95" s="729">
        <f t="shared" si="69"/>
        <v>0</v>
      </c>
      <c r="BF95" s="729">
        <f t="shared" si="70"/>
        <v>0</v>
      </c>
      <c r="BG95" s="729">
        <f t="shared" si="71"/>
        <v>0</v>
      </c>
      <c r="BH95" s="729">
        <f t="shared" si="72"/>
        <v>0</v>
      </c>
      <c r="BI95" s="729">
        <f t="shared" si="73"/>
        <v>0</v>
      </c>
      <c r="BJ95" s="729">
        <f t="shared" si="74"/>
        <v>0</v>
      </c>
      <c r="BK95" s="729">
        <f t="shared" si="75"/>
        <v>0</v>
      </c>
      <c r="BL95" s="729">
        <f t="shared" si="76"/>
        <v>0</v>
      </c>
      <c r="BM95" s="729">
        <f t="shared" si="77"/>
        <v>0</v>
      </c>
      <c r="BN95" s="729">
        <f t="shared" si="78"/>
        <v>0</v>
      </c>
      <c r="BO95" s="729">
        <f t="shared" si="79"/>
        <v>0</v>
      </c>
      <c r="BP95" s="729">
        <f t="shared" si="80"/>
        <v>0</v>
      </c>
      <c r="BQ95" s="729">
        <f t="shared" si="81"/>
        <v>0</v>
      </c>
      <c r="BR95" s="729">
        <f t="shared" si="82"/>
        <v>0</v>
      </c>
      <c r="BS95" s="729">
        <f t="shared" si="83"/>
        <v>0</v>
      </c>
      <c r="BT95" s="729">
        <f t="shared" si="84"/>
        <v>0</v>
      </c>
      <c r="BU95" s="729">
        <f t="shared" si="85"/>
        <v>0</v>
      </c>
      <c r="BV95" s="729">
        <f t="shared" si="86"/>
        <v>0</v>
      </c>
      <c r="BW95" s="729">
        <f t="shared" si="87"/>
        <v>0</v>
      </c>
      <c r="BX95" s="729">
        <f t="shared" si="88"/>
        <v>0</v>
      </c>
      <c r="BY95" s="729">
        <f t="shared" si="89"/>
        <v>0</v>
      </c>
      <c r="BZ95" s="729">
        <f t="shared" si="90"/>
        <v>0</v>
      </c>
      <c r="CA95" s="729">
        <f t="shared" si="91"/>
        <v>0</v>
      </c>
      <c r="CB95" s="729">
        <f t="shared" si="92"/>
        <v>0</v>
      </c>
      <c r="CC95" s="729">
        <f t="shared" si="93"/>
        <v>0</v>
      </c>
      <c r="CD95" s="729">
        <f t="shared" si="94"/>
        <v>0</v>
      </c>
      <c r="CE95" s="729">
        <f t="shared" si="95"/>
        <v>0</v>
      </c>
      <c r="CF95" s="731">
        <f t="shared" si="96"/>
        <v>0</v>
      </c>
      <c r="CG95" s="692" t="str">
        <f t="shared" si="97"/>
        <v/>
      </c>
      <c r="CH95" s="659" t="str">
        <f t="shared" si="98"/>
        <v/>
      </c>
      <c r="CI95" s="659" t="str">
        <f t="shared" si="99"/>
        <v/>
      </c>
      <c r="CJ95" s="659" t="str">
        <f t="shared" si="100"/>
        <v/>
      </c>
      <c r="CK95" s="659" t="str">
        <f t="shared" si="101"/>
        <v/>
      </c>
      <c r="CL95" s="659" t="str">
        <f t="shared" si="102"/>
        <v/>
      </c>
      <c r="CM95" s="82" t="str">
        <f t="shared" si="103"/>
        <v/>
      </c>
      <c r="CN95" s="625" t="str">
        <f t="shared" si="62"/>
        <v/>
      </c>
      <c r="CO95" s="625" t="str">
        <f t="shared" si="109"/>
        <v>0</v>
      </c>
      <c r="CP95" s="620">
        <f t="shared" si="104"/>
        <v>0</v>
      </c>
      <c r="CQ95" s="1051" t="s">
        <v>752</v>
      </c>
      <c r="CR95" s="1080">
        <v>235092</v>
      </c>
      <c r="CS95" s="625">
        <f t="shared" si="105"/>
        <v>0</v>
      </c>
      <c r="CT95" s="625">
        <f t="shared" si="106"/>
        <v>0</v>
      </c>
      <c r="CU95" s="626" t="str">
        <f t="shared" si="107"/>
        <v>00</v>
      </c>
    </row>
    <row r="96" spans="1:99" ht="15" customHeight="1">
      <c r="A96" s="1094">
        <v>93</v>
      </c>
      <c r="B96" s="1376"/>
      <c r="C96" s="1377"/>
      <c r="D96" s="1068"/>
      <c r="E96" s="1060"/>
      <c r="F96" s="1382"/>
      <c r="G96" s="1200"/>
      <c r="H96" s="1067"/>
      <c r="I96" s="1062"/>
      <c r="J96" s="1063"/>
      <c r="K96" s="1153"/>
      <c r="L96" s="1153"/>
      <c r="M96" s="1183"/>
      <c r="N96" s="1187" t="str">
        <f t="shared" si="63"/>
        <v/>
      </c>
      <c r="O96" s="1190" t="str">
        <f t="shared" si="108"/>
        <v/>
      </c>
      <c r="P96" s="525" t="str">
        <f>IF(O96="","",VLOOKUP(O96,所属コード!$A$2:$E$189,2,FALSE))</f>
        <v/>
      </c>
      <c r="Q96" s="1164" t="str">
        <f>IF(O96="","",VLOOKUP(O96,所属コード!$A$2:$G$189,7,FALSE))</f>
        <v/>
      </c>
      <c r="R96" s="1166"/>
      <c r="S96" s="77"/>
      <c r="T96" s="77"/>
      <c r="U96" s="77"/>
      <c r="V96" s="15"/>
      <c r="X96" s="617"/>
      <c r="Y96" s="1090" t="str">
        <f t="shared" si="64"/>
        <v/>
      </c>
      <c r="Z96" s="618" t="str">
        <f t="shared" si="65"/>
        <v/>
      </c>
      <c r="AA96" s="617"/>
      <c r="AB96" s="617"/>
      <c r="AC96" s="617"/>
      <c r="AD96" s="617"/>
      <c r="AE96" s="617"/>
      <c r="AF96" s="617"/>
      <c r="AG96" s="620"/>
      <c r="AH96" s="727"/>
      <c r="AI96" s="728"/>
      <c r="AJ96" s="728"/>
      <c r="AK96" s="728"/>
      <c r="AL96" s="728"/>
      <c r="AM96" s="728"/>
      <c r="AN96" s="728"/>
      <c r="AO96" s="728"/>
      <c r="AP96" s="728"/>
      <c r="AQ96" s="728"/>
      <c r="AR96" s="728"/>
      <c r="AS96" s="728"/>
      <c r="AT96" s="728"/>
      <c r="AU96" s="728"/>
      <c r="AV96" s="728"/>
      <c r="AW96" s="742"/>
      <c r="AX96" s="747">
        <f t="shared" si="66"/>
        <v>0</v>
      </c>
      <c r="AY96" s="738">
        <f t="shared" si="58"/>
        <v>0</v>
      </c>
      <c r="AZ96" s="729">
        <f t="shared" si="59"/>
        <v>0</v>
      </c>
      <c r="BA96" s="730">
        <f t="shared" si="60"/>
        <v>0</v>
      </c>
      <c r="BB96" s="729">
        <f t="shared" si="61"/>
        <v>0</v>
      </c>
      <c r="BC96" s="729">
        <f t="shared" si="67"/>
        <v>0</v>
      </c>
      <c r="BD96" s="729">
        <f t="shared" si="68"/>
        <v>0</v>
      </c>
      <c r="BE96" s="729">
        <f t="shared" si="69"/>
        <v>0</v>
      </c>
      <c r="BF96" s="729">
        <f t="shared" si="70"/>
        <v>0</v>
      </c>
      <c r="BG96" s="729">
        <f t="shared" si="71"/>
        <v>0</v>
      </c>
      <c r="BH96" s="729">
        <f t="shared" si="72"/>
        <v>0</v>
      </c>
      <c r="BI96" s="729">
        <f t="shared" si="73"/>
        <v>0</v>
      </c>
      <c r="BJ96" s="729">
        <f t="shared" si="74"/>
        <v>0</v>
      </c>
      <c r="BK96" s="729">
        <f t="shared" si="75"/>
        <v>0</v>
      </c>
      <c r="BL96" s="729">
        <f t="shared" si="76"/>
        <v>0</v>
      </c>
      <c r="BM96" s="729">
        <f t="shared" si="77"/>
        <v>0</v>
      </c>
      <c r="BN96" s="729">
        <f t="shared" si="78"/>
        <v>0</v>
      </c>
      <c r="BO96" s="729">
        <f t="shared" si="79"/>
        <v>0</v>
      </c>
      <c r="BP96" s="729">
        <f t="shared" si="80"/>
        <v>0</v>
      </c>
      <c r="BQ96" s="729">
        <f t="shared" si="81"/>
        <v>0</v>
      </c>
      <c r="BR96" s="729">
        <f t="shared" si="82"/>
        <v>0</v>
      </c>
      <c r="BS96" s="729">
        <f t="shared" si="83"/>
        <v>0</v>
      </c>
      <c r="BT96" s="729">
        <f t="shared" si="84"/>
        <v>0</v>
      </c>
      <c r="BU96" s="729">
        <f t="shared" si="85"/>
        <v>0</v>
      </c>
      <c r="BV96" s="729">
        <f t="shared" si="86"/>
        <v>0</v>
      </c>
      <c r="BW96" s="729">
        <f t="shared" si="87"/>
        <v>0</v>
      </c>
      <c r="BX96" s="729">
        <f t="shared" si="88"/>
        <v>0</v>
      </c>
      <c r="BY96" s="729">
        <f t="shared" si="89"/>
        <v>0</v>
      </c>
      <c r="BZ96" s="729">
        <f t="shared" si="90"/>
        <v>0</v>
      </c>
      <c r="CA96" s="729">
        <f t="shared" si="91"/>
        <v>0</v>
      </c>
      <c r="CB96" s="729">
        <f t="shared" si="92"/>
        <v>0</v>
      </c>
      <c r="CC96" s="729">
        <f t="shared" si="93"/>
        <v>0</v>
      </c>
      <c r="CD96" s="729">
        <f t="shared" si="94"/>
        <v>0</v>
      </c>
      <c r="CE96" s="729">
        <f t="shared" si="95"/>
        <v>0</v>
      </c>
      <c r="CF96" s="731">
        <f t="shared" si="96"/>
        <v>0</v>
      </c>
      <c r="CG96" s="692" t="str">
        <f t="shared" si="97"/>
        <v/>
      </c>
      <c r="CH96" s="659" t="str">
        <f t="shared" si="98"/>
        <v/>
      </c>
      <c r="CI96" s="659" t="str">
        <f t="shared" si="99"/>
        <v/>
      </c>
      <c r="CJ96" s="659" t="str">
        <f t="shared" si="100"/>
        <v/>
      </c>
      <c r="CK96" s="659" t="str">
        <f t="shared" si="101"/>
        <v/>
      </c>
      <c r="CL96" s="659" t="str">
        <f t="shared" si="102"/>
        <v/>
      </c>
      <c r="CM96" s="82" t="str">
        <f t="shared" si="103"/>
        <v/>
      </c>
      <c r="CN96" s="625" t="str">
        <f t="shared" si="62"/>
        <v/>
      </c>
      <c r="CO96" s="625" t="str">
        <f t="shared" si="109"/>
        <v>0</v>
      </c>
      <c r="CP96" s="620">
        <f t="shared" si="104"/>
        <v>0</v>
      </c>
      <c r="CQ96" s="1051" t="s">
        <v>166</v>
      </c>
      <c r="CR96" s="1080">
        <v>235093</v>
      </c>
      <c r="CS96" s="625">
        <f t="shared" si="105"/>
        <v>0</v>
      </c>
      <c r="CT96" s="625">
        <f t="shared" si="106"/>
        <v>0</v>
      </c>
      <c r="CU96" s="626" t="str">
        <f t="shared" si="107"/>
        <v>00</v>
      </c>
    </row>
    <row r="97" spans="1:99" ht="15" customHeight="1">
      <c r="A97" s="1094">
        <v>94</v>
      </c>
      <c r="B97" s="1376"/>
      <c r="C97" s="1377"/>
      <c r="D97" s="1068"/>
      <c r="E97" s="1060"/>
      <c r="F97" s="1382"/>
      <c r="G97" s="1200"/>
      <c r="H97" s="1067"/>
      <c r="I97" s="1062"/>
      <c r="J97" s="1063"/>
      <c r="K97" s="1153"/>
      <c r="L97" s="1153"/>
      <c r="M97" s="1183"/>
      <c r="N97" s="1187" t="str">
        <f t="shared" si="63"/>
        <v/>
      </c>
      <c r="O97" s="1190" t="str">
        <f t="shared" si="108"/>
        <v/>
      </c>
      <c r="P97" s="525" t="str">
        <f>IF(O97="","",VLOOKUP(O97,所属コード!$A$2:$E$189,2,FALSE))</f>
        <v/>
      </c>
      <c r="Q97" s="1164" t="str">
        <f>IF(O97="","",VLOOKUP(O97,所属コード!$A$2:$G$189,7,FALSE))</f>
        <v/>
      </c>
      <c r="R97" s="1166"/>
      <c r="S97" s="77"/>
      <c r="T97" s="77"/>
      <c r="U97" s="77"/>
      <c r="V97" s="15"/>
      <c r="X97" s="617"/>
      <c r="Y97" s="1090" t="str">
        <f t="shared" si="64"/>
        <v/>
      </c>
      <c r="Z97" s="618" t="str">
        <f t="shared" si="65"/>
        <v/>
      </c>
      <c r="AA97" s="617"/>
      <c r="AB97" s="617"/>
      <c r="AC97" s="617"/>
      <c r="AD97" s="617"/>
      <c r="AE97" s="617"/>
      <c r="AF97" s="617"/>
      <c r="AG97" s="620"/>
      <c r="AH97" s="727"/>
      <c r="AI97" s="728"/>
      <c r="AJ97" s="728"/>
      <c r="AK97" s="728"/>
      <c r="AL97" s="728"/>
      <c r="AM97" s="728"/>
      <c r="AN97" s="728"/>
      <c r="AO97" s="728"/>
      <c r="AP97" s="728"/>
      <c r="AQ97" s="728"/>
      <c r="AR97" s="728"/>
      <c r="AS97" s="728"/>
      <c r="AT97" s="728"/>
      <c r="AU97" s="728"/>
      <c r="AV97" s="728"/>
      <c r="AW97" s="742"/>
      <c r="AX97" s="747">
        <f t="shared" si="66"/>
        <v>0</v>
      </c>
      <c r="AY97" s="738">
        <f t="shared" si="58"/>
        <v>0</v>
      </c>
      <c r="AZ97" s="729">
        <f t="shared" si="59"/>
        <v>0</v>
      </c>
      <c r="BA97" s="730">
        <f t="shared" si="60"/>
        <v>0</v>
      </c>
      <c r="BB97" s="729">
        <f t="shared" si="61"/>
        <v>0</v>
      </c>
      <c r="BC97" s="729">
        <f t="shared" si="67"/>
        <v>0</v>
      </c>
      <c r="BD97" s="729">
        <f t="shared" si="68"/>
        <v>0</v>
      </c>
      <c r="BE97" s="729">
        <f t="shared" si="69"/>
        <v>0</v>
      </c>
      <c r="BF97" s="729">
        <f t="shared" si="70"/>
        <v>0</v>
      </c>
      <c r="BG97" s="729">
        <f t="shared" si="71"/>
        <v>0</v>
      </c>
      <c r="BH97" s="729">
        <f t="shared" si="72"/>
        <v>0</v>
      </c>
      <c r="BI97" s="729">
        <f t="shared" si="73"/>
        <v>0</v>
      </c>
      <c r="BJ97" s="729">
        <f t="shared" si="74"/>
        <v>0</v>
      </c>
      <c r="BK97" s="729">
        <f t="shared" si="75"/>
        <v>0</v>
      </c>
      <c r="BL97" s="729">
        <f t="shared" si="76"/>
        <v>0</v>
      </c>
      <c r="BM97" s="729">
        <f t="shared" si="77"/>
        <v>0</v>
      </c>
      <c r="BN97" s="729">
        <f t="shared" si="78"/>
        <v>0</v>
      </c>
      <c r="BO97" s="729">
        <f t="shared" si="79"/>
        <v>0</v>
      </c>
      <c r="BP97" s="729">
        <f t="shared" si="80"/>
        <v>0</v>
      </c>
      <c r="BQ97" s="729">
        <f t="shared" si="81"/>
        <v>0</v>
      </c>
      <c r="BR97" s="729">
        <f t="shared" si="82"/>
        <v>0</v>
      </c>
      <c r="BS97" s="729">
        <f t="shared" si="83"/>
        <v>0</v>
      </c>
      <c r="BT97" s="729">
        <f t="shared" si="84"/>
        <v>0</v>
      </c>
      <c r="BU97" s="729">
        <f t="shared" si="85"/>
        <v>0</v>
      </c>
      <c r="BV97" s="729">
        <f t="shared" si="86"/>
        <v>0</v>
      </c>
      <c r="BW97" s="729">
        <f t="shared" si="87"/>
        <v>0</v>
      </c>
      <c r="BX97" s="729">
        <f t="shared" si="88"/>
        <v>0</v>
      </c>
      <c r="BY97" s="729">
        <f t="shared" si="89"/>
        <v>0</v>
      </c>
      <c r="BZ97" s="729">
        <f t="shared" si="90"/>
        <v>0</v>
      </c>
      <c r="CA97" s="729">
        <f t="shared" si="91"/>
        <v>0</v>
      </c>
      <c r="CB97" s="729">
        <f t="shared" si="92"/>
        <v>0</v>
      </c>
      <c r="CC97" s="729">
        <f t="shared" si="93"/>
        <v>0</v>
      </c>
      <c r="CD97" s="729">
        <f t="shared" si="94"/>
        <v>0</v>
      </c>
      <c r="CE97" s="729">
        <f t="shared" si="95"/>
        <v>0</v>
      </c>
      <c r="CF97" s="731">
        <f t="shared" si="96"/>
        <v>0</v>
      </c>
      <c r="CG97" s="692" t="str">
        <f t="shared" si="97"/>
        <v/>
      </c>
      <c r="CH97" s="659" t="str">
        <f t="shared" si="98"/>
        <v/>
      </c>
      <c r="CI97" s="659" t="str">
        <f t="shared" si="99"/>
        <v/>
      </c>
      <c r="CJ97" s="659" t="str">
        <f t="shared" si="100"/>
        <v/>
      </c>
      <c r="CK97" s="659" t="str">
        <f t="shared" si="101"/>
        <v/>
      </c>
      <c r="CL97" s="659" t="str">
        <f t="shared" si="102"/>
        <v/>
      </c>
      <c r="CM97" s="82" t="str">
        <f t="shared" si="103"/>
        <v/>
      </c>
      <c r="CN97" s="625" t="str">
        <f t="shared" si="62"/>
        <v/>
      </c>
      <c r="CO97" s="625" t="str">
        <f t="shared" si="109"/>
        <v>0</v>
      </c>
      <c r="CP97" s="620">
        <f t="shared" si="104"/>
        <v>0</v>
      </c>
      <c r="CQ97" s="1051" t="s">
        <v>172</v>
      </c>
      <c r="CR97" s="1080">
        <v>235094</v>
      </c>
      <c r="CS97" s="625">
        <f t="shared" si="105"/>
        <v>0</v>
      </c>
      <c r="CT97" s="625">
        <f t="shared" si="106"/>
        <v>0</v>
      </c>
      <c r="CU97" s="626" t="str">
        <f t="shared" si="107"/>
        <v>00</v>
      </c>
    </row>
    <row r="98" spans="1:99" ht="15" customHeight="1">
      <c r="A98" s="1094">
        <v>95</v>
      </c>
      <c r="B98" s="1376"/>
      <c r="C98" s="1377"/>
      <c r="D98" s="1068"/>
      <c r="E98" s="1060"/>
      <c r="F98" s="1382"/>
      <c r="G98" s="1200"/>
      <c r="H98" s="1067"/>
      <c r="I98" s="1062"/>
      <c r="J98" s="1063"/>
      <c r="K98" s="1153"/>
      <c r="L98" s="1153"/>
      <c r="M98" s="1183"/>
      <c r="N98" s="1187" t="str">
        <f t="shared" si="63"/>
        <v/>
      </c>
      <c r="O98" s="1190" t="str">
        <f t="shared" si="108"/>
        <v/>
      </c>
      <c r="P98" s="525" t="str">
        <f>IF(O98="","",VLOOKUP(O98,所属コード!$A$2:$E$189,2,FALSE))</f>
        <v/>
      </c>
      <c r="Q98" s="1164" t="str">
        <f>IF(O98="","",VLOOKUP(O98,所属コード!$A$2:$G$189,7,FALSE))</f>
        <v/>
      </c>
      <c r="R98" s="1166"/>
      <c r="S98" s="77"/>
      <c r="T98" s="77"/>
      <c r="U98" s="77"/>
      <c r="V98" s="15"/>
      <c r="X98" s="617"/>
      <c r="Y98" s="1090" t="str">
        <f t="shared" si="64"/>
        <v/>
      </c>
      <c r="Z98" s="618" t="str">
        <f t="shared" si="65"/>
        <v/>
      </c>
      <c r="AA98" s="617"/>
      <c r="AB98" s="617"/>
      <c r="AC98" s="617"/>
      <c r="AD98" s="617"/>
      <c r="AE98" s="617"/>
      <c r="AF98" s="617"/>
      <c r="AG98" s="620"/>
      <c r="AH98" s="727"/>
      <c r="AI98" s="728"/>
      <c r="AJ98" s="728"/>
      <c r="AK98" s="728"/>
      <c r="AL98" s="728"/>
      <c r="AM98" s="728"/>
      <c r="AN98" s="728"/>
      <c r="AO98" s="728"/>
      <c r="AP98" s="728"/>
      <c r="AQ98" s="728"/>
      <c r="AR98" s="728"/>
      <c r="AS98" s="728"/>
      <c r="AT98" s="728"/>
      <c r="AU98" s="728"/>
      <c r="AV98" s="728"/>
      <c r="AW98" s="742"/>
      <c r="AX98" s="747">
        <f t="shared" si="66"/>
        <v>0</v>
      </c>
      <c r="AY98" s="738">
        <f t="shared" si="58"/>
        <v>0</v>
      </c>
      <c r="AZ98" s="729">
        <f t="shared" si="59"/>
        <v>0</v>
      </c>
      <c r="BA98" s="730">
        <f t="shared" si="60"/>
        <v>0</v>
      </c>
      <c r="BB98" s="729">
        <f t="shared" si="61"/>
        <v>0</v>
      </c>
      <c r="BC98" s="729">
        <f t="shared" si="67"/>
        <v>0</v>
      </c>
      <c r="BD98" s="729">
        <f t="shared" si="68"/>
        <v>0</v>
      </c>
      <c r="BE98" s="729">
        <f t="shared" si="69"/>
        <v>0</v>
      </c>
      <c r="BF98" s="729">
        <f t="shared" si="70"/>
        <v>0</v>
      </c>
      <c r="BG98" s="729">
        <f t="shared" si="71"/>
        <v>0</v>
      </c>
      <c r="BH98" s="729">
        <f t="shared" si="72"/>
        <v>0</v>
      </c>
      <c r="BI98" s="729">
        <f t="shared" si="73"/>
        <v>0</v>
      </c>
      <c r="BJ98" s="729">
        <f t="shared" si="74"/>
        <v>0</v>
      </c>
      <c r="BK98" s="729">
        <f t="shared" si="75"/>
        <v>0</v>
      </c>
      <c r="BL98" s="729">
        <f t="shared" si="76"/>
        <v>0</v>
      </c>
      <c r="BM98" s="729">
        <f t="shared" si="77"/>
        <v>0</v>
      </c>
      <c r="BN98" s="729">
        <f t="shared" si="78"/>
        <v>0</v>
      </c>
      <c r="BO98" s="729">
        <f t="shared" si="79"/>
        <v>0</v>
      </c>
      <c r="BP98" s="729">
        <f t="shared" si="80"/>
        <v>0</v>
      </c>
      <c r="BQ98" s="729">
        <f t="shared" si="81"/>
        <v>0</v>
      </c>
      <c r="BR98" s="729">
        <f t="shared" si="82"/>
        <v>0</v>
      </c>
      <c r="BS98" s="729">
        <f t="shared" si="83"/>
        <v>0</v>
      </c>
      <c r="BT98" s="729">
        <f t="shared" si="84"/>
        <v>0</v>
      </c>
      <c r="BU98" s="729">
        <f t="shared" si="85"/>
        <v>0</v>
      </c>
      <c r="BV98" s="729">
        <f t="shared" si="86"/>
        <v>0</v>
      </c>
      <c r="BW98" s="729">
        <f t="shared" si="87"/>
        <v>0</v>
      </c>
      <c r="BX98" s="729">
        <f t="shared" si="88"/>
        <v>0</v>
      </c>
      <c r="BY98" s="729">
        <f t="shared" si="89"/>
        <v>0</v>
      </c>
      <c r="BZ98" s="729">
        <f t="shared" si="90"/>
        <v>0</v>
      </c>
      <c r="CA98" s="729">
        <f t="shared" si="91"/>
        <v>0</v>
      </c>
      <c r="CB98" s="729">
        <f t="shared" si="92"/>
        <v>0</v>
      </c>
      <c r="CC98" s="729">
        <f t="shared" si="93"/>
        <v>0</v>
      </c>
      <c r="CD98" s="729">
        <f t="shared" si="94"/>
        <v>0</v>
      </c>
      <c r="CE98" s="729">
        <f t="shared" si="95"/>
        <v>0</v>
      </c>
      <c r="CF98" s="731">
        <f t="shared" si="96"/>
        <v>0</v>
      </c>
      <c r="CG98" s="692" t="str">
        <f t="shared" si="97"/>
        <v/>
      </c>
      <c r="CH98" s="659" t="str">
        <f t="shared" si="98"/>
        <v/>
      </c>
      <c r="CI98" s="659" t="str">
        <f t="shared" si="99"/>
        <v/>
      </c>
      <c r="CJ98" s="659" t="str">
        <f t="shared" si="100"/>
        <v/>
      </c>
      <c r="CK98" s="659" t="str">
        <f t="shared" si="101"/>
        <v/>
      </c>
      <c r="CL98" s="659" t="str">
        <f t="shared" si="102"/>
        <v/>
      </c>
      <c r="CM98" s="82" t="str">
        <f t="shared" si="103"/>
        <v/>
      </c>
      <c r="CN98" s="625" t="str">
        <f t="shared" si="62"/>
        <v/>
      </c>
      <c r="CO98" s="625" t="str">
        <f t="shared" si="109"/>
        <v>0</v>
      </c>
      <c r="CP98" s="620">
        <f t="shared" si="104"/>
        <v>0</v>
      </c>
      <c r="CQ98" s="1051" t="s">
        <v>77</v>
      </c>
      <c r="CR98" s="1080">
        <v>235095</v>
      </c>
      <c r="CS98" s="625">
        <f t="shared" si="105"/>
        <v>0</v>
      </c>
      <c r="CT98" s="625">
        <f t="shared" si="106"/>
        <v>0</v>
      </c>
      <c r="CU98" s="626" t="str">
        <f t="shared" si="107"/>
        <v>00</v>
      </c>
    </row>
    <row r="99" spans="1:99" ht="15" customHeight="1">
      <c r="A99" s="1094">
        <v>96</v>
      </c>
      <c r="B99" s="1376"/>
      <c r="C99" s="1377"/>
      <c r="D99" s="1068"/>
      <c r="E99" s="1060"/>
      <c r="F99" s="1382"/>
      <c r="G99" s="1200"/>
      <c r="H99" s="1067"/>
      <c r="I99" s="1062"/>
      <c r="J99" s="1063"/>
      <c r="K99" s="1153"/>
      <c r="L99" s="1153"/>
      <c r="M99" s="1183"/>
      <c r="N99" s="1187" t="str">
        <f t="shared" si="63"/>
        <v/>
      </c>
      <c r="O99" s="1190" t="str">
        <f t="shared" si="108"/>
        <v/>
      </c>
      <c r="P99" s="525" t="str">
        <f>IF(O99="","",VLOOKUP(O99,所属コード!$A$2:$E$189,2,FALSE))</f>
        <v/>
      </c>
      <c r="Q99" s="1164" t="str">
        <f>IF(O99="","",VLOOKUP(O99,所属コード!$A$2:$G$189,7,FALSE))</f>
        <v/>
      </c>
      <c r="R99" s="1166"/>
      <c r="S99" s="77"/>
      <c r="T99" s="77"/>
      <c r="U99" s="77"/>
      <c r="V99" s="15"/>
      <c r="X99" s="617"/>
      <c r="Y99" s="1090" t="str">
        <f t="shared" si="64"/>
        <v/>
      </c>
      <c r="Z99" s="618" t="str">
        <f t="shared" si="65"/>
        <v/>
      </c>
      <c r="AA99" s="617"/>
      <c r="AB99" s="617"/>
      <c r="AC99" s="617"/>
      <c r="AD99" s="617"/>
      <c r="AE99" s="617"/>
      <c r="AF99" s="617"/>
      <c r="AG99" s="620"/>
      <c r="AH99" s="727"/>
      <c r="AI99" s="728"/>
      <c r="AJ99" s="728"/>
      <c r="AK99" s="728"/>
      <c r="AL99" s="728"/>
      <c r="AM99" s="728"/>
      <c r="AN99" s="728"/>
      <c r="AO99" s="728"/>
      <c r="AP99" s="728"/>
      <c r="AQ99" s="728"/>
      <c r="AR99" s="728"/>
      <c r="AS99" s="728"/>
      <c r="AT99" s="728"/>
      <c r="AU99" s="728"/>
      <c r="AV99" s="728"/>
      <c r="AW99" s="742"/>
      <c r="AX99" s="747">
        <f t="shared" si="66"/>
        <v>0</v>
      </c>
      <c r="AY99" s="738">
        <f t="shared" si="58"/>
        <v>0</v>
      </c>
      <c r="AZ99" s="729">
        <f t="shared" si="59"/>
        <v>0</v>
      </c>
      <c r="BA99" s="730">
        <f t="shared" si="60"/>
        <v>0</v>
      </c>
      <c r="BB99" s="729">
        <f t="shared" si="61"/>
        <v>0</v>
      </c>
      <c r="BC99" s="729">
        <f t="shared" si="67"/>
        <v>0</v>
      </c>
      <c r="BD99" s="729">
        <f t="shared" si="68"/>
        <v>0</v>
      </c>
      <c r="BE99" s="729">
        <f t="shared" si="69"/>
        <v>0</v>
      </c>
      <c r="BF99" s="729">
        <f t="shared" si="70"/>
        <v>0</v>
      </c>
      <c r="BG99" s="729">
        <f t="shared" si="71"/>
        <v>0</v>
      </c>
      <c r="BH99" s="729">
        <f t="shared" si="72"/>
        <v>0</v>
      </c>
      <c r="BI99" s="729">
        <f t="shared" si="73"/>
        <v>0</v>
      </c>
      <c r="BJ99" s="729">
        <f t="shared" si="74"/>
        <v>0</v>
      </c>
      <c r="BK99" s="729">
        <f t="shared" si="75"/>
        <v>0</v>
      </c>
      <c r="BL99" s="729">
        <f t="shared" si="76"/>
        <v>0</v>
      </c>
      <c r="BM99" s="729">
        <f t="shared" si="77"/>
        <v>0</v>
      </c>
      <c r="BN99" s="729">
        <f t="shared" si="78"/>
        <v>0</v>
      </c>
      <c r="BO99" s="729">
        <f t="shared" si="79"/>
        <v>0</v>
      </c>
      <c r="BP99" s="729">
        <f t="shared" si="80"/>
        <v>0</v>
      </c>
      <c r="BQ99" s="729">
        <f t="shared" si="81"/>
        <v>0</v>
      </c>
      <c r="BR99" s="729">
        <f t="shared" si="82"/>
        <v>0</v>
      </c>
      <c r="BS99" s="729">
        <f t="shared" si="83"/>
        <v>0</v>
      </c>
      <c r="BT99" s="729">
        <f t="shared" si="84"/>
        <v>0</v>
      </c>
      <c r="BU99" s="729">
        <f t="shared" si="85"/>
        <v>0</v>
      </c>
      <c r="BV99" s="729">
        <f t="shared" si="86"/>
        <v>0</v>
      </c>
      <c r="BW99" s="729">
        <f t="shared" si="87"/>
        <v>0</v>
      </c>
      <c r="BX99" s="729">
        <f t="shared" si="88"/>
        <v>0</v>
      </c>
      <c r="BY99" s="729">
        <f t="shared" si="89"/>
        <v>0</v>
      </c>
      <c r="BZ99" s="729">
        <f t="shared" si="90"/>
        <v>0</v>
      </c>
      <c r="CA99" s="729">
        <f t="shared" si="91"/>
        <v>0</v>
      </c>
      <c r="CB99" s="729">
        <f t="shared" si="92"/>
        <v>0</v>
      </c>
      <c r="CC99" s="729">
        <f t="shared" si="93"/>
        <v>0</v>
      </c>
      <c r="CD99" s="729">
        <f t="shared" si="94"/>
        <v>0</v>
      </c>
      <c r="CE99" s="729">
        <f t="shared" si="95"/>
        <v>0</v>
      </c>
      <c r="CF99" s="731">
        <f t="shared" si="96"/>
        <v>0</v>
      </c>
      <c r="CG99" s="692" t="str">
        <f t="shared" si="97"/>
        <v/>
      </c>
      <c r="CH99" s="659" t="str">
        <f t="shared" si="98"/>
        <v/>
      </c>
      <c r="CI99" s="659" t="str">
        <f t="shared" si="99"/>
        <v/>
      </c>
      <c r="CJ99" s="659" t="str">
        <f t="shared" si="100"/>
        <v/>
      </c>
      <c r="CK99" s="659" t="str">
        <f t="shared" si="101"/>
        <v/>
      </c>
      <c r="CL99" s="659" t="str">
        <f t="shared" si="102"/>
        <v/>
      </c>
      <c r="CM99" s="82" t="str">
        <f t="shared" si="103"/>
        <v/>
      </c>
      <c r="CN99" s="625" t="str">
        <f t="shared" si="62"/>
        <v/>
      </c>
      <c r="CO99" s="625" t="str">
        <f t="shared" si="109"/>
        <v>0</v>
      </c>
      <c r="CP99" s="620">
        <f t="shared" si="104"/>
        <v>0</v>
      </c>
      <c r="CQ99" s="1051" t="s">
        <v>78</v>
      </c>
      <c r="CR99" s="1080">
        <v>235096</v>
      </c>
      <c r="CS99" s="625">
        <f t="shared" si="105"/>
        <v>0</v>
      </c>
      <c r="CT99" s="625">
        <f t="shared" si="106"/>
        <v>0</v>
      </c>
      <c r="CU99" s="626" t="str">
        <f t="shared" si="107"/>
        <v>00</v>
      </c>
    </row>
    <row r="100" spans="1:99" ht="15" customHeight="1">
      <c r="A100" s="1094">
        <v>97</v>
      </c>
      <c r="B100" s="1376"/>
      <c r="C100" s="1377"/>
      <c r="D100" s="1068"/>
      <c r="E100" s="1060"/>
      <c r="F100" s="1382"/>
      <c r="G100" s="1200"/>
      <c r="H100" s="1067"/>
      <c r="I100" s="1062"/>
      <c r="J100" s="1063"/>
      <c r="K100" s="1153"/>
      <c r="L100" s="1153"/>
      <c r="M100" s="1183"/>
      <c r="N100" s="1187" t="str">
        <f t="shared" si="63"/>
        <v/>
      </c>
      <c r="O100" s="1190" t="str">
        <f t="shared" si="108"/>
        <v/>
      </c>
      <c r="P100" s="525" t="str">
        <f>IF(O100="","",VLOOKUP(O100,所属コード!$A$2:$E$189,2,FALSE))</f>
        <v/>
      </c>
      <c r="Q100" s="1164" t="str">
        <f>IF(O100="","",VLOOKUP(O100,所属コード!$A$2:$G$189,7,FALSE))</f>
        <v/>
      </c>
      <c r="R100" s="1166"/>
      <c r="S100" s="77"/>
      <c r="T100" s="77"/>
      <c r="U100" s="77"/>
      <c r="V100" s="15"/>
      <c r="X100" s="617"/>
      <c r="Y100" s="1090" t="str">
        <f t="shared" si="64"/>
        <v/>
      </c>
      <c r="Z100" s="618" t="str">
        <f t="shared" si="65"/>
        <v/>
      </c>
      <c r="AA100" s="617"/>
      <c r="AB100" s="617"/>
      <c r="AC100" s="617"/>
      <c r="AD100" s="617"/>
      <c r="AE100" s="617"/>
      <c r="AF100" s="617"/>
      <c r="AG100" s="620"/>
      <c r="AH100" s="727"/>
      <c r="AI100" s="728"/>
      <c r="AJ100" s="728"/>
      <c r="AK100" s="728"/>
      <c r="AL100" s="728"/>
      <c r="AM100" s="728"/>
      <c r="AN100" s="728"/>
      <c r="AO100" s="728"/>
      <c r="AP100" s="728"/>
      <c r="AQ100" s="728"/>
      <c r="AR100" s="728"/>
      <c r="AS100" s="728"/>
      <c r="AT100" s="728"/>
      <c r="AU100" s="728"/>
      <c r="AV100" s="728"/>
      <c r="AW100" s="742"/>
      <c r="AX100" s="747">
        <f t="shared" si="66"/>
        <v>0</v>
      </c>
      <c r="AY100" s="738">
        <f t="shared" ref="AY100:AY113" si="110">AO100</f>
        <v>0</v>
      </c>
      <c r="AZ100" s="729">
        <f t="shared" ref="AZ100:AZ113" si="111">AO100</f>
        <v>0</v>
      </c>
      <c r="BA100" s="730">
        <f t="shared" ref="BA100:BA113" si="112">AO100</f>
        <v>0</v>
      </c>
      <c r="BB100" s="729">
        <f t="shared" ref="BB100:BB113" si="113">AP100</f>
        <v>0</v>
      </c>
      <c r="BC100" s="729">
        <f t="shared" si="67"/>
        <v>0</v>
      </c>
      <c r="BD100" s="729">
        <f t="shared" si="68"/>
        <v>0</v>
      </c>
      <c r="BE100" s="729">
        <f t="shared" si="69"/>
        <v>0</v>
      </c>
      <c r="BF100" s="729">
        <f t="shared" si="70"/>
        <v>0</v>
      </c>
      <c r="BG100" s="729">
        <f t="shared" si="71"/>
        <v>0</v>
      </c>
      <c r="BH100" s="729">
        <f t="shared" si="72"/>
        <v>0</v>
      </c>
      <c r="BI100" s="729">
        <f t="shared" si="73"/>
        <v>0</v>
      </c>
      <c r="BJ100" s="729">
        <f t="shared" si="74"/>
        <v>0</v>
      </c>
      <c r="BK100" s="729">
        <f t="shared" si="75"/>
        <v>0</v>
      </c>
      <c r="BL100" s="729">
        <f t="shared" si="76"/>
        <v>0</v>
      </c>
      <c r="BM100" s="729">
        <f t="shared" si="77"/>
        <v>0</v>
      </c>
      <c r="BN100" s="729">
        <f t="shared" si="78"/>
        <v>0</v>
      </c>
      <c r="BO100" s="729">
        <f t="shared" si="79"/>
        <v>0</v>
      </c>
      <c r="BP100" s="729">
        <f t="shared" si="80"/>
        <v>0</v>
      </c>
      <c r="BQ100" s="729">
        <f t="shared" si="81"/>
        <v>0</v>
      </c>
      <c r="BR100" s="729">
        <f t="shared" si="82"/>
        <v>0</v>
      </c>
      <c r="BS100" s="729">
        <f t="shared" si="83"/>
        <v>0</v>
      </c>
      <c r="BT100" s="729">
        <f t="shared" si="84"/>
        <v>0</v>
      </c>
      <c r="BU100" s="729">
        <f t="shared" si="85"/>
        <v>0</v>
      </c>
      <c r="BV100" s="729">
        <f t="shared" si="86"/>
        <v>0</v>
      </c>
      <c r="BW100" s="729">
        <f t="shared" si="87"/>
        <v>0</v>
      </c>
      <c r="BX100" s="729">
        <f t="shared" si="88"/>
        <v>0</v>
      </c>
      <c r="BY100" s="729">
        <f t="shared" si="89"/>
        <v>0</v>
      </c>
      <c r="BZ100" s="729">
        <f t="shared" si="90"/>
        <v>0</v>
      </c>
      <c r="CA100" s="729">
        <f t="shared" si="91"/>
        <v>0</v>
      </c>
      <c r="CB100" s="729">
        <f t="shared" si="92"/>
        <v>0</v>
      </c>
      <c r="CC100" s="729">
        <f t="shared" si="93"/>
        <v>0</v>
      </c>
      <c r="CD100" s="729">
        <f t="shared" si="94"/>
        <v>0</v>
      </c>
      <c r="CE100" s="729">
        <f t="shared" si="95"/>
        <v>0</v>
      </c>
      <c r="CF100" s="731">
        <f t="shared" si="96"/>
        <v>0</v>
      </c>
      <c r="CG100" s="692" t="str">
        <f t="shared" si="97"/>
        <v/>
      </c>
      <c r="CH100" s="659" t="str">
        <f t="shared" si="98"/>
        <v/>
      </c>
      <c r="CI100" s="659" t="str">
        <f t="shared" si="99"/>
        <v/>
      </c>
      <c r="CJ100" s="659" t="str">
        <f t="shared" si="100"/>
        <v/>
      </c>
      <c r="CK100" s="659" t="str">
        <f t="shared" si="101"/>
        <v/>
      </c>
      <c r="CL100" s="659" t="str">
        <f t="shared" si="102"/>
        <v/>
      </c>
      <c r="CM100" s="82" t="str">
        <f t="shared" si="103"/>
        <v/>
      </c>
      <c r="CN100" s="625" t="str">
        <f t="shared" ref="CN100:CN113" si="114">IF(I100="3",3,IF(I100="2",2,IF(I100="1",1,IF(I100=1,1,IF(I100=2,2,IF(I100=3,3,""))))))</f>
        <v/>
      </c>
      <c r="CO100" s="625" t="str">
        <f t="shared" si="109"/>
        <v>0</v>
      </c>
      <c r="CP100" s="620">
        <f t="shared" si="104"/>
        <v>0</v>
      </c>
      <c r="CQ100" s="1051" t="s">
        <v>188</v>
      </c>
      <c r="CR100" s="1080">
        <v>235097</v>
      </c>
      <c r="CS100" s="625">
        <f t="shared" si="105"/>
        <v>0</v>
      </c>
      <c r="CT100" s="625">
        <f t="shared" si="106"/>
        <v>0</v>
      </c>
      <c r="CU100" s="626" t="str">
        <f t="shared" si="107"/>
        <v>00</v>
      </c>
    </row>
    <row r="101" spans="1:99" ht="15" customHeight="1">
      <c r="A101" s="1094">
        <v>98</v>
      </c>
      <c r="B101" s="1376"/>
      <c r="C101" s="1377"/>
      <c r="D101" s="1068"/>
      <c r="E101" s="1060"/>
      <c r="F101" s="1382"/>
      <c r="G101" s="1200"/>
      <c r="H101" s="1067"/>
      <c r="I101" s="1062"/>
      <c r="J101" s="1063"/>
      <c r="K101" s="1153"/>
      <c r="L101" s="1153"/>
      <c r="M101" s="1183"/>
      <c r="N101" s="1187" t="str">
        <f t="shared" si="63"/>
        <v/>
      </c>
      <c r="O101" s="1190" t="str">
        <f t="shared" si="108"/>
        <v/>
      </c>
      <c r="P101" s="525" t="str">
        <f>IF(O101="","",VLOOKUP(O101,所属コード!$A$2:$E$189,2,FALSE))</f>
        <v/>
      </c>
      <c r="Q101" s="1164" t="str">
        <f>IF(O101="","",VLOOKUP(O101,所属コード!$A$2:$G$189,7,FALSE))</f>
        <v/>
      </c>
      <c r="R101" s="1166"/>
      <c r="S101" s="77"/>
      <c r="T101" s="77"/>
      <c r="U101" s="77"/>
      <c r="V101" s="15"/>
      <c r="X101" s="617"/>
      <c r="Y101" s="1090" t="str">
        <f t="shared" si="64"/>
        <v/>
      </c>
      <c r="Z101" s="618" t="str">
        <f t="shared" si="65"/>
        <v/>
      </c>
      <c r="AA101" s="617"/>
      <c r="AB101" s="617"/>
      <c r="AC101" s="617"/>
      <c r="AD101" s="617"/>
      <c r="AE101" s="617"/>
      <c r="AF101" s="617"/>
      <c r="AG101" s="620"/>
      <c r="AH101" s="727"/>
      <c r="AI101" s="728"/>
      <c r="AJ101" s="728"/>
      <c r="AK101" s="728"/>
      <c r="AL101" s="728"/>
      <c r="AM101" s="728"/>
      <c r="AN101" s="728"/>
      <c r="AO101" s="728"/>
      <c r="AP101" s="728"/>
      <c r="AQ101" s="728"/>
      <c r="AR101" s="728"/>
      <c r="AS101" s="728"/>
      <c r="AT101" s="728"/>
      <c r="AU101" s="728"/>
      <c r="AV101" s="728"/>
      <c r="AW101" s="742"/>
      <c r="AX101" s="747">
        <f t="shared" si="66"/>
        <v>0</v>
      </c>
      <c r="AY101" s="738">
        <f t="shared" si="110"/>
        <v>0</v>
      </c>
      <c r="AZ101" s="729">
        <f t="shared" si="111"/>
        <v>0</v>
      </c>
      <c r="BA101" s="730">
        <f t="shared" si="112"/>
        <v>0</v>
      </c>
      <c r="BB101" s="729">
        <f t="shared" si="113"/>
        <v>0</v>
      </c>
      <c r="BC101" s="729">
        <f t="shared" si="67"/>
        <v>0</v>
      </c>
      <c r="BD101" s="729">
        <f t="shared" si="68"/>
        <v>0</v>
      </c>
      <c r="BE101" s="729">
        <f t="shared" si="69"/>
        <v>0</v>
      </c>
      <c r="BF101" s="729">
        <f t="shared" si="70"/>
        <v>0</v>
      </c>
      <c r="BG101" s="729">
        <f t="shared" si="71"/>
        <v>0</v>
      </c>
      <c r="BH101" s="729">
        <f t="shared" si="72"/>
        <v>0</v>
      </c>
      <c r="BI101" s="729">
        <f t="shared" si="73"/>
        <v>0</v>
      </c>
      <c r="BJ101" s="729">
        <f t="shared" si="74"/>
        <v>0</v>
      </c>
      <c r="BK101" s="729">
        <f t="shared" si="75"/>
        <v>0</v>
      </c>
      <c r="BL101" s="729">
        <f t="shared" si="76"/>
        <v>0</v>
      </c>
      <c r="BM101" s="729">
        <f t="shared" si="77"/>
        <v>0</v>
      </c>
      <c r="BN101" s="729">
        <f t="shared" si="78"/>
        <v>0</v>
      </c>
      <c r="BO101" s="729">
        <f t="shared" si="79"/>
        <v>0</v>
      </c>
      <c r="BP101" s="729">
        <f t="shared" si="80"/>
        <v>0</v>
      </c>
      <c r="BQ101" s="729">
        <f t="shared" si="81"/>
        <v>0</v>
      </c>
      <c r="BR101" s="729">
        <f t="shared" si="82"/>
        <v>0</v>
      </c>
      <c r="BS101" s="729">
        <f t="shared" si="83"/>
        <v>0</v>
      </c>
      <c r="BT101" s="729">
        <f t="shared" si="84"/>
        <v>0</v>
      </c>
      <c r="BU101" s="729">
        <f t="shared" si="85"/>
        <v>0</v>
      </c>
      <c r="BV101" s="729">
        <f t="shared" si="86"/>
        <v>0</v>
      </c>
      <c r="BW101" s="729">
        <f t="shared" si="87"/>
        <v>0</v>
      </c>
      <c r="BX101" s="729">
        <f t="shared" si="88"/>
        <v>0</v>
      </c>
      <c r="BY101" s="729">
        <f t="shared" si="89"/>
        <v>0</v>
      </c>
      <c r="BZ101" s="729">
        <f t="shared" si="90"/>
        <v>0</v>
      </c>
      <c r="CA101" s="729">
        <f t="shared" si="91"/>
        <v>0</v>
      </c>
      <c r="CB101" s="729">
        <f t="shared" si="92"/>
        <v>0</v>
      </c>
      <c r="CC101" s="729">
        <f t="shared" si="93"/>
        <v>0</v>
      </c>
      <c r="CD101" s="729">
        <f t="shared" si="94"/>
        <v>0</v>
      </c>
      <c r="CE101" s="729">
        <f t="shared" si="95"/>
        <v>0</v>
      </c>
      <c r="CF101" s="731">
        <f t="shared" si="96"/>
        <v>0</v>
      </c>
      <c r="CG101" s="692" t="str">
        <f t="shared" si="97"/>
        <v/>
      </c>
      <c r="CH101" s="659" t="str">
        <f t="shared" si="98"/>
        <v/>
      </c>
      <c r="CI101" s="659" t="str">
        <f t="shared" si="99"/>
        <v/>
      </c>
      <c r="CJ101" s="659" t="str">
        <f t="shared" si="100"/>
        <v/>
      </c>
      <c r="CK101" s="659" t="str">
        <f t="shared" si="101"/>
        <v/>
      </c>
      <c r="CL101" s="659" t="str">
        <f t="shared" si="102"/>
        <v/>
      </c>
      <c r="CM101" s="82" t="str">
        <f t="shared" si="103"/>
        <v/>
      </c>
      <c r="CN101" s="625" t="str">
        <f t="shared" si="114"/>
        <v/>
      </c>
      <c r="CO101" s="625" t="str">
        <f t="shared" si="109"/>
        <v>0</v>
      </c>
      <c r="CP101" s="620">
        <f t="shared" si="104"/>
        <v>0</v>
      </c>
      <c r="CQ101" s="1051" t="s">
        <v>155</v>
      </c>
      <c r="CR101" s="1080">
        <v>235098</v>
      </c>
      <c r="CS101" s="625">
        <f t="shared" si="105"/>
        <v>0</v>
      </c>
      <c r="CT101" s="625">
        <f t="shared" si="106"/>
        <v>0</v>
      </c>
      <c r="CU101" s="626" t="str">
        <f t="shared" si="107"/>
        <v>00</v>
      </c>
    </row>
    <row r="102" spans="1:99" ht="15" customHeight="1">
      <c r="A102" s="1094">
        <v>99</v>
      </c>
      <c r="B102" s="1376"/>
      <c r="C102" s="1377"/>
      <c r="D102" s="1068"/>
      <c r="E102" s="1060"/>
      <c r="F102" s="1382"/>
      <c r="G102" s="1200"/>
      <c r="H102" s="1067"/>
      <c r="I102" s="1062"/>
      <c r="J102" s="1063"/>
      <c r="K102" s="1153"/>
      <c r="L102" s="1153"/>
      <c r="M102" s="1183"/>
      <c r="N102" s="1187" t="str">
        <f t="shared" si="63"/>
        <v/>
      </c>
      <c r="O102" s="1190" t="str">
        <f t="shared" si="108"/>
        <v/>
      </c>
      <c r="P102" s="525" t="str">
        <f>IF(O102="","",VLOOKUP(O102,所属コード!$A$2:$E$189,2,FALSE))</f>
        <v/>
      </c>
      <c r="Q102" s="1164" t="str">
        <f>IF(O102="","",VLOOKUP(O102,所属コード!$A$2:$G$189,7,FALSE))</f>
        <v/>
      </c>
      <c r="R102" s="1166"/>
      <c r="S102" s="77"/>
      <c r="T102" s="77"/>
      <c r="U102" s="77"/>
      <c r="V102" s="15"/>
      <c r="X102" s="617"/>
      <c r="Y102" s="1090" t="str">
        <f t="shared" si="64"/>
        <v/>
      </c>
      <c r="Z102" s="618" t="str">
        <f t="shared" si="65"/>
        <v/>
      </c>
      <c r="AA102" s="617"/>
      <c r="AB102" s="617"/>
      <c r="AC102" s="617"/>
      <c r="AD102" s="617"/>
      <c r="AE102" s="617"/>
      <c r="AF102" s="617"/>
      <c r="AG102" s="620"/>
      <c r="AH102" s="727"/>
      <c r="AI102" s="728"/>
      <c r="AJ102" s="728"/>
      <c r="AK102" s="728"/>
      <c r="AL102" s="728"/>
      <c r="AM102" s="728"/>
      <c r="AN102" s="728"/>
      <c r="AO102" s="728"/>
      <c r="AP102" s="728"/>
      <c r="AQ102" s="728"/>
      <c r="AR102" s="728"/>
      <c r="AS102" s="728"/>
      <c r="AT102" s="728"/>
      <c r="AU102" s="728"/>
      <c r="AV102" s="728"/>
      <c r="AW102" s="742"/>
      <c r="AX102" s="747">
        <f t="shared" si="66"/>
        <v>0</v>
      </c>
      <c r="AY102" s="738">
        <f t="shared" si="110"/>
        <v>0</v>
      </c>
      <c r="AZ102" s="729">
        <f t="shared" si="111"/>
        <v>0</v>
      </c>
      <c r="BA102" s="730">
        <f t="shared" si="112"/>
        <v>0</v>
      </c>
      <c r="BB102" s="729">
        <f t="shared" si="113"/>
        <v>0</v>
      </c>
      <c r="BC102" s="729">
        <f t="shared" si="67"/>
        <v>0</v>
      </c>
      <c r="BD102" s="729">
        <f t="shared" si="68"/>
        <v>0</v>
      </c>
      <c r="BE102" s="729">
        <f t="shared" si="69"/>
        <v>0</v>
      </c>
      <c r="BF102" s="729">
        <f t="shared" si="70"/>
        <v>0</v>
      </c>
      <c r="BG102" s="729">
        <f t="shared" si="71"/>
        <v>0</v>
      </c>
      <c r="BH102" s="729">
        <f t="shared" si="72"/>
        <v>0</v>
      </c>
      <c r="BI102" s="729">
        <f t="shared" si="73"/>
        <v>0</v>
      </c>
      <c r="BJ102" s="729">
        <f t="shared" si="74"/>
        <v>0</v>
      </c>
      <c r="BK102" s="729">
        <f t="shared" si="75"/>
        <v>0</v>
      </c>
      <c r="BL102" s="729">
        <f t="shared" si="76"/>
        <v>0</v>
      </c>
      <c r="BM102" s="729">
        <f t="shared" si="77"/>
        <v>0</v>
      </c>
      <c r="BN102" s="729">
        <f t="shared" si="78"/>
        <v>0</v>
      </c>
      <c r="BO102" s="729">
        <f t="shared" si="79"/>
        <v>0</v>
      </c>
      <c r="BP102" s="729">
        <f t="shared" si="80"/>
        <v>0</v>
      </c>
      <c r="BQ102" s="729">
        <f t="shared" si="81"/>
        <v>0</v>
      </c>
      <c r="BR102" s="729">
        <f t="shared" si="82"/>
        <v>0</v>
      </c>
      <c r="BS102" s="729">
        <f t="shared" si="83"/>
        <v>0</v>
      </c>
      <c r="BT102" s="729">
        <f t="shared" si="84"/>
        <v>0</v>
      </c>
      <c r="BU102" s="729">
        <f t="shared" si="85"/>
        <v>0</v>
      </c>
      <c r="BV102" s="729">
        <f t="shared" si="86"/>
        <v>0</v>
      </c>
      <c r="BW102" s="729">
        <f t="shared" si="87"/>
        <v>0</v>
      </c>
      <c r="BX102" s="729">
        <f t="shared" si="88"/>
        <v>0</v>
      </c>
      <c r="BY102" s="729">
        <f t="shared" si="89"/>
        <v>0</v>
      </c>
      <c r="BZ102" s="729">
        <f t="shared" si="90"/>
        <v>0</v>
      </c>
      <c r="CA102" s="729">
        <f t="shared" si="91"/>
        <v>0</v>
      </c>
      <c r="CB102" s="729">
        <f t="shared" si="92"/>
        <v>0</v>
      </c>
      <c r="CC102" s="729">
        <f t="shared" si="93"/>
        <v>0</v>
      </c>
      <c r="CD102" s="729">
        <f t="shared" si="94"/>
        <v>0</v>
      </c>
      <c r="CE102" s="729">
        <f t="shared" si="95"/>
        <v>0</v>
      </c>
      <c r="CF102" s="731">
        <f t="shared" si="96"/>
        <v>0</v>
      </c>
      <c r="CG102" s="692" t="str">
        <f t="shared" si="97"/>
        <v/>
      </c>
      <c r="CH102" s="659" t="str">
        <f t="shared" si="98"/>
        <v/>
      </c>
      <c r="CI102" s="659" t="str">
        <f t="shared" si="99"/>
        <v/>
      </c>
      <c r="CJ102" s="659" t="str">
        <f t="shared" si="100"/>
        <v/>
      </c>
      <c r="CK102" s="659" t="str">
        <f t="shared" si="101"/>
        <v/>
      </c>
      <c r="CL102" s="659" t="str">
        <f t="shared" si="102"/>
        <v/>
      </c>
      <c r="CM102" s="82" t="str">
        <f t="shared" si="103"/>
        <v/>
      </c>
      <c r="CN102" s="625" t="str">
        <f t="shared" si="114"/>
        <v/>
      </c>
      <c r="CO102" s="625" t="str">
        <f t="shared" si="109"/>
        <v>0</v>
      </c>
      <c r="CP102" s="620">
        <f t="shared" si="104"/>
        <v>0</v>
      </c>
      <c r="CQ102" s="1051" t="s">
        <v>79</v>
      </c>
      <c r="CR102" s="1080">
        <v>235099</v>
      </c>
      <c r="CS102" s="625">
        <f t="shared" si="105"/>
        <v>0</v>
      </c>
      <c r="CT102" s="625">
        <f t="shared" si="106"/>
        <v>0</v>
      </c>
      <c r="CU102" s="626" t="str">
        <f t="shared" si="107"/>
        <v>00</v>
      </c>
    </row>
    <row r="103" spans="1:99" ht="15" customHeight="1">
      <c r="A103" s="1094">
        <v>100</v>
      </c>
      <c r="B103" s="1376"/>
      <c r="C103" s="1377"/>
      <c r="D103" s="1068"/>
      <c r="E103" s="1060"/>
      <c r="F103" s="1382"/>
      <c r="G103" s="1200"/>
      <c r="H103" s="1067"/>
      <c r="I103" s="1062"/>
      <c r="J103" s="1063"/>
      <c r="K103" s="1153"/>
      <c r="L103" s="1153"/>
      <c r="M103" s="1183"/>
      <c r="N103" s="1187" t="str">
        <f t="shared" si="63"/>
        <v/>
      </c>
      <c r="O103" s="1190" t="str">
        <f t="shared" si="108"/>
        <v/>
      </c>
      <c r="P103" s="525" t="str">
        <f>IF(O103="","",VLOOKUP(O103,所属コード!$A$2:$E$189,2,FALSE))</f>
        <v/>
      </c>
      <c r="Q103" s="1164" t="str">
        <f>IF(O103="","",VLOOKUP(O103,所属コード!$A$2:$G$189,7,FALSE))</f>
        <v/>
      </c>
      <c r="R103" s="1166"/>
      <c r="S103" s="77"/>
      <c r="T103" s="77"/>
      <c r="U103" s="77"/>
      <c r="V103" s="15"/>
      <c r="X103" s="617"/>
      <c r="Y103" s="1090" t="str">
        <f t="shared" si="64"/>
        <v/>
      </c>
      <c r="Z103" s="618" t="str">
        <f t="shared" si="65"/>
        <v/>
      </c>
      <c r="AA103" s="617"/>
      <c r="AB103" s="617"/>
      <c r="AC103" s="617"/>
      <c r="AD103" s="617"/>
      <c r="AE103" s="617"/>
      <c r="AF103" s="617"/>
      <c r="AG103" s="620"/>
      <c r="AH103" s="727"/>
      <c r="AI103" s="728"/>
      <c r="AJ103" s="728"/>
      <c r="AK103" s="728"/>
      <c r="AL103" s="728"/>
      <c r="AM103" s="728"/>
      <c r="AN103" s="728"/>
      <c r="AO103" s="728"/>
      <c r="AP103" s="728"/>
      <c r="AQ103" s="728"/>
      <c r="AR103" s="728"/>
      <c r="AS103" s="728"/>
      <c r="AT103" s="728"/>
      <c r="AU103" s="728"/>
      <c r="AV103" s="728"/>
      <c r="AW103" s="742"/>
      <c r="AX103" s="747">
        <f t="shared" si="66"/>
        <v>0</v>
      </c>
      <c r="AY103" s="738">
        <f t="shared" si="110"/>
        <v>0</v>
      </c>
      <c r="AZ103" s="729">
        <f t="shared" si="111"/>
        <v>0</v>
      </c>
      <c r="BA103" s="730">
        <f t="shared" si="112"/>
        <v>0</v>
      </c>
      <c r="BB103" s="729">
        <f t="shared" si="113"/>
        <v>0</v>
      </c>
      <c r="BC103" s="729">
        <f t="shared" si="67"/>
        <v>0</v>
      </c>
      <c r="BD103" s="729">
        <f t="shared" si="68"/>
        <v>0</v>
      </c>
      <c r="BE103" s="729">
        <f t="shared" si="69"/>
        <v>0</v>
      </c>
      <c r="BF103" s="729">
        <f t="shared" si="70"/>
        <v>0</v>
      </c>
      <c r="BG103" s="729">
        <f t="shared" si="71"/>
        <v>0</v>
      </c>
      <c r="BH103" s="729">
        <f t="shared" si="72"/>
        <v>0</v>
      </c>
      <c r="BI103" s="729">
        <f t="shared" si="73"/>
        <v>0</v>
      </c>
      <c r="BJ103" s="729">
        <f t="shared" si="74"/>
        <v>0</v>
      </c>
      <c r="BK103" s="729">
        <f t="shared" si="75"/>
        <v>0</v>
      </c>
      <c r="BL103" s="729">
        <f t="shared" si="76"/>
        <v>0</v>
      </c>
      <c r="BM103" s="729">
        <f t="shared" si="77"/>
        <v>0</v>
      </c>
      <c r="BN103" s="729">
        <f t="shared" si="78"/>
        <v>0</v>
      </c>
      <c r="BO103" s="729">
        <f t="shared" si="79"/>
        <v>0</v>
      </c>
      <c r="BP103" s="729">
        <f t="shared" si="80"/>
        <v>0</v>
      </c>
      <c r="BQ103" s="729">
        <f t="shared" si="81"/>
        <v>0</v>
      </c>
      <c r="BR103" s="729">
        <f t="shared" si="82"/>
        <v>0</v>
      </c>
      <c r="BS103" s="729">
        <f t="shared" si="83"/>
        <v>0</v>
      </c>
      <c r="BT103" s="729">
        <f t="shared" si="84"/>
        <v>0</v>
      </c>
      <c r="BU103" s="729">
        <f t="shared" si="85"/>
        <v>0</v>
      </c>
      <c r="BV103" s="729">
        <f t="shared" si="86"/>
        <v>0</v>
      </c>
      <c r="BW103" s="729">
        <f t="shared" si="87"/>
        <v>0</v>
      </c>
      <c r="BX103" s="729">
        <f t="shared" si="88"/>
        <v>0</v>
      </c>
      <c r="BY103" s="729">
        <f t="shared" si="89"/>
        <v>0</v>
      </c>
      <c r="BZ103" s="729">
        <f t="shared" si="90"/>
        <v>0</v>
      </c>
      <c r="CA103" s="729">
        <f t="shared" si="91"/>
        <v>0</v>
      </c>
      <c r="CB103" s="729">
        <f t="shared" si="92"/>
        <v>0</v>
      </c>
      <c r="CC103" s="729">
        <f t="shared" si="93"/>
        <v>0</v>
      </c>
      <c r="CD103" s="729">
        <f t="shared" si="94"/>
        <v>0</v>
      </c>
      <c r="CE103" s="729">
        <f t="shared" si="95"/>
        <v>0</v>
      </c>
      <c r="CF103" s="731">
        <f t="shared" si="96"/>
        <v>0</v>
      </c>
      <c r="CG103" s="692" t="str">
        <f t="shared" si="97"/>
        <v/>
      </c>
      <c r="CH103" s="659" t="str">
        <f t="shared" si="98"/>
        <v/>
      </c>
      <c r="CI103" s="659" t="str">
        <f t="shared" si="99"/>
        <v/>
      </c>
      <c r="CJ103" s="659" t="str">
        <f t="shared" si="100"/>
        <v/>
      </c>
      <c r="CK103" s="659" t="str">
        <f t="shared" si="101"/>
        <v/>
      </c>
      <c r="CL103" s="659" t="str">
        <f t="shared" si="102"/>
        <v/>
      </c>
      <c r="CM103" s="82" t="str">
        <f t="shared" si="103"/>
        <v/>
      </c>
      <c r="CN103" s="625" t="str">
        <f t="shared" si="114"/>
        <v/>
      </c>
      <c r="CO103" s="625" t="str">
        <f t="shared" si="109"/>
        <v>0</v>
      </c>
      <c r="CP103" s="620">
        <f t="shared" si="104"/>
        <v>0</v>
      </c>
      <c r="CQ103" s="1051" t="s">
        <v>80</v>
      </c>
      <c r="CR103" s="1080">
        <v>235100</v>
      </c>
      <c r="CS103" s="625">
        <f t="shared" si="105"/>
        <v>0</v>
      </c>
      <c r="CT103" s="625">
        <f t="shared" si="106"/>
        <v>0</v>
      </c>
      <c r="CU103" s="626" t="str">
        <f t="shared" si="107"/>
        <v>00</v>
      </c>
    </row>
    <row r="104" spans="1:99" ht="15" customHeight="1">
      <c r="A104" s="1094">
        <v>101</v>
      </c>
      <c r="B104" s="1376"/>
      <c r="C104" s="1377"/>
      <c r="D104" s="1068"/>
      <c r="E104" s="1060"/>
      <c r="F104" s="1382"/>
      <c r="G104" s="1200"/>
      <c r="H104" s="1067"/>
      <c r="I104" s="1062"/>
      <c r="J104" s="1063"/>
      <c r="K104" s="1153"/>
      <c r="L104" s="1153"/>
      <c r="M104" s="1183"/>
      <c r="N104" s="1187" t="str">
        <f t="shared" si="63"/>
        <v/>
      </c>
      <c r="O104" s="1190" t="str">
        <f t="shared" si="108"/>
        <v/>
      </c>
      <c r="P104" s="525" t="str">
        <f>IF(O104="","",VLOOKUP(O104,所属コード!$A$2:$E$189,2,FALSE))</f>
        <v/>
      </c>
      <c r="Q104" s="1164" t="str">
        <f>IF(O104="","",VLOOKUP(O104,所属コード!$A$2:$G$189,7,FALSE))</f>
        <v/>
      </c>
      <c r="R104" s="1166"/>
      <c r="S104" s="77"/>
      <c r="T104" s="77"/>
      <c r="U104" s="77"/>
      <c r="V104" s="15"/>
      <c r="X104" s="617"/>
      <c r="Y104" s="1090" t="str">
        <f t="shared" si="64"/>
        <v/>
      </c>
      <c r="Z104" s="618" t="str">
        <f t="shared" si="65"/>
        <v/>
      </c>
      <c r="AA104" s="617"/>
      <c r="AB104" s="617"/>
      <c r="AC104" s="617"/>
      <c r="AD104" s="617"/>
      <c r="AE104" s="617"/>
      <c r="AF104" s="617"/>
      <c r="AG104" s="620"/>
      <c r="AH104" s="727"/>
      <c r="AI104" s="728"/>
      <c r="AJ104" s="728"/>
      <c r="AK104" s="728"/>
      <c r="AL104" s="728"/>
      <c r="AM104" s="728"/>
      <c r="AN104" s="728"/>
      <c r="AO104" s="728"/>
      <c r="AP104" s="728"/>
      <c r="AQ104" s="728"/>
      <c r="AR104" s="728"/>
      <c r="AS104" s="728"/>
      <c r="AT104" s="728"/>
      <c r="AU104" s="728"/>
      <c r="AV104" s="728"/>
      <c r="AW104" s="742"/>
      <c r="AX104" s="747">
        <f t="shared" si="66"/>
        <v>0</v>
      </c>
      <c r="AY104" s="738">
        <f t="shared" si="110"/>
        <v>0</v>
      </c>
      <c r="AZ104" s="729">
        <f t="shared" si="111"/>
        <v>0</v>
      </c>
      <c r="BA104" s="730">
        <f t="shared" si="112"/>
        <v>0</v>
      </c>
      <c r="BB104" s="729">
        <f t="shared" si="113"/>
        <v>0</v>
      </c>
      <c r="BC104" s="729">
        <f t="shared" si="67"/>
        <v>0</v>
      </c>
      <c r="BD104" s="729">
        <f t="shared" si="68"/>
        <v>0</v>
      </c>
      <c r="BE104" s="729">
        <f t="shared" si="69"/>
        <v>0</v>
      </c>
      <c r="BF104" s="729">
        <f t="shared" si="70"/>
        <v>0</v>
      </c>
      <c r="BG104" s="729">
        <f t="shared" si="71"/>
        <v>0</v>
      </c>
      <c r="BH104" s="729">
        <f t="shared" si="72"/>
        <v>0</v>
      </c>
      <c r="BI104" s="729">
        <f t="shared" si="73"/>
        <v>0</v>
      </c>
      <c r="BJ104" s="729">
        <f t="shared" si="74"/>
        <v>0</v>
      </c>
      <c r="BK104" s="729">
        <f t="shared" si="75"/>
        <v>0</v>
      </c>
      <c r="BL104" s="729">
        <f t="shared" si="76"/>
        <v>0</v>
      </c>
      <c r="BM104" s="729">
        <f t="shared" si="77"/>
        <v>0</v>
      </c>
      <c r="BN104" s="729">
        <f t="shared" si="78"/>
        <v>0</v>
      </c>
      <c r="BO104" s="729">
        <f t="shared" si="79"/>
        <v>0</v>
      </c>
      <c r="BP104" s="729">
        <f t="shared" si="80"/>
        <v>0</v>
      </c>
      <c r="BQ104" s="729">
        <f t="shared" si="81"/>
        <v>0</v>
      </c>
      <c r="BR104" s="729">
        <f t="shared" si="82"/>
        <v>0</v>
      </c>
      <c r="BS104" s="729">
        <f t="shared" si="83"/>
        <v>0</v>
      </c>
      <c r="BT104" s="729">
        <f t="shared" si="84"/>
        <v>0</v>
      </c>
      <c r="BU104" s="729">
        <f t="shared" si="85"/>
        <v>0</v>
      </c>
      <c r="BV104" s="729">
        <f t="shared" si="86"/>
        <v>0</v>
      </c>
      <c r="BW104" s="729">
        <f t="shared" si="87"/>
        <v>0</v>
      </c>
      <c r="BX104" s="729">
        <f t="shared" si="88"/>
        <v>0</v>
      </c>
      <c r="BY104" s="729">
        <f t="shared" si="89"/>
        <v>0</v>
      </c>
      <c r="BZ104" s="729">
        <f t="shared" si="90"/>
        <v>0</v>
      </c>
      <c r="CA104" s="729">
        <f t="shared" si="91"/>
        <v>0</v>
      </c>
      <c r="CB104" s="729">
        <f t="shared" si="92"/>
        <v>0</v>
      </c>
      <c r="CC104" s="729">
        <f t="shared" si="93"/>
        <v>0</v>
      </c>
      <c r="CD104" s="729">
        <f t="shared" si="94"/>
        <v>0</v>
      </c>
      <c r="CE104" s="729">
        <f t="shared" si="95"/>
        <v>0</v>
      </c>
      <c r="CF104" s="731">
        <f t="shared" si="96"/>
        <v>0</v>
      </c>
      <c r="CG104" s="692" t="str">
        <f t="shared" si="97"/>
        <v/>
      </c>
      <c r="CH104" s="659" t="str">
        <f t="shared" si="98"/>
        <v/>
      </c>
      <c r="CI104" s="659" t="str">
        <f t="shared" si="99"/>
        <v/>
      </c>
      <c r="CJ104" s="659" t="str">
        <f t="shared" si="100"/>
        <v/>
      </c>
      <c r="CK104" s="659" t="str">
        <f t="shared" si="101"/>
        <v/>
      </c>
      <c r="CL104" s="659" t="str">
        <f t="shared" si="102"/>
        <v/>
      </c>
      <c r="CM104" s="82" t="str">
        <f t="shared" si="103"/>
        <v/>
      </c>
      <c r="CN104" s="625" t="str">
        <f t="shared" si="114"/>
        <v/>
      </c>
      <c r="CO104" s="625" t="str">
        <f t="shared" si="109"/>
        <v>0</v>
      </c>
      <c r="CP104" s="620">
        <f t="shared" si="104"/>
        <v>0</v>
      </c>
      <c r="CQ104" s="1051" t="s">
        <v>81</v>
      </c>
      <c r="CR104" s="1080">
        <v>235101</v>
      </c>
      <c r="CS104" s="625">
        <f t="shared" si="105"/>
        <v>0</v>
      </c>
      <c r="CT104" s="625">
        <f t="shared" si="106"/>
        <v>0</v>
      </c>
      <c r="CU104" s="626" t="str">
        <f t="shared" si="107"/>
        <v>00</v>
      </c>
    </row>
    <row r="105" spans="1:99" ht="15" customHeight="1">
      <c r="A105" s="1094">
        <v>102</v>
      </c>
      <c r="B105" s="1376"/>
      <c r="C105" s="1377"/>
      <c r="D105" s="1068"/>
      <c r="E105" s="1060"/>
      <c r="F105" s="1382"/>
      <c r="G105" s="1200"/>
      <c r="H105" s="1067"/>
      <c r="I105" s="1062"/>
      <c r="J105" s="1063"/>
      <c r="K105" s="1153"/>
      <c r="L105" s="1153"/>
      <c r="M105" s="1183"/>
      <c r="N105" s="1187" t="str">
        <f t="shared" si="63"/>
        <v/>
      </c>
      <c r="O105" s="1190" t="str">
        <f t="shared" si="108"/>
        <v/>
      </c>
      <c r="P105" s="525" t="str">
        <f>IF(O105="","",VLOOKUP(O105,所属コード!$A$2:$E$189,2,FALSE))</f>
        <v/>
      </c>
      <c r="Q105" s="1164" t="str">
        <f>IF(O105="","",VLOOKUP(O105,所属コード!$A$2:$G$189,7,FALSE))</f>
        <v/>
      </c>
      <c r="R105" s="1166"/>
      <c r="S105" s="77"/>
      <c r="T105" s="77"/>
      <c r="U105" s="77"/>
      <c r="V105" s="15"/>
      <c r="X105" s="617"/>
      <c r="Y105" s="1090" t="str">
        <f t="shared" si="64"/>
        <v/>
      </c>
      <c r="Z105" s="618" t="str">
        <f t="shared" si="65"/>
        <v/>
      </c>
      <c r="AA105" s="617"/>
      <c r="AB105" s="617"/>
      <c r="AC105" s="617"/>
      <c r="AD105" s="617"/>
      <c r="AE105" s="617"/>
      <c r="AF105" s="617"/>
      <c r="AG105" s="620"/>
      <c r="AH105" s="727"/>
      <c r="AI105" s="728"/>
      <c r="AJ105" s="728"/>
      <c r="AK105" s="728"/>
      <c r="AL105" s="728"/>
      <c r="AM105" s="728"/>
      <c r="AN105" s="728"/>
      <c r="AO105" s="728"/>
      <c r="AP105" s="728"/>
      <c r="AQ105" s="728"/>
      <c r="AR105" s="728"/>
      <c r="AS105" s="728"/>
      <c r="AT105" s="728"/>
      <c r="AU105" s="728"/>
      <c r="AV105" s="728"/>
      <c r="AW105" s="742"/>
      <c r="AX105" s="747">
        <f t="shared" si="66"/>
        <v>0</v>
      </c>
      <c r="AY105" s="738">
        <f t="shared" si="110"/>
        <v>0</v>
      </c>
      <c r="AZ105" s="729">
        <f t="shared" si="111"/>
        <v>0</v>
      </c>
      <c r="BA105" s="730">
        <f t="shared" si="112"/>
        <v>0</v>
      </c>
      <c r="BB105" s="729">
        <f t="shared" si="113"/>
        <v>0</v>
      </c>
      <c r="BC105" s="729">
        <f t="shared" si="67"/>
        <v>0</v>
      </c>
      <c r="BD105" s="729">
        <f t="shared" si="68"/>
        <v>0</v>
      </c>
      <c r="BE105" s="729">
        <f t="shared" si="69"/>
        <v>0</v>
      </c>
      <c r="BF105" s="729">
        <f t="shared" si="70"/>
        <v>0</v>
      </c>
      <c r="BG105" s="729">
        <f t="shared" si="71"/>
        <v>0</v>
      </c>
      <c r="BH105" s="729">
        <f t="shared" si="72"/>
        <v>0</v>
      </c>
      <c r="BI105" s="729">
        <f t="shared" si="73"/>
        <v>0</v>
      </c>
      <c r="BJ105" s="729">
        <f t="shared" si="74"/>
        <v>0</v>
      </c>
      <c r="BK105" s="729">
        <f t="shared" si="75"/>
        <v>0</v>
      </c>
      <c r="BL105" s="729">
        <f t="shared" si="76"/>
        <v>0</v>
      </c>
      <c r="BM105" s="729">
        <f t="shared" si="77"/>
        <v>0</v>
      </c>
      <c r="BN105" s="729">
        <f t="shared" si="78"/>
        <v>0</v>
      </c>
      <c r="BO105" s="729">
        <f t="shared" si="79"/>
        <v>0</v>
      </c>
      <c r="BP105" s="729">
        <f t="shared" si="80"/>
        <v>0</v>
      </c>
      <c r="BQ105" s="729">
        <f t="shared" si="81"/>
        <v>0</v>
      </c>
      <c r="BR105" s="729">
        <f t="shared" si="82"/>
        <v>0</v>
      </c>
      <c r="BS105" s="729">
        <f t="shared" si="83"/>
        <v>0</v>
      </c>
      <c r="BT105" s="729">
        <f t="shared" si="84"/>
        <v>0</v>
      </c>
      <c r="BU105" s="729">
        <f t="shared" si="85"/>
        <v>0</v>
      </c>
      <c r="BV105" s="729">
        <f t="shared" si="86"/>
        <v>0</v>
      </c>
      <c r="BW105" s="729">
        <f t="shared" si="87"/>
        <v>0</v>
      </c>
      <c r="BX105" s="729">
        <f t="shared" si="88"/>
        <v>0</v>
      </c>
      <c r="BY105" s="729">
        <f t="shared" si="89"/>
        <v>0</v>
      </c>
      <c r="BZ105" s="729">
        <f t="shared" si="90"/>
        <v>0</v>
      </c>
      <c r="CA105" s="729">
        <f t="shared" si="91"/>
        <v>0</v>
      </c>
      <c r="CB105" s="729">
        <f t="shared" si="92"/>
        <v>0</v>
      </c>
      <c r="CC105" s="729">
        <f t="shared" si="93"/>
        <v>0</v>
      </c>
      <c r="CD105" s="729">
        <f t="shared" si="94"/>
        <v>0</v>
      </c>
      <c r="CE105" s="729">
        <f t="shared" si="95"/>
        <v>0</v>
      </c>
      <c r="CF105" s="731">
        <f t="shared" si="96"/>
        <v>0</v>
      </c>
      <c r="CG105" s="692" t="str">
        <f t="shared" si="97"/>
        <v/>
      </c>
      <c r="CH105" s="659" t="str">
        <f t="shared" si="98"/>
        <v/>
      </c>
      <c r="CI105" s="659" t="str">
        <f t="shared" si="99"/>
        <v/>
      </c>
      <c r="CJ105" s="659" t="str">
        <f t="shared" si="100"/>
        <v/>
      </c>
      <c r="CK105" s="659" t="str">
        <f t="shared" si="101"/>
        <v/>
      </c>
      <c r="CL105" s="659" t="str">
        <f t="shared" si="102"/>
        <v/>
      </c>
      <c r="CM105" s="82" t="str">
        <f t="shared" si="103"/>
        <v/>
      </c>
      <c r="CN105" s="625" t="str">
        <f t="shared" si="114"/>
        <v/>
      </c>
      <c r="CO105" s="625" t="str">
        <f t="shared" si="109"/>
        <v>0</v>
      </c>
      <c r="CP105" s="620">
        <f t="shared" si="104"/>
        <v>0</v>
      </c>
      <c r="CQ105" s="1051" t="s">
        <v>289</v>
      </c>
      <c r="CR105" s="1080">
        <v>235102</v>
      </c>
      <c r="CS105" s="625">
        <f t="shared" si="105"/>
        <v>0</v>
      </c>
      <c r="CT105" s="625">
        <f t="shared" si="106"/>
        <v>0</v>
      </c>
      <c r="CU105" s="626" t="str">
        <f t="shared" si="107"/>
        <v>00</v>
      </c>
    </row>
    <row r="106" spans="1:99" ht="15" customHeight="1">
      <c r="A106" s="1094">
        <v>103</v>
      </c>
      <c r="B106" s="1376"/>
      <c r="C106" s="1377"/>
      <c r="D106" s="1068"/>
      <c r="E106" s="1060"/>
      <c r="F106" s="1382"/>
      <c r="G106" s="1200"/>
      <c r="H106" s="1067"/>
      <c r="I106" s="1062"/>
      <c r="J106" s="1063"/>
      <c r="K106" s="1153"/>
      <c r="L106" s="1153"/>
      <c r="M106" s="1183"/>
      <c r="N106" s="1187" t="str">
        <f t="shared" si="63"/>
        <v/>
      </c>
      <c r="O106" s="1190" t="str">
        <f t="shared" si="108"/>
        <v/>
      </c>
      <c r="P106" s="525" t="str">
        <f>IF(O106="","",VLOOKUP(O106,所属コード!$A$2:$E$189,2,FALSE))</f>
        <v/>
      </c>
      <c r="Q106" s="1164" t="str">
        <f>IF(O106="","",VLOOKUP(O106,所属コード!$A$2:$G$189,7,FALSE))</f>
        <v/>
      </c>
      <c r="R106" s="1166"/>
      <c r="S106" s="77"/>
      <c r="T106" s="77"/>
      <c r="U106" s="77"/>
      <c r="V106" s="15"/>
      <c r="X106" s="617"/>
      <c r="Y106" s="1090" t="str">
        <f t="shared" si="64"/>
        <v/>
      </c>
      <c r="Z106" s="618" t="str">
        <f t="shared" si="65"/>
        <v/>
      </c>
      <c r="AA106" s="617"/>
      <c r="AB106" s="617"/>
      <c r="AC106" s="617"/>
      <c r="AD106" s="617"/>
      <c r="AE106" s="617"/>
      <c r="AF106" s="617"/>
      <c r="AG106" s="620"/>
      <c r="AH106" s="727"/>
      <c r="AI106" s="728"/>
      <c r="AJ106" s="728"/>
      <c r="AK106" s="728"/>
      <c r="AL106" s="728"/>
      <c r="AM106" s="728"/>
      <c r="AN106" s="728"/>
      <c r="AO106" s="728"/>
      <c r="AP106" s="728"/>
      <c r="AQ106" s="728"/>
      <c r="AR106" s="728"/>
      <c r="AS106" s="728"/>
      <c r="AT106" s="728"/>
      <c r="AU106" s="728"/>
      <c r="AV106" s="728"/>
      <c r="AW106" s="742"/>
      <c r="AX106" s="747">
        <f t="shared" si="66"/>
        <v>0</v>
      </c>
      <c r="AY106" s="738">
        <f t="shared" si="110"/>
        <v>0</v>
      </c>
      <c r="AZ106" s="729">
        <f t="shared" si="111"/>
        <v>0</v>
      </c>
      <c r="BA106" s="730">
        <f t="shared" si="112"/>
        <v>0</v>
      </c>
      <c r="BB106" s="729">
        <f t="shared" si="113"/>
        <v>0</v>
      </c>
      <c r="BC106" s="729">
        <f t="shared" si="67"/>
        <v>0</v>
      </c>
      <c r="BD106" s="729">
        <f t="shared" si="68"/>
        <v>0</v>
      </c>
      <c r="BE106" s="729">
        <f t="shared" si="69"/>
        <v>0</v>
      </c>
      <c r="BF106" s="729">
        <f t="shared" si="70"/>
        <v>0</v>
      </c>
      <c r="BG106" s="729">
        <f t="shared" si="71"/>
        <v>0</v>
      </c>
      <c r="BH106" s="729">
        <f t="shared" si="72"/>
        <v>0</v>
      </c>
      <c r="BI106" s="729">
        <f t="shared" si="73"/>
        <v>0</v>
      </c>
      <c r="BJ106" s="729">
        <f t="shared" si="74"/>
        <v>0</v>
      </c>
      <c r="BK106" s="729">
        <f t="shared" si="75"/>
        <v>0</v>
      </c>
      <c r="BL106" s="729">
        <f t="shared" si="76"/>
        <v>0</v>
      </c>
      <c r="BM106" s="729">
        <f t="shared" si="77"/>
        <v>0</v>
      </c>
      <c r="BN106" s="729">
        <f t="shared" si="78"/>
        <v>0</v>
      </c>
      <c r="BO106" s="729">
        <f t="shared" si="79"/>
        <v>0</v>
      </c>
      <c r="BP106" s="729">
        <f t="shared" si="80"/>
        <v>0</v>
      </c>
      <c r="BQ106" s="729">
        <f t="shared" si="81"/>
        <v>0</v>
      </c>
      <c r="BR106" s="729">
        <f t="shared" si="82"/>
        <v>0</v>
      </c>
      <c r="BS106" s="729">
        <f t="shared" si="83"/>
        <v>0</v>
      </c>
      <c r="BT106" s="729">
        <f t="shared" si="84"/>
        <v>0</v>
      </c>
      <c r="BU106" s="729">
        <f t="shared" si="85"/>
        <v>0</v>
      </c>
      <c r="BV106" s="729">
        <f t="shared" si="86"/>
        <v>0</v>
      </c>
      <c r="BW106" s="729">
        <f t="shared" si="87"/>
        <v>0</v>
      </c>
      <c r="BX106" s="729">
        <f t="shared" si="88"/>
        <v>0</v>
      </c>
      <c r="BY106" s="729">
        <f t="shared" si="89"/>
        <v>0</v>
      </c>
      <c r="BZ106" s="729">
        <f t="shared" si="90"/>
        <v>0</v>
      </c>
      <c r="CA106" s="729">
        <f t="shared" si="91"/>
        <v>0</v>
      </c>
      <c r="CB106" s="729">
        <f t="shared" si="92"/>
        <v>0</v>
      </c>
      <c r="CC106" s="729">
        <f t="shared" si="93"/>
        <v>0</v>
      </c>
      <c r="CD106" s="729">
        <f t="shared" si="94"/>
        <v>0</v>
      </c>
      <c r="CE106" s="729">
        <f t="shared" si="95"/>
        <v>0</v>
      </c>
      <c r="CF106" s="731">
        <f t="shared" si="96"/>
        <v>0</v>
      </c>
      <c r="CG106" s="692" t="str">
        <f t="shared" si="97"/>
        <v/>
      </c>
      <c r="CH106" s="659" t="str">
        <f t="shared" si="98"/>
        <v/>
      </c>
      <c r="CI106" s="659" t="str">
        <f t="shared" si="99"/>
        <v/>
      </c>
      <c r="CJ106" s="659" t="str">
        <f t="shared" si="100"/>
        <v/>
      </c>
      <c r="CK106" s="659" t="str">
        <f t="shared" si="101"/>
        <v/>
      </c>
      <c r="CL106" s="659" t="str">
        <f t="shared" si="102"/>
        <v/>
      </c>
      <c r="CM106" s="82" t="str">
        <f t="shared" si="103"/>
        <v/>
      </c>
      <c r="CN106" s="625" t="str">
        <f t="shared" si="114"/>
        <v/>
      </c>
      <c r="CO106" s="625" t="str">
        <f t="shared" si="109"/>
        <v>0</v>
      </c>
      <c r="CP106" s="620">
        <f t="shared" si="104"/>
        <v>0</v>
      </c>
      <c r="CQ106" s="1051" t="s">
        <v>142</v>
      </c>
      <c r="CR106" s="1080">
        <v>235103</v>
      </c>
      <c r="CS106" s="625">
        <f t="shared" si="105"/>
        <v>0</v>
      </c>
      <c r="CT106" s="625">
        <f t="shared" si="106"/>
        <v>0</v>
      </c>
      <c r="CU106" s="626" t="str">
        <f t="shared" si="107"/>
        <v>00</v>
      </c>
    </row>
    <row r="107" spans="1:99" ht="15" customHeight="1">
      <c r="A107" s="1094">
        <v>104</v>
      </c>
      <c r="B107" s="1376"/>
      <c r="C107" s="1377"/>
      <c r="D107" s="1068"/>
      <c r="E107" s="1060"/>
      <c r="F107" s="1382"/>
      <c r="G107" s="1200"/>
      <c r="H107" s="1067"/>
      <c r="I107" s="1062"/>
      <c r="J107" s="1063"/>
      <c r="K107" s="1153"/>
      <c r="L107" s="1153"/>
      <c r="M107" s="1183"/>
      <c r="N107" s="1187" t="str">
        <f t="shared" si="63"/>
        <v/>
      </c>
      <c r="O107" s="1190" t="str">
        <f t="shared" si="108"/>
        <v/>
      </c>
      <c r="P107" s="525" t="str">
        <f>IF(O107="","",VLOOKUP(O107,所属コード!$A$2:$E$189,2,FALSE))</f>
        <v/>
      </c>
      <c r="Q107" s="1164" t="str">
        <f>IF(O107="","",VLOOKUP(O107,所属コード!$A$2:$G$189,7,FALSE))</f>
        <v/>
      </c>
      <c r="R107" s="1166"/>
      <c r="S107" s="77"/>
      <c r="T107" s="77"/>
      <c r="U107" s="77"/>
      <c r="V107" s="15"/>
      <c r="X107" s="617"/>
      <c r="Y107" s="1090" t="str">
        <f t="shared" si="64"/>
        <v/>
      </c>
      <c r="Z107" s="618" t="str">
        <f t="shared" si="65"/>
        <v/>
      </c>
      <c r="AA107" s="617"/>
      <c r="AB107" s="617"/>
      <c r="AC107" s="617"/>
      <c r="AD107" s="617"/>
      <c r="AE107" s="617"/>
      <c r="AF107" s="617"/>
      <c r="AG107" s="620"/>
      <c r="AH107" s="727"/>
      <c r="AI107" s="728"/>
      <c r="AJ107" s="728"/>
      <c r="AK107" s="728"/>
      <c r="AL107" s="728"/>
      <c r="AM107" s="728"/>
      <c r="AN107" s="728"/>
      <c r="AO107" s="728"/>
      <c r="AP107" s="728"/>
      <c r="AQ107" s="728"/>
      <c r="AR107" s="728"/>
      <c r="AS107" s="728"/>
      <c r="AT107" s="728"/>
      <c r="AU107" s="728"/>
      <c r="AV107" s="728"/>
      <c r="AW107" s="742"/>
      <c r="AX107" s="747">
        <f t="shared" si="66"/>
        <v>0</v>
      </c>
      <c r="AY107" s="738">
        <f t="shared" si="110"/>
        <v>0</v>
      </c>
      <c r="AZ107" s="729">
        <f t="shared" si="111"/>
        <v>0</v>
      </c>
      <c r="BA107" s="730">
        <f t="shared" si="112"/>
        <v>0</v>
      </c>
      <c r="BB107" s="729">
        <f t="shared" si="113"/>
        <v>0</v>
      </c>
      <c r="BC107" s="729">
        <f t="shared" si="67"/>
        <v>0</v>
      </c>
      <c r="BD107" s="729">
        <f t="shared" si="68"/>
        <v>0</v>
      </c>
      <c r="BE107" s="729">
        <f t="shared" si="69"/>
        <v>0</v>
      </c>
      <c r="BF107" s="729">
        <f t="shared" si="70"/>
        <v>0</v>
      </c>
      <c r="BG107" s="729">
        <f t="shared" si="71"/>
        <v>0</v>
      </c>
      <c r="BH107" s="729">
        <f t="shared" si="72"/>
        <v>0</v>
      </c>
      <c r="BI107" s="729">
        <f t="shared" si="73"/>
        <v>0</v>
      </c>
      <c r="BJ107" s="729">
        <f t="shared" si="74"/>
        <v>0</v>
      </c>
      <c r="BK107" s="729">
        <f t="shared" si="75"/>
        <v>0</v>
      </c>
      <c r="BL107" s="729">
        <f t="shared" si="76"/>
        <v>0</v>
      </c>
      <c r="BM107" s="729">
        <f t="shared" si="77"/>
        <v>0</v>
      </c>
      <c r="BN107" s="729">
        <f t="shared" si="78"/>
        <v>0</v>
      </c>
      <c r="BO107" s="729">
        <f t="shared" si="79"/>
        <v>0</v>
      </c>
      <c r="BP107" s="729">
        <f t="shared" si="80"/>
        <v>0</v>
      </c>
      <c r="BQ107" s="729">
        <f t="shared" si="81"/>
        <v>0</v>
      </c>
      <c r="BR107" s="729">
        <f t="shared" si="82"/>
        <v>0</v>
      </c>
      <c r="BS107" s="729">
        <f t="shared" si="83"/>
        <v>0</v>
      </c>
      <c r="BT107" s="729">
        <f t="shared" si="84"/>
        <v>0</v>
      </c>
      <c r="BU107" s="729">
        <f t="shared" si="85"/>
        <v>0</v>
      </c>
      <c r="BV107" s="729">
        <f t="shared" si="86"/>
        <v>0</v>
      </c>
      <c r="BW107" s="729">
        <f t="shared" si="87"/>
        <v>0</v>
      </c>
      <c r="BX107" s="729">
        <f t="shared" si="88"/>
        <v>0</v>
      </c>
      <c r="BY107" s="729">
        <f t="shared" si="89"/>
        <v>0</v>
      </c>
      <c r="BZ107" s="729">
        <f t="shared" si="90"/>
        <v>0</v>
      </c>
      <c r="CA107" s="729">
        <f t="shared" si="91"/>
        <v>0</v>
      </c>
      <c r="CB107" s="729">
        <f t="shared" si="92"/>
        <v>0</v>
      </c>
      <c r="CC107" s="729">
        <f t="shared" si="93"/>
        <v>0</v>
      </c>
      <c r="CD107" s="729">
        <f t="shared" si="94"/>
        <v>0</v>
      </c>
      <c r="CE107" s="729">
        <f t="shared" si="95"/>
        <v>0</v>
      </c>
      <c r="CF107" s="731">
        <f t="shared" si="96"/>
        <v>0</v>
      </c>
      <c r="CG107" s="692" t="str">
        <f t="shared" si="97"/>
        <v/>
      </c>
      <c r="CH107" s="659" t="str">
        <f t="shared" si="98"/>
        <v/>
      </c>
      <c r="CI107" s="659" t="str">
        <f t="shared" si="99"/>
        <v/>
      </c>
      <c r="CJ107" s="659" t="str">
        <f t="shared" si="100"/>
        <v/>
      </c>
      <c r="CK107" s="659" t="str">
        <f t="shared" si="101"/>
        <v/>
      </c>
      <c r="CL107" s="659" t="str">
        <f t="shared" si="102"/>
        <v/>
      </c>
      <c r="CM107" s="82" t="str">
        <f t="shared" si="103"/>
        <v/>
      </c>
      <c r="CN107" s="625" t="str">
        <f t="shared" si="114"/>
        <v/>
      </c>
      <c r="CO107" s="625" t="str">
        <f t="shared" si="109"/>
        <v>0</v>
      </c>
      <c r="CP107" s="620">
        <f t="shared" si="104"/>
        <v>0</v>
      </c>
      <c r="CQ107" s="1051" t="s">
        <v>82</v>
      </c>
      <c r="CR107" s="1080">
        <v>235104</v>
      </c>
      <c r="CS107" s="625">
        <f t="shared" si="105"/>
        <v>0</v>
      </c>
      <c r="CT107" s="625">
        <f t="shared" si="106"/>
        <v>0</v>
      </c>
      <c r="CU107" s="626" t="str">
        <f t="shared" si="107"/>
        <v>00</v>
      </c>
    </row>
    <row r="108" spans="1:99" ht="15" customHeight="1">
      <c r="A108" s="1094">
        <v>105</v>
      </c>
      <c r="B108" s="1376"/>
      <c r="C108" s="1377"/>
      <c r="D108" s="1068"/>
      <c r="E108" s="1060"/>
      <c r="F108" s="1382"/>
      <c r="G108" s="1200"/>
      <c r="H108" s="1067"/>
      <c r="I108" s="1062"/>
      <c r="J108" s="1063"/>
      <c r="K108" s="1153"/>
      <c r="L108" s="1153"/>
      <c r="M108" s="1183"/>
      <c r="N108" s="1187" t="str">
        <f t="shared" si="63"/>
        <v/>
      </c>
      <c r="O108" s="1190" t="str">
        <f t="shared" si="108"/>
        <v/>
      </c>
      <c r="P108" s="525" t="str">
        <f>IF(O108="","",VLOOKUP(O108,所属コード!$A$2:$E$189,2,FALSE))</f>
        <v/>
      </c>
      <c r="Q108" s="1164" t="str">
        <f>IF(O108="","",VLOOKUP(O108,所属コード!$A$2:$G$189,7,FALSE))</f>
        <v/>
      </c>
      <c r="R108" s="1166"/>
      <c r="S108" s="77"/>
      <c r="T108" s="77"/>
      <c r="U108" s="77"/>
      <c r="V108" s="15"/>
      <c r="X108" s="617"/>
      <c r="Y108" s="1090" t="str">
        <f t="shared" si="64"/>
        <v/>
      </c>
      <c r="Z108" s="618" t="str">
        <f t="shared" si="65"/>
        <v/>
      </c>
      <c r="AA108" s="617"/>
      <c r="AB108" s="617"/>
      <c r="AC108" s="617"/>
      <c r="AD108" s="617"/>
      <c r="AE108" s="617"/>
      <c r="AF108" s="617"/>
      <c r="AG108" s="620"/>
      <c r="AH108" s="727"/>
      <c r="AI108" s="728"/>
      <c r="AJ108" s="728"/>
      <c r="AK108" s="728"/>
      <c r="AL108" s="728"/>
      <c r="AM108" s="728"/>
      <c r="AN108" s="728"/>
      <c r="AO108" s="728"/>
      <c r="AP108" s="728"/>
      <c r="AQ108" s="728"/>
      <c r="AR108" s="728"/>
      <c r="AS108" s="728"/>
      <c r="AT108" s="728"/>
      <c r="AU108" s="728"/>
      <c r="AV108" s="728"/>
      <c r="AW108" s="742"/>
      <c r="AX108" s="747">
        <f t="shared" si="66"/>
        <v>0</v>
      </c>
      <c r="AY108" s="738">
        <f t="shared" si="110"/>
        <v>0</v>
      </c>
      <c r="AZ108" s="729">
        <f t="shared" si="111"/>
        <v>0</v>
      </c>
      <c r="BA108" s="730">
        <f t="shared" si="112"/>
        <v>0</v>
      </c>
      <c r="BB108" s="729">
        <f t="shared" si="113"/>
        <v>0</v>
      </c>
      <c r="BC108" s="729">
        <f t="shared" si="67"/>
        <v>0</v>
      </c>
      <c r="BD108" s="729">
        <f t="shared" si="68"/>
        <v>0</v>
      </c>
      <c r="BE108" s="729">
        <f t="shared" si="69"/>
        <v>0</v>
      </c>
      <c r="BF108" s="729">
        <f t="shared" si="70"/>
        <v>0</v>
      </c>
      <c r="BG108" s="729">
        <f t="shared" si="71"/>
        <v>0</v>
      </c>
      <c r="BH108" s="729">
        <f t="shared" si="72"/>
        <v>0</v>
      </c>
      <c r="BI108" s="729">
        <f t="shared" si="73"/>
        <v>0</v>
      </c>
      <c r="BJ108" s="729">
        <f t="shared" si="74"/>
        <v>0</v>
      </c>
      <c r="BK108" s="729">
        <f t="shared" si="75"/>
        <v>0</v>
      </c>
      <c r="BL108" s="729">
        <f t="shared" si="76"/>
        <v>0</v>
      </c>
      <c r="BM108" s="729">
        <f t="shared" si="77"/>
        <v>0</v>
      </c>
      <c r="BN108" s="729">
        <f t="shared" si="78"/>
        <v>0</v>
      </c>
      <c r="BO108" s="729">
        <f t="shared" si="79"/>
        <v>0</v>
      </c>
      <c r="BP108" s="729">
        <f t="shared" si="80"/>
        <v>0</v>
      </c>
      <c r="BQ108" s="729">
        <f t="shared" si="81"/>
        <v>0</v>
      </c>
      <c r="BR108" s="729">
        <f t="shared" si="82"/>
        <v>0</v>
      </c>
      <c r="BS108" s="729">
        <f t="shared" si="83"/>
        <v>0</v>
      </c>
      <c r="BT108" s="729">
        <f t="shared" si="84"/>
        <v>0</v>
      </c>
      <c r="BU108" s="729">
        <f t="shared" si="85"/>
        <v>0</v>
      </c>
      <c r="BV108" s="729">
        <f t="shared" si="86"/>
        <v>0</v>
      </c>
      <c r="BW108" s="729">
        <f t="shared" si="87"/>
        <v>0</v>
      </c>
      <c r="BX108" s="729">
        <f t="shared" si="88"/>
        <v>0</v>
      </c>
      <c r="BY108" s="729">
        <f t="shared" si="89"/>
        <v>0</v>
      </c>
      <c r="BZ108" s="729">
        <f t="shared" si="90"/>
        <v>0</v>
      </c>
      <c r="CA108" s="729">
        <f t="shared" si="91"/>
        <v>0</v>
      </c>
      <c r="CB108" s="729">
        <f t="shared" si="92"/>
        <v>0</v>
      </c>
      <c r="CC108" s="729">
        <f t="shared" si="93"/>
        <v>0</v>
      </c>
      <c r="CD108" s="729">
        <f t="shared" si="94"/>
        <v>0</v>
      </c>
      <c r="CE108" s="729">
        <f t="shared" si="95"/>
        <v>0</v>
      </c>
      <c r="CF108" s="731">
        <f t="shared" si="96"/>
        <v>0</v>
      </c>
      <c r="CG108" s="692" t="str">
        <f t="shared" si="97"/>
        <v/>
      </c>
      <c r="CH108" s="659" t="str">
        <f t="shared" si="98"/>
        <v/>
      </c>
      <c r="CI108" s="659" t="str">
        <f t="shared" si="99"/>
        <v/>
      </c>
      <c r="CJ108" s="659" t="str">
        <f t="shared" si="100"/>
        <v/>
      </c>
      <c r="CK108" s="659" t="str">
        <f t="shared" si="101"/>
        <v/>
      </c>
      <c r="CL108" s="659" t="str">
        <f t="shared" si="102"/>
        <v/>
      </c>
      <c r="CM108" s="82" t="str">
        <f t="shared" si="103"/>
        <v/>
      </c>
      <c r="CN108" s="625" t="str">
        <f t="shared" si="114"/>
        <v/>
      </c>
      <c r="CO108" s="625" t="str">
        <f t="shared" si="109"/>
        <v>0</v>
      </c>
      <c r="CP108" s="620">
        <f t="shared" si="104"/>
        <v>0</v>
      </c>
      <c r="CQ108" s="1051" t="s">
        <v>290</v>
      </c>
      <c r="CR108" s="1080">
        <v>235105</v>
      </c>
      <c r="CS108" s="625">
        <f t="shared" si="105"/>
        <v>0</v>
      </c>
      <c r="CT108" s="625">
        <f t="shared" si="106"/>
        <v>0</v>
      </c>
      <c r="CU108" s="626" t="str">
        <f t="shared" si="107"/>
        <v>00</v>
      </c>
    </row>
    <row r="109" spans="1:99" ht="15" customHeight="1">
      <c r="A109" s="1094">
        <v>106</v>
      </c>
      <c r="B109" s="1376"/>
      <c r="C109" s="1377"/>
      <c r="D109" s="1068"/>
      <c r="E109" s="1060"/>
      <c r="F109" s="1382"/>
      <c r="G109" s="1200"/>
      <c r="H109" s="1067"/>
      <c r="I109" s="1062"/>
      <c r="J109" s="1063"/>
      <c r="K109" s="1153"/>
      <c r="L109" s="1153"/>
      <c r="M109" s="1183"/>
      <c r="N109" s="1187" t="str">
        <f t="shared" si="63"/>
        <v/>
      </c>
      <c r="O109" s="1190" t="str">
        <f t="shared" si="108"/>
        <v/>
      </c>
      <c r="P109" s="525" t="str">
        <f>IF(O109="","",VLOOKUP(O109,所属コード!$A$2:$E$189,2,FALSE))</f>
        <v/>
      </c>
      <c r="Q109" s="1164" t="str">
        <f>IF(O109="","",VLOOKUP(O109,所属コード!$A$2:$G$189,7,FALSE))</f>
        <v/>
      </c>
      <c r="R109" s="1166"/>
      <c r="S109" s="77"/>
      <c r="T109" s="77"/>
      <c r="U109" s="77"/>
      <c r="V109" s="15"/>
      <c r="X109" s="617"/>
      <c r="Y109" s="1090" t="str">
        <f t="shared" si="64"/>
        <v/>
      </c>
      <c r="Z109" s="618" t="str">
        <f t="shared" si="65"/>
        <v/>
      </c>
      <c r="AA109" s="617"/>
      <c r="AB109" s="617"/>
      <c r="AC109" s="617"/>
      <c r="AD109" s="617"/>
      <c r="AE109" s="617"/>
      <c r="AF109" s="617"/>
      <c r="AG109" s="620"/>
      <c r="AH109" s="727"/>
      <c r="AI109" s="728"/>
      <c r="AJ109" s="728"/>
      <c r="AK109" s="728"/>
      <c r="AL109" s="728"/>
      <c r="AM109" s="728"/>
      <c r="AN109" s="728"/>
      <c r="AO109" s="728"/>
      <c r="AP109" s="728"/>
      <c r="AQ109" s="728"/>
      <c r="AR109" s="728"/>
      <c r="AS109" s="728"/>
      <c r="AT109" s="728"/>
      <c r="AU109" s="728"/>
      <c r="AV109" s="728"/>
      <c r="AW109" s="742"/>
      <c r="AX109" s="747">
        <f t="shared" si="66"/>
        <v>0</v>
      </c>
      <c r="AY109" s="738">
        <f t="shared" si="110"/>
        <v>0</v>
      </c>
      <c r="AZ109" s="729">
        <f t="shared" si="111"/>
        <v>0</v>
      </c>
      <c r="BA109" s="730">
        <f t="shared" si="112"/>
        <v>0</v>
      </c>
      <c r="BB109" s="729">
        <f t="shared" si="113"/>
        <v>0</v>
      </c>
      <c r="BC109" s="729">
        <f t="shared" si="67"/>
        <v>0</v>
      </c>
      <c r="BD109" s="729">
        <f t="shared" si="68"/>
        <v>0</v>
      </c>
      <c r="BE109" s="729">
        <f t="shared" si="69"/>
        <v>0</v>
      </c>
      <c r="BF109" s="729">
        <f t="shared" si="70"/>
        <v>0</v>
      </c>
      <c r="BG109" s="729">
        <f t="shared" si="71"/>
        <v>0</v>
      </c>
      <c r="BH109" s="729">
        <f t="shared" si="72"/>
        <v>0</v>
      </c>
      <c r="BI109" s="729">
        <f t="shared" si="73"/>
        <v>0</v>
      </c>
      <c r="BJ109" s="729">
        <f t="shared" si="74"/>
        <v>0</v>
      </c>
      <c r="BK109" s="729">
        <f t="shared" si="75"/>
        <v>0</v>
      </c>
      <c r="BL109" s="729">
        <f t="shared" si="76"/>
        <v>0</v>
      </c>
      <c r="BM109" s="729">
        <f t="shared" si="77"/>
        <v>0</v>
      </c>
      <c r="BN109" s="729">
        <f t="shared" si="78"/>
        <v>0</v>
      </c>
      <c r="BO109" s="729">
        <f t="shared" si="79"/>
        <v>0</v>
      </c>
      <c r="BP109" s="729">
        <f t="shared" si="80"/>
        <v>0</v>
      </c>
      <c r="BQ109" s="729">
        <f t="shared" si="81"/>
        <v>0</v>
      </c>
      <c r="BR109" s="729">
        <f t="shared" si="82"/>
        <v>0</v>
      </c>
      <c r="BS109" s="729">
        <f t="shared" si="83"/>
        <v>0</v>
      </c>
      <c r="BT109" s="729">
        <f t="shared" si="84"/>
        <v>0</v>
      </c>
      <c r="BU109" s="729">
        <f t="shared" si="85"/>
        <v>0</v>
      </c>
      <c r="BV109" s="729">
        <f t="shared" si="86"/>
        <v>0</v>
      </c>
      <c r="BW109" s="729">
        <f t="shared" si="87"/>
        <v>0</v>
      </c>
      <c r="BX109" s="729">
        <f t="shared" si="88"/>
        <v>0</v>
      </c>
      <c r="BY109" s="729">
        <f t="shared" si="89"/>
        <v>0</v>
      </c>
      <c r="BZ109" s="729">
        <f t="shared" si="90"/>
        <v>0</v>
      </c>
      <c r="CA109" s="729">
        <f t="shared" si="91"/>
        <v>0</v>
      </c>
      <c r="CB109" s="729">
        <f t="shared" si="92"/>
        <v>0</v>
      </c>
      <c r="CC109" s="729">
        <f t="shared" si="93"/>
        <v>0</v>
      </c>
      <c r="CD109" s="729">
        <f t="shared" si="94"/>
        <v>0</v>
      </c>
      <c r="CE109" s="729">
        <f t="shared" si="95"/>
        <v>0</v>
      </c>
      <c r="CF109" s="731">
        <f t="shared" si="96"/>
        <v>0</v>
      </c>
      <c r="CG109" s="692" t="str">
        <f t="shared" si="97"/>
        <v/>
      </c>
      <c r="CH109" s="659" t="str">
        <f t="shared" si="98"/>
        <v/>
      </c>
      <c r="CI109" s="659" t="str">
        <f t="shared" si="99"/>
        <v/>
      </c>
      <c r="CJ109" s="659" t="str">
        <f t="shared" si="100"/>
        <v/>
      </c>
      <c r="CK109" s="659" t="str">
        <f t="shared" si="101"/>
        <v/>
      </c>
      <c r="CL109" s="659" t="str">
        <f t="shared" si="102"/>
        <v/>
      </c>
      <c r="CM109" s="82" t="str">
        <f t="shared" si="103"/>
        <v/>
      </c>
      <c r="CN109" s="625" t="str">
        <f t="shared" si="114"/>
        <v/>
      </c>
      <c r="CO109" s="625" t="str">
        <f t="shared" si="109"/>
        <v>0</v>
      </c>
      <c r="CP109" s="620">
        <f t="shared" si="104"/>
        <v>0</v>
      </c>
      <c r="CQ109" s="1051" t="s">
        <v>291</v>
      </c>
      <c r="CR109" s="1080">
        <v>235106</v>
      </c>
      <c r="CS109" s="625">
        <f t="shared" si="105"/>
        <v>0</v>
      </c>
      <c r="CT109" s="625">
        <f t="shared" si="106"/>
        <v>0</v>
      </c>
      <c r="CU109" s="626" t="str">
        <f t="shared" si="107"/>
        <v>00</v>
      </c>
    </row>
    <row r="110" spans="1:99" ht="15" customHeight="1">
      <c r="A110" s="1094">
        <v>107</v>
      </c>
      <c r="B110" s="1376"/>
      <c r="C110" s="1377"/>
      <c r="D110" s="1068"/>
      <c r="E110" s="1060"/>
      <c r="F110" s="1382"/>
      <c r="G110" s="1200"/>
      <c r="H110" s="1067"/>
      <c r="I110" s="1062"/>
      <c r="J110" s="1063"/>
      <c r="K110" s="1153"/>
      <c r="L110" s="1153"/>
      <c r="M110" s="1183"/>
      <c r="N110" s="1187" t="str">
        <f t="shared" si="63"/>
        <v/>
      </c>
      <c r="O110" s="1190" t="str">
        <f t="shared" si="108"/>
        <v/>
      </c>
      <c r="P110" s="525" t="str">
        <f>IF(O110="","",VLOOKUP(O110,所属コード!$A$2:$E$189,2,FALSE))</f>
        <v/>
      </c>
      <c r="Q110" s="1164" t="str">
        <f>IF(O110="","",VLOOKUP(O110,所属コード!$A$2:$G$189,7,FALSE))</f>
        <v/>
      </c>
      <c r="R110" s="1166"/>
      <c r="S110" s="77"/>
      <c r="T110" s="77"/>
      <c r="U110" s="77"/>
      <c r="V110" s="15"/>
      <c r="X110" s="617"/>
      <c r="Y110" s="1090" t="str">
        <f t="shared" si="64"/>
        <v/>
      </c>
      <c r="Z110" s="618" t="str">
        <f t="shared" si="65"/>
        <v/>
      </c>
      <c r="AA110" s="617"/>
      <c r="AB110" s="617"/>
      <c r="AC110" s="617"/>
      <c r="AD110" s="617"/>
      <c r="AE110" s="617"/>
      <c r="AF110" s="617"/>
      <c r="AG110" s="620"/>
      <c r="AH110" s="727"/>
      <c r="AI110" s="728"/>
      <c r="AJ110" s="728"/>
      <c r="AK110" s="728"/>
      <c r="AL110" s="728"/>
      <c r="AM110" s="728"/>
      <c r="AN110" s="728"/>
      <c r="AO110" s="728"/>
      <c r="AP110" s="728"/>
      <c r="AQ110" s="728"/>
      <c r="AR110" s="728"/>
      <c r="AS110" s="728"/>
      <c r="AT110" s="728"/>
      <c r="AU110" s="728"/>
      <c r="AV110" s="728"/>
      <c r="AW110" s="742"/>
      <c r="AX110" s="747">
        <f t="shared" si="66"/>
        <v>0</v>
      </c>
      <c r="AY110" s="738">
        <f t="shared" si="110"/>
        <v>0</v>
      </c>
      <c r="AZ110" s="729">
        <f t="shared" si="111"/>
        <v>0</v>
      </c>
      <c r="BA110" s="730">
        <f t="shared" si="112"/>
        <v>0</v>
      </c>
      <c r="BB110" s="729">
        <f t="shared" si="113"/>
        <v>0</v>
      </c>
      <c r="BC110" s="729">
        <f t="shared" si="67"/>
        <v>0</v>
      </c>
      <c r="BD110" s="729">
        <f t="shared" si="68"/>
        <v>0</v>
      </c>
      <c r="BE110" s="729">
        <f t="shared" si="69"/>
        <v>0</v>
      </c>
      <c r="BF110" s="729">
        <f t="shared" si="70"/>
        <v>0</v>
      </c>
      <c r="BG110" s="729">
        <f t="shared" si="71"/>
        <v>0</v>
      </c>
      <c r="BH110" s="729">
        <f t="shared" si="72"/>
        <v>0</v>
      </c>
      <c r="BI110" s="729">
        <f t="shared" si="73"/>
        <v>0</v>
      </c>
      <c r="BJ110" s="729">
        <f t="shared" si="74"/>
        <v>0</v>
      </c>
      <c r="BK110" s="729">
        <f t="shared" si="75"/>
        <v>0</v>
      </c>
      <c r="BL110" s="729">
        <f t="shared" si="76"/>
        <v>0</v>
      </c>
      <c r="BM110" s="729">
        <f t="shared" si="77"/>
        <v>0</v>
      </c>
      <c r="BN110" s="729">
        <f t="shared" si="78"/>
        <v>0</v>
      </c>
      <c r="BO110" s="729">
        <f t="shared" si="79"/>
        <v>0</v>
      </c>
      <c r="BP110" s="729">
        <f t="shared" si="80"/>
        <v>0</v>
      </c>
      <c r="BQ110" s="729">
        <f t="shared" si="81"/>
        <v>0</v>
      </c>
      <c r="BR110" s="729">
        <f t="shared" si="82"/>
        <v>0</v>
      </c>
      <c r="BS110" s="729">
        <f t="shared" si="83"/>
        <v>0</v>
      </c>
      <c r="BT110" s="729">
        <f t="shared" si="84"/>
        <v>0</v>
      </c>
      <c r="BU110" s="729">
        <f t="shared" si="85"/>
        <v>0</v>
      </c>
      <c r="BV110" s="729">
        <f t="shared" si="86"/>
        <v>0</v>
      </c>
      <c r="BW110" s="729">
        <f t="shared" si="87"/>
        <v>0</v>
      </c>
      <c r="BX110" s="729">
        <f t="shared" si="88"/>
        <v>0</v>
      </c>
      <c r="BY110" s="729">
        <f t="shared" si="89"/>
        <v>0</v>
      </c>
      <c r="BZ110" s="729">
        <f t="shared" si="90"/>
        <v>0</v>
      </c>
      <c r="CA110" s="729">
        <f t="shared" si="91"/>
        <v>0</v>
      </c>
      <c r="CB110" s="729">
        <f t="shared" si="92"/>
        <v>0</v>
      </c>
      <c r="CC110" s="729">
        <f t="shared" si="93"/>
        <v>0</v>
      </c>
      <c r="CD110" s="729">
        <f t="shared" si="94"/>
        <v>0</v>
      </c>
      <c r="CE110" s="729">
        <f t="shared" si="95"/>
        <v>0</v>
      </c>
      <c r="CF110" s="731">
        <f t="shared" si="96"/>
        <v>0</v>
      </c>
      <c r="CG110" s="692" t="str">
        <f t="shared" si="97"/>
        <v/>
      </c>
      <c r="CH110" s="659" t="str">
        <f t="shared" si="98"/>
        <v/>
      </c>
      <c r="CI110" s="659" t="str">
        <f t="shared" si="99"/>
        <v/>
      </c>
      <c r="CJ110" s="659" t="str">
        <f t="shared" si="100"/>
        <v/>
      </c>
      <c r="CK110" s="659" t="str">
        <f t="shared" si="101"/>
        <v/>
      </c>
      <c r="CL110" s="659" t="str">
        <f t="shared" si="102"/>
        <v/>
      </c>
      <c r="CM110" s="82" t="str">
        <f t="shared" si="103"/>
        <v/>
      </c>
      <c r="CN110" s="625" t="str">
        <f t="shared" si="114"/>
        <v/>
      </c>
      <c r="CO110" s="625" t="str">
        <f t="shared" si="109"/>
        <v>0</v>
      </c>
      <c r="CP110" s="620">
        <f t="shared" si="104"/>
        <v>0</v>
      </c>
      <c r="CQ110" s="1051" t="s">
        <v>83</v>
      </c>
      <c r="CR110" s="1080">
        <v>235107</v>
      </c>
      <c r="CS110" s="625">
        <f t="shared" si="105"/>
        <v>0</v>
      </c>
      <c r="CT110" s="625">
        <f t="shared" si="106"/>
        <v>0</v>
      </c>
      <c r="CU110" s="626" t="str">
        <f t="shared" si="107"/>
        <v>00</v>
      </c>
    </row>
    <row r="111" spans="1:99" ht="15" customHeight="1">
      <c r="A111" s="1094">
        <v>108</v>
      </c>
      <c r="B111" s="1376"/>
      <c r="C111" s="1377"/>
      <c r="D111" s="1068"/>
      <c r="E111" s="1060"/>
      <c r="F111" s="1382"/>
      <c r="G111" s="1200"/>
      <c r="H111" s="1067"/>
      <c r="I111" s="1062"/>
      <c r="J111" s="1063"/>
      <c r="K111" s="1153"/>
      <c r="L111" s="1153"/>
      <c r="M111" s="1183"/>
      <c r="N111" s="1187" t="str">
        <f t="shared" si="63"/>
        <v/>
      </c>
      <c r="O111" s="1190" t="str">
        <f t="shared" si="108"/>
        <v/>
      </c>
      <c r="P111" s="525" t="str">
        <f>IF(O111="","",VLOOKUP(O111,所属コード!$A$2:$E$189,2,FALSE))</f>
        <v/>
      </c>
      <c r="Q111" s="1164" t="str">
        <f>IF(O111="","",VLOOKUP(O111,所属コード!$A$2:$G$189,7,FALSE))</f>
        <v/>
      </c>
      <c r="R111" s="1166"/>
      <c r="S111" s="77"/>
      <c r="T111" s="77"/>
      <c r="U111" s="77"/>
      <c r="V111" s="15"/>
      <c r="X111" s="617"/>
      <c r="Y111" s="1090" t="str">
        <f t="shared" si="64"/>
        <v/>
      </c>
      <c r="Z111" s="618" t="str">
        <f t="shared" si="65"/>
        <v/>
      </c>
      <c r="AA111" s="617"/>
      <c r="AB111" s="617"/>
      <c r="AC111" s="617"/>
      <c r="AD111" s="617"/>
      <c r="AE111" s="617"/>
      <c r="AF111" s="617"/>
      <c r="AG111" s="620"/>
      <c r="AH111" s="727"/>
      <c r="AI111" s="728"/>
      <c r="AJ111" s="728"/>
      <c r="AK111" s="728"/>
      <c r="AL111" s="728"/>
      <c r="AM111" s="728"/>
      <c r="AN111" s="728"/>
      <c r="AO111" s="728"/>
      <c r="AP111" s="728"/>
      <c r="AQ111" s="728"/>
      <c r="AR111" s="728"/>
      <c r="AS111" s="728"/>
      <c r="AT111" s="728"/>
      <c r="AU111" s="728"/>
      <c r="AV111" s="728"/>
      <c r="AW111" s="742"/>
      <c r="AX111" s="747">
        <f t="shared" si="66"/>
        <v>0</v>
      </c>
      <c r="AY111" s="738">
        <f t="shared" si="110"/>
        <v>0</v>
      </c>
      <c r="AZ111" s="729">
        <f t="shared" si="111"/>
        <v>0</v>
      </c>
      <c r="BA111" s="730">
        <f t="shared" si="112"/>
        <v>0</v>
      </c>
      <c r="BB111" s="729">
        <f t="shared" si="113"/>
        <v>0</v>
      </c>
      <c r="BC111" s="729">
        <f t="shared" si="67"/>
        <v>0</v>
      </c>
      <c r="BD111" s="729">
        <f t="shared" si="68"/>
        <v>0</v>
      </c>
      <c r="BE111" s="729">
        <f t="shared" si="69"/>
        <v>0</v>
      </c>
      <c r="BF111" s="729">
        <f t="shared" si="70"/>
        <v>0</v>
      </c>
      <c r="BG111" s="729">
        <f t="shared" si="71"/>
        <v>0</v>
      </c>
      <c r="BH111" s="729">
        <f t="shared" si="72"/>
        <v>0</v>
      </c>
      <c r="BI111" s="729">
        <f t="shared" si="73"/>
        <v>0</v>
      </c>
      <c r="BJ111" s="729">
        <f t="shared" si="74"/>
        <v>0</v>
      </c>
      <c r="BK111" s="729">
        <f t="shared" si="75"/>
        <v>0</v>
      </c>
      <c r="BL111" s="729">
        <f t="shared" si="76"/>
        <v>0</v>
      </c>
      <c r="BM111" s="729">
        <f t="shared" si="77"/>
        <v>0</v>
      </c>
      <c r="BN111" s="729">
        <f t="shared" si="78"/>
        <v>0</v>
      </c>
      <c r="BO111" s="729">
        <f t="shared" si="79"/>
        <v>0</v>
      </c>
      <c r="BP111" s="729">
        <f t="shared" si="80"/>
        <v>0</v>
      </c>
      <c r="BQ111" s="729">
        <f t="shared" si="81"/>
        <v>0</v>
      </c>
      <c r="BR111" s="729">
        <f t="shared" si="82"/>
        <v>0</v>
      </c>
      <c r="BS111" s="729">
        <f t="shared" si="83"/>
        <v>0</v>
      </c>
      <c r="BT111" s="729">
        <f t="shared" si="84"/>
        <v>0</v>
      </c>
      <c r="BU111" s="729">
        <f t="shared" si="85"/>
        <v>0</v>
      </c>
      <c r="BV111" s="729">
        <f t="shared" si="86"/>
        <v>0</v>
      </c>
      <c r="BW111" s="729">
        <f t="shared" si="87"/>
        <v>0</v>
      </c>
      <c r="BX111" s="729">
        <f t="shared" si="88"/>
        <v>0</v>
      </c>
      <c r="BY111" s="729">
        <f t="shared" si="89"/>
        <v>0</v>
      </c>
      <c r="BZ111" s="729">
        <f t="shared" si="90"/>
        <v>0</v>
      </c>
      <c r="CA111" s="729">
        <f t="shared" si="91"/>
        <v>0</v>
      </c>
      <c r="CB111" s="729">
        <f t="shared" si="92"/>
        <v>0</v>
      </c>
      <c r="CC111" s="729">
        <f t="shared" si="93"/>
        <v>0</v>
      </c>
      <c r="CD111" s="729">
        <f t="shared" si="94"/>
        <v>0</v>
      </c>
      <c r="CE111" s="729">
        <f t="shared" si="95"/>
        <v>0</v>
      </c>
      <c r="CF111" s="731">
        <f t="shared" si="96"/>
        <v>0</v>
      </c>
      <c r="CG111" s="692" t="str">
        <f t="shared" si="97"/>
        <v/>
      </c>
      <c r="CH111" s="659" t="str">
        <f t="shared" si="98"/>
        <v/>
      </c>
      <c r="CI111" s="659" t="str">
        <f t="shared" si="99"/>
        <v/>
      </c>
      <c r="CJ111" s="659" t="str">
        <f t="shared" si="100"/>
        <v/>
      </c>
      <c r="CK111" s="659" t="str">
        <f t="shared" si="101"/>
        <v/>
      </c>
      <c r="CL111" s="659" t="str">
        <f t="shared" si="102"/>
        <v/>
      </c>
      <c r="CM111" s="82" t="str">
        <f t="shared" si="103"/>
        <v/>
      </c>
      <c r="CN111" s="625" t="str">
        <f t="shared" si="114"/>
        <v/>
      </c>
      <c r="CO111" s="625" t="str">
        <f t="shared" si="109"/>
        <v>0</v>
      </c>
      <c r="CP111" s="620">
        <f t="shared" si="104"/>
        <v>0</v>
      </c>
      <c r="CQ111" s="1051" t="s">
        <v>7</v>
      </c>
      <c r="CR111" s="1080">
        <v>235108</v>
      </c>
      <c r="CS111" s="625">
        <f t="shared" si="105"/>
        <v>0</v>
      </c>
      <c r="CT111" s="625">
        <f t="shared" si="106"/>
        <v>0</v>
      </c>
      <c r="CU111" s="626" t="str">
        <f t="shared" si="107"/>
        <v>00</v>
      </c>
    </row>
    <row r="112" spans="1:99" ht="15" customHeight="1">
      <c r="A112" s="1094">
        <v>109</v>
      </c>
      <c r="B112" s="1376"/>
      <c r="C112" s="1377"/>
      <c r="D112" s="1068"/>
      <c r="E112" s="1060"/>
      <c r="F112" s="1382"/>
      <c r="G112" s="1200"/>
      <c r="H112" s="1067"/>
      <c r="I112" s="1062"/>
      <c r="J112" s="1063"/>
      <c r="K112" s="1153"/>
      <c r="L112" s="1153"/>
      <c r="M112" s="1183"/>
      <c r="N112" s="1187" t="str">
        <f t="shared" si="63"/>
        <v/>
      </c>
      <c r="O112" s="1190" t="str">
        <f t="shared" si="108"/>
        <v/>
      </c>
      <c r="P112" s="525" t="str">
        <f>IF(O112="","",VLOOKUP(O112,所属コード!$A$2:$E$189,2,FALSE))</f>
        <v/>
      </c>
      <c r="Q112" s="1164" t="str">
        <f>IF(O112="","",VLOOKUP(O112,所属コード!$A$2:$G$189,7,FALSE))</f>
        <v/>
      </c>
      <c r="R112" s="1166"/>
      <c r="S112" s="77"/>
      <c r="T112" s="77"/>
      <c r="U112" s="77"/>
      <c r="V112" s="15"/>
      <c r="X112" s="617"/>
      <c r="Y112" s="1090" t="str">
        <f t="shared" si="64"/>
        <v/>
      </c>
      <c r="Z112" s="618" t="str">
        <f t="shared" si="65"/>
        <v/>
      </c>
      <c r="AA112" s="617"/>
      <c r="AB112" s="617"/>
      <c r="AC112" s="617"/>
      <c r="AD112" s="617"/>
      <c r="AE112" s="617"/>
      <c r="AF112" s="617"/>
      <c r="AG112" s="620"/>
      <c r="AH112" s="727"/>
      <c r="AI112" s="728"/>
      <c r="AJ112" s="728"/>
      <c r="AK112" s="728"/>
      <c r="AL112" s="728"/>
      <c r="AM112" s="728"/>
      <c r="AN112" s="728"/>
      <c r="AO112" s="728"/>
      <c r="AP112" s="728"/>
      <c r="AQ112" s="728"/>
      <c r="AR112" s="728"/>
      <c r="AS112" s="728"/>
      <c r="AT112" s="728"/>
      <c r="AU112" s="728"/>
      <c r="AV112" s="728"/>
      <c r="AW112" s="742"/>
      <c r="AX112" s="747">
        <f t="shared" si="66"/>
        <v>0</v>
      </c>
      <c r="AY112" s="738">
        <f t="shared" si="110"/>
        <v>0</v>
      </c>
      <c r="AZ112" s="729">
        <f t="shared" si="111"/>
        <v>0</v>
      </c>
      <c r="BA112" s="730">
        <f t="shared" si="112"/>
        <v>0</v>
      </c>
      <c r="BB112" s="729">
        <f t="shared" si="113"/>
        <v>0</v>
      </c>
      <c r="BC112" s="729">
        <f t="shared" si="67"/>
        <v>0</v>
      </c>
      <c r="BD112" s="729">
        <f t="shared" si="68"/>
        <v>0</v>
      </c>
      <c r="BE112" s="729">
        <f t="shared" si="69"/>
        <v>0</v>
      </c>
      <c r="BF112" s="729">
        <f t="shared" si="70"/>
        <v>0</v>
      </c>
      <c r="BG112" s="729">
        <f t="shared" si="71"/>
        <v>0</v>
      </c>
      <c r="BH112" s="729">
        <f t="shared" si="72"/>
        <v>0</v>
      </c>
      <c r="BI112" s="729">
        <f t="shared" si="73"/>
        <v>0</v>
      </c>
      <c r="BJ112" s="729">
        <f t="shared" si="74"/>
        <v>0</v>
      </c>
      <c r="BK112" s="729">
        <f t="shared" si="75"/>
        <v>0</v>
      </c>
      <c r="BL112" s="729">
        <f t="shared" si="76"/>
        <v>0</v>
      </c>
      <c r="BM112" s="729">
        <f t="shared" si="77"/>
        <v>0</v>
      </c>
      <c r="BN112" s="729">
        <f t="shared" si="78"/>
        <v>0</v>
      </c>
      <c r="BO112" s="729">
        <f t="shared" si="79"/>
        <v>0</v>
      </c>
      <c r="BP112" s="729">
        <f t="shared" si="80"/>
        <v>0</v>
      </c>
      <c r="BQ112" s="729">
        <f t="shared" si="81"/>
        <v>0</v>
      </c>
      <c r="BR112" s="729">
        <f t="shared" si="82"/>
        <v>0</v>
      </c>
      <c r="BS112" s="729">
        <f t="shared" si="83"/>
        <v>0</v>
      </c>
      <c r="BT112" s="729">
        <f t="shared" si="84"/>
        <v>0</v>
      </c>
      <c r="BU112" s="729">
        <f t="shared" si="85"/>
        <v>0</v>
      </c>
      <c r="BV112" s="729">
        <f t="shared" si="86"/>
        <v>0</v>
      </c>
      <c r="BW112" s="729">
        <f t="shared" si="87"/>
        <v>0</v>
      </c>
      <c r="BX112" s="729">
        <f t="shared" si="88"/>
        <v>0</v>
      </c>
      <c r="BY112" s="729">
        <f t="shared" si="89"/>
        <v>0</v>
      </c>
      <c r="BZ112" s="729">
        <f t="shared" si="90"/>
        <v>0</v>
      </c>
      <c r="CA112" s="729">
        <f t="shared" si="91"/>
        <v>0</v>
      </c>
      <c r="CB112" s="729">
        <f t="shared" si="92"/>
        <v>0</v>
      </c>
      <c r="CC112" s="729">
        <f t="shared" si="93"/>
        <v>0</v>
      </c>
      <c r="CD112" s="729">
        <f t="shared" si="94"/>
        <v>0</v>
      </c>
      <c r="CE112" s="729">
        <f t="shared" si="95"/>
        <v>0</v>
      </c>
      <c r="CF112" s="731">
        <f t="shared" si="96"/>
        <v>0</v>
      </c>
      <c r="CG112" s="692" t="str">
        <f t="shared" si="97"/>
        <v/>
      </c>
      <c r="CH112" s="659" t="str">
        <f t="shared" si="98"/>
        <v/>
      </c>
      <c r="CI112" s="659" t="str">
        <f t="shared" si="99"/>
        <v/>
      </c>
      <c r="CJ112" s="659" t="str">
        <f t="shared" si="100"/>
        <v/>
      </c>
      <c r="CK112" s="659" t="str">
        <f t="shared" si="101"/>
        <v/>
      </c>
      <c r="CL112" s="659" t="str">
        <f t="shared" si="102"/>
        <v/>
      </c>
      <c r="CM112" s="82" t="str">
        <f t="shared" si="103"/>
        <v/>
      </c>
      <c r="CN112" s="625" t="str">
        <f t="shared" si="114"/>
        <v/>
      </c>
      <c r="CO112" s="625" t="str">
        <f t="shared" si="109"/>
        <v>0</v>
      </c>
      <c r="CP112" s="620">
        <f t="shared" si="104"/>
        <v>0</v>
      </c>
      <c r="CQ112" s="1051" t="s">
        <v>160</v>
      </c>
      <c r="CR112" s="1080">
        <v>235109</v>
      </c>
      <c r="CS112" s="625">
        <f t="shared" si="105"/>
        <v>0</v>
      </c>
      <c r="CT112" s="625">
        <f t="shared" si="106"/>
        <v>0</v>
      </c>
      <c r="CU112" s="626" t="str">
        <f t="shared" si="107"/>
        <v>00</v>
      </c>
    </row>
    <row r="113" spans="1:99" ht="15" customHeight="1" thickBot="1">
      <c r="A113" s="1095">
        <v>110</v>
      </c>
      <c r="B113" s="1378"/>
      <c r="C113" s="1379"/>
      <c r="D113" s="1155"/>
      <c r="E113" s="1156"/>
      <c r="F113" s="1383"/>
      <c r="G113" s="1206"/>
      <c r="H113" s="1157"/>
      <c r="I113" s="1158"/>
      <c r="J113" s="1159"/>
      <c r="K113" s="1154"/>
      <c r="L113" s="1154"/>
      <c r="M113" s="1184"/>
      <c r="N113" s="1188" t="str">
        <f t="shared" si="63"/>
        <v/>
      </c>
      <c r="O113" s="1191" t="str">
        <f t="shared" si="108"/>
        <v/>
      </c>
      <c r="P113" s="527" t="str">
        <f>IF(O113="","",VLOOKUP(O113,所属コード!$A$2:$E$189,2,FALSE))</f>
        <v/>
      </c>
      <c r="Q113" s="1165" t="str">
        <f>IF(O113="","",VLOOKUP(O113,所属コード!$A$2:$G$189,7,FALSE))</f>
        <v/>
      </c>
      <c r="R113" s="1166"/>
      <c r="S113" s="77"/>
      <c r="T113" s="77"/>
      <c r="U113" s="77"/>
      <c r="V113" s="15"/>
      <c r="X113" s="617"/>
      <c r="Y113" s="1090" t="str">
        <f t="shared" si="64"/>
        <v/>
      </c>
      <c r="Z113" s="618" t="str">
        <f t="shared" si="65"/>
        <v/>
      </c>
      <c r="AA113" s="617"/>
      <c r="AB113" s="617"/>
      <c r="AC113" s="617"/>
      <c r="AD113" s="617"/>
      <c r="AE113" s="617"/>
      <c r="AF113" s="617"/>
      <c r="AG113" s="620"/>
      <c r="AH113" s="732"/>
      <c r="AI113" s="733"/>
      <c r="AJ113" s="733"/>
      <c r="AK113" s="733"/>
      <c r="AL113" s="733"/>
      <c r="AM113" s="733"/>
      <c r="AN113" s="733"/>
      <c r="AO113" s="733"/>
      <c r="AP113" s="733"/>
      <c r="AQ113" s="733"/>
      <c r="AR113" s="733"/>
      <c r="AS113" s="733"/>
      <c r="AT113" s="733"/>
      <c r="AU113" s="733"/>
      <c r="AV113" s="733"/>
      <c r="AW113" s="743"/>
      <c r="AX113" s="748">
        <f t="shared" si="66"/>
        <v>0</v>
      </c>
      <c r="AY113" s="739">
        <f t="shared" si="110"/>
        <v>0</v>
      </c>
      <c r="AZ113" s="734">
        <f t="shared" si="111"/>
        <v>0</v>
      </c>
      <c r="BA113" s="735">
        <f t="shared" si="112"/>
        <v>0</v>
      </c>
      <c r="BB113" s="734">
        <f t="shared" si="113"/>
        <v>0</v>
      </c>
      <c r="BC113" s="734">
        <f t="shared" si="67"/>
        <v>0</v>
      </c>
      <c r="BD113" s="734">
        <f t="shared" si="68"/>
        <v>0</v>
      </c>
      <c r="BE113" s="734">
        <f t="shared" si="69"/>
        <v>0</v>
      </c>
      <c r="BF113" s="734">
        <f t="shared" si="70"/>
        <v>0</v>
      </c>
      <c r="BG113" s="734">
        <f t="shared" si="71"/>
        <v>0</v>
      </c>
      <c r="BH113" s="734">
        <f t="shared" si="72"/>
        <v>0</v>
      </c>
      <c r="BI113" s="734">
        <f t="shared" si="73"/>
        <v>0</v>
      </c>
      <c r="BJ113" s="734">
        <f t="shared" si="74"/>
        <v>0</v>
      </c>
      <c r="BK113" s="734">
        <f t="shared" si="75"/>
        <v>0</v>
      </c>
      <c r="BL113" s="734">
        <f t="shared" si="76"/>
        <v>0</v>
      </c>
      <c r="BM113" s="734">
        <f t="shared" si="77"/>
        <v>0</v>
      </c>
      <c r="BN113" s="734">
        <f t="shared" si="78"/>
        <v>0</v>
      </c>
      <c r="BO113" s="734">
        <f t="shared" si="79"/>
        <v>0</v>
      </c>
      <c r="BP113" s="734">
        <f t="shared" si="80"/>
        <v>0</v>
      </c>
      <c r="BQ113" s="734">
        <f t="shared" si="81"/>
        <v>0</v>
      </c>
      <c r="BR113" s="734">
        <f t="shared" si="82"/>
        <v>0</v>
      </c>
      <c r="BS113" s="734">
        <f t="shared" si="83"/>
        <v>0</v>
      </c>
      <c r="BT113" s="734">
        <f t="shared" si="84"/>
        <v>0</v>
      </c>
      <c r="BU113" s="734">
        <f t="shared" si="85"/>
        <v>0</v>
      </c>
      <c r="BV113" s="734">
        <f t="shared" si="86"/>
        <v>0</v>
      </c>
      <c r="BW113" s="734">
        <f t="shared" si="87"/>
        <v>0</v>
      </c>
      <c r="BX113" s="734">
        <f t="shared" si="88"/>
        <v>0</v>
      </c>
      <c r="BY113" s="734">
        <f t="shared" si="89"/>
        <v>0</v>
      </c>
      <c r="BZ113" s="734">
        <f t="shared" si="90"/>
        <v>0</v>
      </c>
      <c r="CA113" s="734">
        <f t="shared" si="91"/>
        <v>0</v>
      </c>
      <c r="CB113" s="734">
        <f t="shared" si="92"/>
        <v>0</v>
      </c>
      <c r="CC113" s="734">
        <f t="shared" si="93"/>
        <v>0</v>
      </c>
      <c r="CD113" s="734">
        <f t="shared" si="94"/>
        <v>0</v>
      </c>
      <c r="CE113" s="734">
        <f t="shared" si="95"/>
        <v>0</v>
      </c>
      <c r="CF113" s="736">
        <f t="shared" si="96"/>
        <v>0</v>
      </c>
      <c r="CG113" s="692" t="str">
        <f t="shared" si="97"/>
        <v/>
      </c>
      <c r="CH113" s="659" t="str">
        <f t="shared" si="98"/>
        <v/>
      </c>
      <c r="CI113" s="659" t="str">
        <f t="shared" si="99"/>
        <v/>
      </c>
      <c r="CJ113" s="659" t="str">
        <f t="shared" si="100"/>
        <v/>
      </c>
      <c r="CK113" s="659" t="str">
        <f t="shared" si="101"/>
        <v/>
      </c>
      <c r="CL113" s="659" t="str">
        <f t="shared" si="102"/>
        <v/>
      </c>
      <c r="CM113" s="82" t="str">
        <f t="shared" si="103"/>
        <v/>
      </c>
      <c r="CN113" s="625" t="str">
        <f t="shared" si="114"/>
        <v/>
      </c>
      <c r="CO113" s="625" t="str">
        <f t="shared" si="109"/>
        <v>0</v>
      </c>
      <c r="CP113" s="620">
        <f t="shared" si="104"/>
        <v>0</v>
      </c>
      <c r="CQ113" s="1051" t="s">
        <v>1</v>
      </c>
      <c r="CR113" s="1080">
        <v>235110</v>
      </c>
      <c r="CS113" s="625">
        <f t="shared" si="105"/>
        <v>0</v>
      </c>
      <c r="CT113" s="625">
        <f t="shared" si="106"/>
        <v>0</v>
      </c>
      <c r="CU113" s="626" t="str">
        <f t="shared" si="107"/>
        <v>00</v>
      </c>
    </row>
    <row r="114" spans="1:99" ht="15" customHeight="1">
      <c r="V114" s="627"/>
      <c r="X114" s="615"/>
      <c r="Y114" s="615"/>
      <c r="Z114" s="628"/>
      <c r="AA114" s="615"/>
      <c r="AB114" s="615"/>
      <c r="AC114" s="615"/>
      <c r="AD114" s="615"/>
      <c r="AE114" s="615"/>
      <c r="AF114" s="615"/>
      <c r="AG114" s="615"/>
      <c r="AH114" s="615"/>
      <c r="AI114" s="615"/>
      <c r="AJ114" s="615"/>
      <c r="AK114" s="615"/>
      <c r="AL114" s="615"/>
      <c r="AM114" s="615"/>
      <c r="AN114" s="615"/>
      <c r="AO114" s="615"/>
      <c r="AP114" s="615"/>
      <c r="AQ114" s="615"/>
      <c r="AR114" s="615"/>
      <c r="AS114" s="615"/>
      <c r="AT114" s="615"/>
      <c r="AU114" s="615"/>
      <c r="AV114" s="615"/>
      <c r="AW114" s="615"/>
      <c r="AX114" s="615"/>
      <c r="AY114" s="686"/>
      <c r="AZ114" s="686"/>
      <c r="BA114" s="686"/>
      <c r="BB114" s="686"/>
      <c r="BC114" s="686"/>
      <c r="BD114" s="686"/>
      <c r="BE114" s="686"/>
      <c r="BF114" s="686"/>
      <c r="BG114" s="686"/>
      <c r="BH114" s="686"/>
      <c r="BI114" s="686"/>
      <c r="BJ114" s="686"/>
      <c r="BK114" s="686"/>
      <c r="BL114" s="686"/>
      <c r="BM114" s="686"/>
      <c r="BN114" s="686"/>
      <c r="BO114" s="686"/>
      <c r="BP114" s="686"/>
      <c r="BQ114" s="686"/>
      <c r="BR114" s="686"/>
      <c r="BS114" s="686"/>
      <c r="BT114" s="686"/>
      <c r="BU114" s="686"/>
      <c r="BV114" s="686"/>
      <c r="BW114" s="686"/>
      <c r="BX114" s="686"/>
      <c r="BY114" s="686"/>
      <c r="BZ114" s="686"/>
      <c r="CA114" s="686"/>
      <c r="CB114" s="686"/>
      <c r="CC114" s="686"/>
      <c r="CD114" s="686"/>
      <c r="CE114" s="686"/>
      <c r="CF114" s="686"/>
      <c r="CG114" s="615"/>
      <c r="CH114" s="659" t="str">
        <f>IF(AJ114="","",LEN(AJ114))</f>
        <v/>
      </c>
      <c r="CI114" s="659" t="str">
        <f>IF(AJ114="","",FIND("　",AJ114,1))</f>
        <v/>
      </c>
      <c r="CJ114" s="659" t="str">
        <f>IF(AJ114="","",CH114-CI114)</f>
        <v/>
      </c>
      <c r="CK114" s="659" t="str">
        <f>IF(AJ114="","",LEFT(AJ114,CI114-1))</f>
        <v/>
      </c>
      <c r="CL114" s="659" t="str">
        <f>IF(AJ114="","",RIGHT(AJ114,CJ114))</f>
        <v/>
      </c>
      <c r="CM114" s="82" t="str">
        <f>IF(AJ114="","",IF(CH114=4,CONCATENATE(CK114,"　","　",CL114),IF(CH114=6,CONCATENATE(CK114,CL114),AJ114)))</f>
        <v/>
      </c>
      <c r="CN114" s="615"/>
      <c r="CQ114" s="1051" t="s">
        <v>84</v>
      </c>
      <c r="CR114" s="1080">
        <v>235111</v>
      </c>
    </row>
    <row r="115" spans="1:99" ht="15" customHeight="1">
      <c r="P115" s="629"/>
      <c r="V115" s="627"/>
      <c r="Z115" s="630"/>
      <c r="CH115" s="659" t="str">
        <f>IF(AJ115="","",LEN(AJ115))</f>
        <v/>
      </c>
      <c r="CI115" s="659" t="str">
        <f>IF(AJ115="","",FIND("　",AJ115,1))</f>
        <v/>
      </c>
      <c r="CJ115" s="659" t="str">
        <f>IF(AJ115="","",CH115-CI115)</f>
        <v/>
      </c>
      <c r="CK115" s="659" t="str">
        <f>IF(AJ115="","",LEFT(AJ115,CI115-1))</f>
        <v/>
      </c>
      <c r="CL115" s="659" t="str">
        <f>IF(AJ115="","",RIGHT(AJ115,CJ115))</f>
        <v/>
      </c>
      <c r="CM115" s="82" t="str">
        <f>IF(AJ115="","",IF(CH115=4,CONCATENATE(CK115,"　","　",CL115),IF(CH115=6,CONCATENATE(CK115,CL115),AJ115)))</f>
        <v/>
      </c>
      <c r="CQ115" s="1050" t="s">
        <v>15</v>
      </c>
      <c r="CR115" s="1080">
        <v>235112</v>
      </c>
    </row>
    <row r="116" spans="1:99" ht="15" customHeight="1">
      <c r="V116" s="627"/>
      <c r="Z116" s="630"/>
      <c r="CH116" s="659" t="str">
        <f>IF(AJ116="","",LEN(AJ116))</f>
        <v/>
      </c>
      <c r="CI116" s="659" t="str">
        <f>IF(AJ116="","",FIND("　",AJ116,1))</f>
        <v/>
      </c>
      <c r="CJ116" s="659" t="str">
        <f>IF(AJ116="","",CH116-CI116)</f>
        <v/>
      </c>
      <c r="CK116" s="659" t="str">
        <f>IF(AJ116="","",LEFT(AJ116,CI116-1))</f>
        <v/>
      </c>
      <c r="CL116" s="659" t="str">
        <f>IF(AJ116="","",RIGHT(AJ116,CJ116))</f>
        <v/>
      </c>
      <c r="CM116" s="82" t="str">
        <f>IF(AJ116="","",IF(CH116=4,CONCATENATE(CK116,"　","　",CL116),IF(CH116=6,CONCATENATE(CK116,CL116),AJ116)))</f>
        <v/>
      </c>
      <c r="CQ116" s="1050" t="s">
        <v>85</v>
      </c>
      <c r="CR116" s="1080">
        <v>235113</v>
      </c>
    </row>
    <row r="117" spans="1:99" ht="15" customHeight="1">
      <c r="V117" s="627"/>
      <c r="Z117" s="630"/>
      <c r="CH117" s="659" t="str">
        <f>IF(AJ117="","",LEN(AJ117))</f>
        <v/>
      </c>
      <c r="CI117" s="659" t="str">
        <f>IF(AJ117="","",FIND("　",AJ117,1))</f>
        <v/>
      </c>
      <c r="CJ117" s="659" t="str">
        <f>IF(AJ117="","",CH117-CI117)</f>
        <v/>
      </c>
      <c r="CK117" s="659" t="str">
        <f>IF(AJ117="","",LEFT(AJ117,CI117-1))</f>
        <v/>
      </c>
      <c r="CL117" s="659" t="str">
        <f>IF(AJ117="","",RIGHT(AJ117,CJ117))</f>
        <v/>
      </c>
      <c r="CM117" s="82" t="str">
        <f>IF(AJ117="","",IF(CH117=4,CONCATENATE(CK117,"　","　",CL117),IF(CH117=6,CONCATENATE(CK117,CL117),AJ117)))</f>
        <v/>
      </c>
      <c r="CQ117" s="1050" t="s">
        <v>186</v>
      </c>
      <c r="CR117" s="1080">
        <v>235114</v>
      </c>
    </row>
    <row r="118" spans="1:99" ht="15" customHeight="1">
      <c r="V118" s="627"/>
      <c r="Z118" s="630"/>
      <c r="CH118" s="659" t="str">
        <f>IF(AJ118="","",LEN(AJ118))</f>
        <v/>
      </c>
      <c r="CI118" s="659" t="str">
        <f>IF(AJ118="","",FIND("　",AJ118,1))</f>
        <v/>
      </c>
      <c r="CJ118" s="659" t="str">
        <f>IF(AJ118="","",CH118-CI118)</f>
        <v/>
      </c>
      <c r="CK118" s="659" t="str">
        <f>IF(AJ118="","",LEFT(AJ118,CI118-1))</f>
        <v/>
      </c>
      <c r="CL118" s="659" t="str">
        <f>IF(AJ118="","",RIGHT(AJ118,CJ118))</f>
        <v/>
      </c>
      <c r="CM118" s="82" t="str">
        <f>IF(AJ118="","",IF(CH118=4,CONCATENATE(CK118,"　","　",CL118),IF(CH118=6,CONCATENATE(CK118,CL118),AJ118)))</f>
        <v/>
      </c>
      <c r="CQ118" s="1050" t="s">
        <v>151</v>
      </c>
      <c r="CR118" s="1080">
        <v>235115</v>
      </c>
    </row>
    <row r="119" spans="1:99" ht="15" customHeight="1">
      <c r="V119" s="627"/>
      <c r="Z119" s="630"/>
      <c r="CQ119" s="1050" t="s">
        <v>86</v>
      </c>
      <c r="CR119" s="1080">
        <v>235116</v>
      </c>
    </row>
    <row r="120" spans="1:99" ht="15" customHeight="1">
      <c r="V120" s="627"/>
      <c r="Z120" s="630"/>
      <c r="CQ120" s="1050" t="s">
        <v>187</v>
      </c>
      <c r="CR120" s="1080">
        <v>235117</v>
      </c>
    </row>
    <row r="121" spans="1:99" ht="15" customHeight="1">
      <c r="V121" s="15"/>
      <c r="Z121" s="630"/>
      <c r="CQ121" s="1050" t="s">
        <v>753</v>
      </c>
      <c r="CR121" s="1080">
        <v>235119</v>
      </c>
    </row>
    <row r="122" spans="1:99" ht="15" customHeight="1">
      <c r="V122" s="15"/>
      <c r="CQ122" s="1050" t="s">
        <v>174</v>
      </c>
      <c r="CR122" s="1080">
        <v>235121</v>
      </c>
    </row>
    <row r="123" spans="1:99" ht="15" customHeight="1">
      <c r="V123" s="15"/>
      <c r="CQ123" s="1050" t="s">
        <v>87</v>
      </c>
      <c r="CR123" s="1080">
        <v>235122</v>
      </c>
    </row>
    <row r="124" spans="1:99" ht="15" customHeight="1">
      <c r="V124" s="15"/>
      <c r="CQ124" s="1050" t="s">
        <v>754</v>
      </c>
      <c r="CR124" s="1080">
        <v>235123</v>
      </c>
    </row>
    <row r="125" spans="1:99" ht="15" customHeight="1">
      <c r="V125" s="15"/>
      <c r="CQ125" s="1050" t="s">
        <v>169</v>
      </c>
      <c r="CR125" s="1080">
        <v>235124</v>
      </c>
    </row>
    <row r="126" spans="1:99" ht="15" customHeight="1">
      <c r="V126" s="15"/>
      <c r="CQ126" s="1050" t="s">
        <v>5</v>
      </c>
      <c r="CR126" s="1080">
        <v>235125</v>
      </c>
    </row>
    <row r="127" spans="1:99" ht="15" customHeight="1">
      <c r="V127" s="15"/>
      <c r="CQ127" s="1050" t="s">
        <v>2</v>
      </c>
      <c r="CR127" s="1080">
        <v>235126</v>
      </c>
    </row>
    <row r="128" spans="1:99" ht="15" customHeight="1">
      <c r="V128" s="15"/>
      <c r="CQ128" s="1050" t="s">
        <v>88</v>
      </c>
      <c r="CR128" s="1080">
        <v>235127</v>
      </c>
    </row>
    <row r="129" spans="22:96" ht="15" customHeight="1">
      <c r="V129" s="15"/>
      <c r="CQ129" s="1050" t="s">
        <v>89</v>
      </c>
      <c r="CR129" s="1080">
        <v>235128</v>
      </c>
    </row>
    <row r="130" spans="22:96" ht="15" customHeight="1">
      <c r="V130" s="15"/>
      <c r="CQ130" s="1050" t="s">
        <v>140</v>
      </c>
      <c r="CR130" s="1080">
        <v>235129</v>
      </c>
    </row>
    <row r="131" spans="22:96" ht="15" customHeight="1">
      <c r="CQ131" s="1050" t="s">
        <v>36</v>
      </c>
      <c r="CR131" s="1080">
        <v>235130</v>
      </c>
    </row>
    <row r="132" spans="22:96" ht="15" customHeight="1">
      <c r="CQ132" s="1050" t="s">
        <v>90</v>
      </c>
      <c r="CR132" s="1080">
        <v>235131</v>
      </c>
    </row>
    <row r="133" spans="22:96" ht="15" customHeight="1">
      <c r="CQ133" s="1050" t="s">
        <v>150</v>
      </c>
      <c r="CR133" s="1080">
        <v>235132</v>
      </c>
    </row>
    <row r="134" spans="22:96" ht="15" customHeight="1">
      <c r="CQ134" s="1050" t="s">
        <v>1067</v>
      </c>
      <c r="CR134" s="1080">
        <v>235133</v>
      </c>
    </row>
    <row r="135" spans="22:96" ht="15" customHeight="1">
      <c r="CQ135" s="1050" t="s">
        <v>1067</v>
      </c>
      <c r="CR135" s="1080">
        <v>235134</v>
      </c>
    </row>
    <row r="136" spans="22:96" ht="15" customHeight="1">
      <c r="CQ136" s="1050" t="s">
        <v>1066</v>
      </c>
      <c r="CR136" s="1080">
        <v>235135</v>
      </c>
    </row>
    <row r="137" spans="22:96" ht="15" customHeight="1">
      <c r="CQ137" s="1050" t="s">
        <v>1067</v>
      </c>
      <c r="CR137" s="1080">
        <v>235136</v>
      </c>
    </row>
    <row r="138" spans="22:96" ht="15" customHeight="1">
      <c r="CQ138" s="1050" t="s">
        <v>0</v>
      </c>
      <c r="CR138" s="1080">
        <v>235137</v>
      </c>
    </row>
    <row r="139" spans="22:96" ht="15" customHeight="1">
      <c r="CQ139" s="1050" t="s">
        <v>149</v>
      </c>
      <c r="CR139" s="1080">
        <v>235138</v>
      </c>
    </row>
    <row r="140" spans="22:96" ht="15" customHeight="1">
      <c r="CQ140" s="1050" t="s">
        <v>93</v>
      </c>
      <c r="CR140" s="1080">
        <v>235139</v>
      </c>
    </row>
    <row r="141" spans="22:96" ht="15" customHeight="1">
      <c r="CQ141" s="1050" t="s">
        <v>144</v>
      </c>
      <c r="CR141" s="1080">
        <v>235140</v>
      </c>
    </row>
    <row r="142" spans="22:96" ht="15" customHeight="1">
      <c r="CQ142" s="1050" t="s">
        <v>94</v>
      </c>
      <c r="CR142" s="1080">
        <v>235141</v>
      </c>
    </row>
    <row r="143" spans="22:96" ht="15" customHeight="1">
      <c r="CQ143" s="1050" t="s">
        <v>292</v>
      </c>
      <c r="CR143" s="1080">
        <v>235142</v>
      </c>
    </row>
    <row r="144" spans="22:96" ht="15" customHeight="1">
      <c r="CQ144" s="1050" t="s">
        <v>755</v>
      </c>
      <c r="CR144" s="1080">
        <v>235143</v>
      </c>
    </row>
    <row r="145" spans="95:96" ht="15" customHeight="1">
      <c r="CQ145" s="1050" t="s">
        <v>293</v>
      </c>
      <c r="CR145" s="1080">
        <v>235144</v>
      </c>
    </row>
    <row r="146" spans="95:96" ht="15" customHeight="1">
      <c r="CQ146" s="1050" t="s">
        <v>95</v>
      </c>
      <c r="CR146" s="1080">
        <v>235146</v>
      </c>
    </row>
    <row r="147" spans="95:96" ht="15" customHeight="1">
      <c r="CQ147" s="1050" t="s">
        <v>96</v>
      </c>
      <c r="CR147" s="1080">
        <v>235147</v>
      </c>
    </row>
    <row r="148" spans="95:96" ht="15" customHeight="1">
      <c r="CQ148" s="1050" t="s">
        <v>1065</v>
      </c>
      <c r="CR148" s="1080">
        <v>235148</v>
      </c>
    </row>
    <row r="149" spans="95:96" ht="15" customHeight="1">
      <c r="CQ149" s="1050" t="s">
        <v>178</v>
      </c>
      <c r="CR149" s="1080">
        <v>235149</v>
      </c>
    </row>
    <row r="150" spans="95:96" ht="15" customHeight="1">
      <c r="CQ150" s="1050" t="s">
        <v>157</v>
      </c>
      <c r="CR150" s="1080">
        <v>235150</v>
      </c>
    </row>
    <row r="151" spans="95:96" ht="15" customHeight="1">
      <c r="CQ151" s="1050" t="s">
        <v>294</v>
      </c>
      <c r="CR151" s="1080">
        <v>235151</v>
      </c>
    </row>
    <row r="152" spans="95:96" ht="15" customHeight="1">
      <c r="CQ152" s="1050" t="s">
        <v>295</v>
      </c>
      <c r="CR152" s="1080">
        <v>235152</v>
      </c>
    </row>
    <row r="153" spans="95:96" ht="15" customHeight="1">
      <c r="CQ153" s="1050" t="s">
        <v>756</v>
      </c>
      <c r="CR153" s="1080">
        <v>235153</v>
      </c>
    </row>
    <row r="154" spans="95:96" ht="15" customHeight="1">
      <c r="CQ154" s="1050" t="s">
        <v>158</v>
      </c>
      <c r="CR154" s="1080">
        <v>235154</v>
      </c>
    </row>
    <row r="155" spans="95:96" ht="15" customHeight="1">
      <c r="CQ155" s="1050" t="s">
        <v>141</v>
      </c>
      <c r="CR155" s="1080">
        <v>235155</v>
      </c>
    </row>
    <row r="156" spans="95:96" ht="15" customHeight="1">
      <c r="CQ156" s="1050" t="s">
        <v>161</v>
      </c>
      <c r="CR156" s="1080">
        <v>235156</v>
      </c>
    </row>
    <row r="157" spans="95:96" ht="15" customHeight="1">
      <c r="CQ157" s="1050" t="s">
        <v>296</v>
      </c>
      <c r="CR157" s="1080">
        <v>235157</v>
      </c>
    </row>
    <row r="158" spans="95:96" ht="15" customHeight="1">
      <c r="CQ158" s="1050" t="s">
        <v>97</v>
      </c>
      <c r="CR158" s="1080">
        <v>235158</v>
      </c>
    </row>
    <row r="159" spans="95:96" ht="15" customHeight="1">
      <c r="CQ159" s="1050" t="s">
        <v>98</v>
      </c>
      <c r="CR159" s="1080">
        <v>235159</v>
      </c>
    </row>
    <row r="160" spans="95:96" ht="15" customHeight="1">
      <c r="CQ160" s="1050" t="s">
        <v>176</v>
      </c>
      <c r="CR160" s="1080">
        <v>235160</v>
      </c>
    </row>
    <row r="161" spans="95:96" ht="15" customHeight="1">
      <c r="CQ161" s="1050" t="s">
        <v>99</v>
      </c>
      <c r="CR161" s="1080">
        <v>235161</v>
      </c>
    </row>
    <row r="162" spans="95:96" ht="15" customHeight="1">
      <c r="CQ162" s="1050" t="s">
        <v>100</v>
      </c>
      <c r="CR162" s="1080">
        <v>235162</v>
      </c>
    </row>
    <row r="163" spans="95:96" ht="15" customHeight="1">
      <c r="CQ163" s="1050" t="s">
        <v>101</v>
      </c>
      <c r="CR163" s="1080">
        <v>235163</v>
      </c>
    </row>
    <row r="164" spans="95:96" ht="15" customHeight="1">
      <c r="CQ164" s="1050" t="s">
        <v>159</v>
      </c>
      <c r="CR164" s="1080">
        <v>235164</v>
      </c>
    </row>
    <row r="165" spans="95:96" ht="15" customHeight="1">
      <c r="CQ165" s="1050" t="s">
        <v>102</v>
      </c>
      <c r="CR165" s="1080">
        <v>235165</v>
      </c>
    </row>
    <row r="166" spans="95:96" ht="15" customHeight="1">
      <c r="CQ166" s="1050" t="s">
        <v>34</v>
      </c>
      <c r="CR166" s="1080">
        <v>235166</v>
      </c>
    </row>
    <row r="167" spans="95:96" ht="15" customHeight="1">
      <c r="CQ167" s="1050" t="s">
        <v>103</v>
      </c>
      <c r="CR167" s="1080">
        <v>235167</v>
      </c>
    </row>
    <row r="168" spans="95:96" ht="15" customHeight="1">
      <c r="CQ168" s="1050" t="s">
        <v>104</v>
      </c>
      <c r="CR168" s="1080">
        <v>235168</v>
      </c>
    </row>
    <row r="169" spans="95:96" ht="15" customHeight="1">
      <c r="CQ169" s="1050" t="s">
        <v>105</v>
      </c>
      <c r="CR169" s="1080">
        <v>235169</v>
      </c>
    </row>
    <row r="170" spans="95:96" ht="15" customHeight="1">
      <c r="CQ170" s="1050" t="s">
        <v>177</v>
      </c>
      <c r="CR170" s="1080">
        <v>235170</v>
      </c>
    </row>
    <row r="171" spans="95:96" ht="15" customHeight="1">
      <c r="CQ171" s="1050" t="s">
        <v>106</v>
      </c>
      <c r="CR171" s="1080">
        <v>235171</v>
      </c>
    </row>
    <row r="172" spans="95:96" ht="15" customHeight="1">
      <c r="CQ172" s="1050" t="s">
        <v>107</v>
      </c>
      <c r="CR172" s="1080">
        <v>235172</v>
      </c>
    </row>
    <row r="173" spans="95:96" ht="15" customHeight="1">
      <c r="CQ173" s="1050" t="s">
        <v>108</v>
      </c>
      <c r="CR173" s="1080">
        <v>235173</v>
      </c>
    </row>
    <row r="174" spans="95:96" ht="15" customHeight="1">
      <c r="CQ174" s="1050" t="s">
        <v>109</v>
      </c>
      <c r="CR174" s="1080">
        <v>235174</v>
      </c>
    </row>
    <row r="175" spans="95:96" ht="15" customHeight="1">
      <c r="CQ175" s="1050" t="s">
        <v>110</v>
      </c>
      <c r="CR175" s="1080">
        <v>235175</v>
      </c>
    </row>
    <row r="176" spans="95:96" ht="15" customHeight="1">
      <c r="CQ176" s="1050" t="s">
        <v>111</v>
      </c>
      <c r="CR176" s="1080">
        <v>235176</v>
      </c>
    </row>
    <row r="177" spans="95:96" ht="15" customHeight="1">
      <c r="CQ177" s="1050" t="s">
        <v>112</v>
      </c>
      <c r="CR177" s="1080">
        <v>235177</v>
      </c>
    </row>
    <row r="178" spans="95:96" ht="15" customHeight="1">
      <c r="CQ178" s="1050" t="s">
        <v>297</v>
      </c>
      <c r="CR178" s="1080">
        <v>235178</v>
      </c>
    </row>
    <row r="179" spans="95:96" ht="15" customHeight="1">
      <c r="CQ179" s="1050" t="s">
        <v>298</v>
      </c>
      <c r="CR179" s="1080">
        <v>235179</v>
      </c>
    </row>
    <row r="180" spans="95:96" ht="15" customHeight="1">
      <c r="CQ180" s="1050" t="s">
        <v>113</v>
      </c>
      <c r="CR180" s="1080">
        <v>235180</v>
      </c>
    </row>
    <row r="181" spans="95:96" ht="15" customHeight="1">
      <c r="CQ181" s="1050" t="s">
        <v>299</v>
      </c>
      <c r="CR181" s="1080">
        <v>235181</v>
      </c>
    </row>
    <row r="182" spans="95:96" ht="15" customHeight="1">
      <c r="CQ182" s="1050" t="s">
        <v>817</v>
      </c>
      <c r="CR182" s="1080">
        <v>230082</v>
      </c>
    </row>
    <row r="183" spans="95:96" ht="15" customHeight="1">
      <c r="CQ183" s="1050" t="s">
        <v>828</v>
      </c>
      <c r="CR183" s="1080">
        <v>239128</v>
      </c>
    </row>
    <row r="184" spans="95:96" ht="15" customHeight="1">
      <c r="CQ184" s="1050" t="s">
        <v>799</v>
      </c>
      <c r="CR184" s="1080">
        <v>230081</v>
      </c>
    </row>
    <row r="185" spans="95:96" ht="15" customHeight="1">
      <c r="CQ185" s="1050" t="s">
        <v>823</v>
      </c>
      <c r="CR185" s="1080">
        <v>239125</v>
      </c>
    </row>
    <row r="186" spans="95:96" ht="15" customHeight="1">
      <c r="CQ186" s="1050" t="s">
        <v>825</v>
      </c>
      <c r="CR186" s="1080">
        <v>230096</v>
      </c>
    </row>
    <row r="187" spans="95:96" ht="15" customHeight="1">
      <c r="CQ187" s="1050" t="s">
        <v>827</v>
      </c>
      <c r="CR187" s="1080">
        <v>239127</v>
      </c>
    </row>
    <row r="188" spans="95:96" ht="15" customHeight="1">
      <c r="CQ188" s="1050" t="s">
        <v>819</v>
      </c>
      <c r="CR188" s="1080">
        <v>230092</v>
      </c>
    </row>
    <row r="189" spans="95:96" ht="15" customHeight="1">
      <c r="CQ189" s="1050" t="s">
        <v>824</v>
      </c>
      <c r="CR189" s="1080">
        <v>239125</v>
      </c>
    </row>
    <row r="190" spans="95:96" ht="15" customHeight="1">
      <c r="CQ190" s="1050" t="s">
        <v>821</v>
      </c>
      <c r="CR190" s="1080">
        <v>230116</v>
      </c>
    </row>
    <row r="191" spans="95:96" ht="15" customHeight="1">
      <c r="CQ191" s="1050" t="s">
        <v>826</v>
      </c>
      <c r="CR191" s="1080">
        <v>230115</v>
      </c>
    </row>
  </sheetData>
  <sheetProtection sheet="1" objects="1" scenarios="1"/>
  <mergeCells count="11">
    <mergeCell ref="AH1:AN1"/>
    <mergeCell ref="R2:T2"/>
    <mergeCell ref="A1:C1"/>
    <mergeCell ref="I1:L1"/>
    <mergeCell ref="D1:E1"/>
    <mergeCell ref="C2:C3"/>
    <mergeCell ref="D2:E2"/>
    <mergeCell ref="F2:F3"/>
    <mergeCell ref="I2:I3"/>
    <mergeCell ref="J2:J3"/>
    <mergeCell ref="K2:M2"/>
  </mergeCells>
  <phoneticPr fontId="4"/>
  <conditionalFormatting sqref="N4:N113">
    <cfRule type="expression" dxfId="641" priority="13" stopIfTrue="1">
      <formula>L4="女"</formula>
    </cfRule>
  </conditionalFormatting>
  <conditionalFormatting sqref="G4:G113">
    <cfRule type="expression" dxfId="640" priority="2" stopIfTrue="1">
      <formula>J4="女"</formula>
    </cfRule>
  </conditionalFormatting>
  <conditionalFormatting sqref="G10 G22 G34 G46 G58 G70 G82 G94 G106">
    <cfRule type="expression" dxfId="639" priority="1" stopIfTrue="1">
      <formula>J10="女"</formula>
    </cfRule>
  </conditionalFormatting>
  <dataValidations xWindow="458" yWindow="200" count="19">
    <dataValidation imeMode="disabled" allowBlank="1" showInputMessage="1" showErrorMessage="1" sqref="X4:AG113 N3:N113 E4:E113 O1:P1 I11:I114 K11:M113 AX4:CF113"/>
    <dataValidation imeMode="disabled" allowBlank="1" showInputMessage="1" showErrorMessage="1" prompt="トラックはドットで、フィールドはmで区切って下さい。" sqref="AH4:AI113 AK4:AW113"/>
    <dataValidation errorStyle="warning" allowBlank="1" showErrorMessage="1" error="所属がない場合は直接入力して下さい_x000a_学校番号はエラーが出ますが無視して下さい" prompt="セレクトより選んで下さい_x000a_後はセルをコピーして下さい" sqref="O5:O113"/>
    <dataValidation imeMode="disabled" allowBlank="1" sqref="R4:U113 P4:P113"/>
    <dataValidation imeMode="hiragana" allowBlank="1" sqref="Q1:Q1048576"/>
    <dataValidation allowBlank="1" showErrorMessage="1" sqref="I115:I65536"/>
    <dataValidation type="list" allowBlank="1" showInputMessage="1" showErrorMessage="1" sqref="O3">
      <formula1>$V$3:$V$104</formula1>
    </dataValidation>
    <dataValidation errorStyle="warning" allowBlank="1" showErrorMessage="1" error="所属がない場合は直接入力して下さい_x000a_学校番号はエラーが出ますが無視して下さい" prompt="セレクトより選んで下さい_x000a_後は選手名を入力すれば記入されます" sqref="O4"/>
    <dataValidation imeMode="hiragana" allowBlank="1" showInputMessage="1" showErrorMessage="1" sqref="F1 J11:J113"/>
    <dataValidation imeMode="disabled" allowBlank="1" showErrorMessage="1" sqref="N1"/>
    <dataValidation imeMode="disabled" allowBlank="1" showInputMessage="1" showErrorMessage="1" prompt="1分**秒で入力して下さい_x000a_54秒00⇒0.54.00_x000a_" sqref="AJ4:AJ113"/>
    <dataValidation imeMode="fullKatakana" allowBlank="1" showInputMessage="1" promptTitle="フリガナ" prompt="全角カタカナで入力して姓と名の間は全角1文字スペースを入力してください_x000a_例：タカハシ　ナオコ" sqref="H4:H113"/>
    <dataValidation imeMode="hiragana" allowBlank="1" sqref="G1"/>
    <dataValidation imeMode="hiragana" allowBlank="1" showInputMessage="1" sqref="D1:E1"/>
    <dataValidation imeMode="disabled" allowBlank="1" showInputMessage="1" sqref="K4:M10"/>
    <dataValidation imeMode="hiragana" allowBlank="1" showInputMessage="1" showErrorMessage="1" promptTitle="氏名の入力" prompt="姓と名の間は全角スペースを入力してください_x000a_例：　高橋　尚子" sqref="G4:G113"/>
    <dataValidation imeMode="off" allowBlank="1" showInputMessage="1" promptTitle="登録月日の入力" prompt="月/日（例：9/30）で入力" sqref="B4:B10"/>
    <dataValidation type="whole" imeMode="disabled" allowBlank="1" showInputMessage="1" showErrorMessage="1" sqref="I4:I10">
      <formula1>1</formula1>
      <formula2>6</formula2>
    </dataValidation>
    <dataValidation allowBlank="1" showInputMessage="1" sqref="I1:L1"/>
  </dataValidations>
  <printOptions horizontalCentered="1"/>
  <pageMargins left="0.78740157480314965" right="0.59055118110236227" top="0.78740157480314965" bottom="0.78740157480314965" header="0.51181102362204722" footer="0.51181102362204722"/>
  <pageSetup paperSize="9" orientation="portrait" horizontalDpi="4294967292"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8" enableFormatConditionsCalculation="0">
    <tabColor indexed="29"/>
    <pageSetUpPr fitToPage="1"/>
  </sheetPr>
  <dimension ref="A1:AZ128"/>
  <sheetViews>
    <sheetView showGridLines="0" showZeros="0" topLeftCell="E1" workbookViewId="0">
      <selection activeCell="N4" sqref="N4"/>
    </sheetView>
  </sheetViews>
  <sheetFormatPr defaultColWidth="8.625" defaultRowHeight="13.5"/>
  <cols>
    <col min="1" max="1" width="9.25" style="885" hidden="1" customWidth="1"/>
    <col min="2" max="2" width="10.25" style="885" hidden="1" customWidth="1"/>
    <col min="3" max="3" width="12.25" style="885" hidden="1" customWidth="1"/>
    <col min="4" max="4" width="9.375" style="885" hidden="1" customWidth="1"/>
    <col min="5" max="5" width="10.25" style="885" bestFit="1" customWidth="1"/>
    <col min="6" max="6" width="14.375" style="885" customWidth="1"/>
    <col min="7" max="7" width="14.375" style="928" customWidth="1"/>
    <col min="8" max="8" width="9" style="137" hidden="1" customWidth="1"/>
    <col min="9" max="9" width="4.75" style="137" customWidth="1"/>
    <col min="10" max="10" width="4.375" style="802" customWidth="1"/>
    <col min="11" max="11" width="5.5" style="802" hidden="1" customWidth="1"/>
    <col min="12" max="12" width="5.375" style="885" hidden="1" customWidth="1"/>
    <col min="13" max="13" width="6.75" style="140" hidden="1" customWidth="1"/>
    <col min="14" max="14" width="10.5" style="138" bestFit="1" customWidth="1"/>
    <col min="15" max="15" width="11.25" style="139" customWidth="1"/>
    <col min="16" max="16" width="6.75" style="140" hidden="1" customWidth="1"/>
    <col min="17" max="17" width="10.25" style="138" customWidth="1"/>
    <col min="18" max="18" width="8.125" style="139" hidden="1" customWidth="1"/>
    <col min="19" max="19" width="7.25" style="140" hidden="1" customWidth="1"/>
    <col min="20" max="20" width="12" style="141" customWidth="1"/>
    <col min="21" max="21" width="7.375" style="139" hidden="1" customWidth="1"/>
    <col min="22" max="22" width="11.625" style="142" customWidth="1"/>
    <col min="23" max="23" width="0.25" style="141" hidden="1" customWidth="1"/>
    <col min="24" max="24" width="3.25" style="139" hidden="1" customWidth="1"/>
    <col min="25" max="25" width="6.75" style="140" hidden="1" customWidth="1"/>
    <col min="26" max="26" width="5" style="141" hidden="1" customWidth="1"/>
    <col min="27" max="27" width="6.75" style="139" hidden="1" customWidth="1"/>
    <col min="28" max="28" width="6.75" style="802" hidden="1" customWidth="1"/>
    <col min="29" max="29" width="5.875" style="802" hidden="1" customWidth="1"/>
    <col min="30" max="30" width="18" style="885" hidden="1" customWidth="1"/>
    <col min="31" max="31" width="8.75" style="143" hidden="1" customWidth="1"/>
    <col min="32" max="32" width="12.5" style="907" hidden="1" customWidth="1"/>
    <col min="33" max="33" width="12" style="907" hidden="1" customWidth="1"/>
    <col min="34" max="34" width="10.875" style="907" hidden="1" customWidth="1"/>
    <col min="35" max="35" width="9.5" style="885" hidden="1" customWidth="1"/>
    <col min="36" max="36" width="11" style="885" hidden="1" customWidth="1"/>
    <col min="37" max="38" width="13.5" style="885" hidden="1" customWidth="1"/>
    <col min="39" max="39" width="10.375" style="885" hidden="1" customWidth="1"/>
    <col min="40" max="40" width="10.5" style="885" hidden="1" customWidth="1"/>
    <col min="41" max="41" width="10.125" style="885" hidden="1" customWidth="1"/>
    <col min="42" max="42" width="11" style="143" customWidth="1"/>
    <col min="43" max="43" width="10.5" style="143" customWidth="1"/>
    <col min="44" max="44" width="7.5" style="885" hidden="1" customWidth="1"/>
    <col min="45" max="45" width="10.625" style="885" hidden="1" customWidth="1"/>
    <col min="46" max="46" width="7.25" style="885" hidden="1" customWidth="1"/>
    <col min="47" max="47" width="7.625" style="885" hidden="1" customWidth="1"/>
    <col min="48" max="48" width="12.75" style="885" hidden="1" customWidth="1"/>
    <col min="49" max="49" width="11.625" style="885" hidden="1" customWidth="1"/>
    <col min="50" max="16384" width="8.625" style="885"/>
  </cols>
  <sheetData>
    <row r="1" spans="1:52" ht="21.75" customHeight="1">
      <c r="B1" s="249"/>
      <c r="C1" s="555"/>
      <c r="D1" s="886"/>
      <c r="E1" s="249" t="s">
        <v>610</v>
      </c>
      <c r="F1" s="251">
        <f>IF(前年度登録!$AD$4="","",前年度登録!$AD$4)</f>
        <v>0</v>
      </c>
      <c r="G1" s="301" t="s">
        <v>444</v>
      </c>
      <c r="H1" s="301"/>
      <c r="I1" s="301"/>
      <c r="J1" s="301"/>
      <c r="K1" s="301"/>
      <c r="L1" s="301"/>
      <c r="M1" s="301"/>
      <c r="N1" s="301"/>
      <c r="O1" s="301"/>
      <c r="P1" s="301"/>
      <c r="Q1" s="301"/>
      <c r="R1" s="301"/>
      <c r="S1" s="302"/>
      <c r="T1" s="303"/>
      <c r="U1" s="304"/>
      <c r="V1" s="305"/>
      <c r="W1" s="303"/>
      <c r="X1" s="304"/>
      <c r="Y1" s="302"/>
      <c r="Z1" s="303"/>
      <c r="AA1" s="304"/>
      <c r="AB1" s="800"/>
      <c r="AC1" s="800"/>
      <c r="AD1" s="886"/>
      <c r="AE1" s="306"/>
      <c r="AF1" s="307"/>
      <c r="AG1" s="307"/>
      <c r="AH1" s="307"/>
      <c r="AI1" s="886"/>
      <c r="AJ1" s="886"/>
      <c r="AK1" s="886"/>
      <c r="AL1" s="886"/>
      <c r="AM1" s="886"/>
      <c r="AN1" s="886"/>
      <c r="AO1" s="886"/>
      <c r="AP1" s="306"/>
      <c r="AQ1" s="306"/>
      <c r="AR1" s="886"/>
      <c r="AS1" s="886"/>
      <c r="AT1" s="886"/>
      <c r="AU1" s="886"/>
      <c r="AV1" s="886"/>
      <c r="AX1" s="886"/>
      <c r="AY1" s="886"/>
      <c r="AZ1" s="886"/>
    </row>
    <row r="2" spans="1:52" ht="34.5" customHeight="1">
      <c r="B2" s="249"/>
      <c r="C2" s="308"/>
      <c r="D2" s="309"/>
      <c r="E2" s="249"/>
      <c r="F2" s="308"/>
      <c r="G2" s="1428" t="s">
        <v>832</v>
      </c>
      <c r="H2" s="1428"/>
      <c r="I2" s="1428"/>
      <c r="J2" s="1428"/>
      <c r="K2" s="1428"/>
      <c r="L2" s="1428"/>
      <c r="M2" s="1428"/>
      <c r="N2" s="1428"/>
      <c r="O2" s="1428"/>
      <c r="P2" s="1428"/>
      <c r="Q2" s="1428"/>
      <c r="R2" s="1428"/>
      <c r="S2" s="312"/>
      <c r="T2" s="313"/>
      <c r="U2" s="310"/>
      <c r="V2" s="1435"/>
      <c r="W2" s="1435"/>
      <c r="X2" s="304"/>
      <c r="Y2" s="302"/>
      <c r="Z2" s="303"/>
      <c r="AA2" s="304"/>
      <c r="AB2" s="800"/>
      <c r="AC2" s="800"/>
      <c r="AD2" s="886"/>
      <c r="AE2" s="306"/>
      <c r="AF2" s="315"/>
      <c r="AG2" s="315"/>
      <c r="AH2" s="315"/>
      <c r="AI2" s="886"/>
      <c r="AJ2" s="1436"/>
      <c r="AK2" s="1436"/>
      <c r="AL2" s="1436"/>
      <c r="AM2" s="1436"/>
      <c r="AN2" s="886"/>
      <c r="AO2" s="886"/>
      <c r="AP2" s="306"/>
      <c r="AQ2" s="306"/>
      <c r="AR2" s="886"/>
      <c r="AS2" s="886"/>
      <c r="AT2" s="886"/>
      <c r="AU2" s="886"/>
      <c r="AV2" s="886"/>
      <c r="AX2" s="886"/>
      <c r="AY2" s="886"/>
      <c r="AZ2" s="886"/>
    </row>
    <row r="3" spans="1:52" ht="34.5" customHeight="1">
      <c r="B3" s="250"/>
      <c r="C3" s="272"/>
      <c r="D3" s="272"/>
      <c r="E3" s="250" t="s">
        <v>1217</v>
      </c>
      <c r="F3" s="272" t="str">
        <f>IF(前年度登録!$S$1="","",前年度登録!$S$1)</f>
        <v/>
      </c>
      <c r="G3" s="329" t="s">
        <v>451</v>
      </c>
      <c r="H3" s="328"/>
      <c r="I3" s="328"/>
      <c r="J3" s="547"/>
      <c r="K3" s="547"/>
      <c r="L3" s="547"/>
      <c r="M3" s="547"/>
      <c r="N3" s="547"/>
      <c r="O3" s="547">
        <f>$AF$118</f>
        <v>0</v>
      </c>
      <c r="P3" s="318"/>
      <c r="Q3" s="311"/>
      <c r="R3" s="311"/>
      <c r="S3" s="319"/>
      <c r="T3" s="320"/>
      <c r="U3" s="318"/>
      <c r="V3" s="314"/>
      <c r="W3" s="314"/>
      <c r="X3" s="321"/>
      <c r="Y3" s="322"/>
      <c r="Z3" s="323"/>
      <c r="AA3" s="321"/>
      <c r="AB3" s="795"/>
      <c r="AC3" s="795"/>
      <c r="AD3" s="887"/>
      <c r="AE3" s="325"/>
      <c r="AF3" s="326"/>
      <c r="AG3" s="326"/>
      <c r="AH3" s="326"/>
      <c r="AI3" s="887"/>
      <c r="AJ3" s="316"/>
      <c r="AK3" s="316"/>
      <c r="AL3" s="316"/>
      <c r="AM3" s="316"/>
      <c r="AN3" s="886"/>
      <c r="AO3" s="886"/>
      <c r="AP3" s="306"/>
      <c r="AQ3" s="306"/>
      <c r="AR3" s="886"/>
      <c r="AS3" s="886"/>
      <c r="AT3" s="886"/>
      <c r="AU3" s="886"/>
      <c r="AV3" s="886"/>
      <c r="AX3" s="886"/>
      <c r="AY3" s="886"/>
      <c r="AZ3" s="886"/>
    </row>
    <row r="4" spans="1:52" ht="34.5" customHeight="1" thickBot="1">
      <c r="B4" s="250"/>
      <c r="C4" s="272"/>
      <c r="D4" s="272"/>
      <c r="E4" s="250" t="s">
        <v>401</v>
      </c>
      <c r="F4" s="272" t="str">
        <f>IF(前年度登録!$X$1="","",前年度登録!$X$1)</f>
        <v/>
      </c>
      <c r="G4" s="329" t="s">
        <v>419</v>
      </c>
      <c r="H4" s="328"/>
      <c r="I4" s="329"/>
      <c r="J4" s="766"/>
      <c r="K4" s="766"/>
      <c r="L4" s="766"/>
      <c r="M4" s="766"/>
      <c r="N4" s="766"/>
      <c r="O4" s="766">
        <f>$AF$118*1000+O5*800</f>
        <v>0</v>
      </c>
      <c r="P4" s="318"/>
      <c r="Q4" s="311"/>
      <c r="R4" s="311"/>
      <c r="S4" s="319"/>
      <c r="T4" s="320"/>
      <c r="U4" s="318"/>
      <c r="V4" s="314"/>
      <c r="W4" s="314"/>
      <c r="X4" s="321"/>
      <c r="Y4" s="322"/>
      <c r="Z4" s="323"/>
      <c r="AA4" s="321"/>
      <c r="AB4" s="795"/>
      <c r="AC4" s="795"/>
      <c r="AD4" s="887"/>
      <c r="AE4" s="325"/>
      <c r="AF4" s="326"/>
      <c r="AG4" s="326"/>
      <c r="AH4" s="326"/>
      <c r="AI4" s="887"/>
      <c r="AJ4" s="316"/>
      <c r="AK4" s="316"/>
      <c r="AL4" s="316"/>
      <c r="AM4" s="316"/>
      <c r="AN4" s="886"/>
      <c r="AO4" s="886"/>
      <c r="AP4" s="306"/>
      <c r="AQ4" s="306"/>
      <c r="AR4" s="886"/>
      <c r="AS4" s="886"/>
      <c r="AT4" s="886"/>
      <c r="AU4" s="886"/>
      <c r="AV4" s="886"/>
      <c r="AX4" s="886"/>
      <c r="AY4" s="886"/>
      <c r="AZ4" s="886"/>
    </row>
    <row r="5" spans="1:52" ht="34.5" customHeight="1" thickBot="1">
      <c r="B5" s="330"/>
      <c r="C5" s="309"/>
      <c r="D5" s="309"/>
      <c r="E5" s="309"/>
      <c r="F5" s="309"/>
      <c r="G5" s="1210" t="s">
        <v>849</v>
      </c>
      <c r="H5" s="1209"/>
      <c r="I5" s="1209"/>
      <c r="J5" s="1209"/>
      <c r="K5" s="1209"/>
      <c r="L5" s="1209"/>
      <c r="M5" s="1209"/>
      <c r="N5" s="1209"/>
      <c r="O5" s="1212"/>
      <c r="P5" s="1211"/>
      <c r="Q5" s="1211" t="s">
        <v>850</v>
      </c>
      <c r="R5" s="311"/>
      <c r="S5" s="319"/>
      <c r="T5" s="320"/>
      <c r="U5" s="318"/>
      <c r="V5" s="314"/>
      <c r="W5" s="314"/>
      <c r="X5" s="321"/>
      <c r="Y5" s="322"/>
      <c r="Z5" s="323"/>
      <c r="AA5" s="321"/>
      <c r="AB5" s="795"/>
      <c r="AC5" s="795"/>
      <c r="AD5" s="887"/>
      <c r="AE5" s="325"/>
      <c r="AF5" s="326"/>
      <c r="AG5" s="326"/>
      <c r="AH5" s="326"/>
      <c r="AI5" s="887"/>
      <c r="AJ5" s="316"/>
      <c r="AK5" s="316"/>
      <c r="AL5" s="316"/>
      <c r="AM5" s="316"/>
      <c r="AN5" s="886"/>
      <c r="AO5" s="886"/>
      <c r="AP5" s="306"/>
      <c r="AQ5" s="306"/>
      <c r="AR5" s="886"/>
      <c r="AS5" s="886"/>
      <c r="AT5" s="886"/>
      <c r="AU5" s="886"/>
      <c r="AV5" s="886"/>
      <c r="AX5" s="886"/>
      <c r="AY5" s="886"/>
      <c r="AZ5" s="886"/>
    </row>
    <row r="6" spans="1:52" s="888" customFormat="1" ht="12.75" thickBot="1">
      <c r="A6" s="888" t="s">
        <v>25</v>
      </c>
      <c r="B6" s="889" t="s">
        <v>16</v>
      </c>
      <c r="C6" s="888" t="s">
        <v>739</v>
      </c>
      <c r="D6" s="888" t="s">
        <v>778</v>
      </c>
      <c r="E6" s="890" t="s">
        <v>21</v>
      </c>
      <c r="F6" s="891" t="s">
        <v>429</v>
      </c>
      <c r="G6" s="889" t="s">
        <v>18</v>
      </c>
      <c r="H6" s="889" t="s">
        <v>26</v>
      </c>
      <c r="I6" s="889" t="s">
        <v>19</v>
      </c>
      <c r="J6" s="891" t="s">
        <v>17</v>
      </c>
      <c r="K6" s="1241" t="s">
        <v>740</v>
      </c>
      <c r="L6" s="1241" t="s">
        <v>779</v>
      </c>
      <c r="M6" s="892" t="s">
        <v>430</v>
      </c>
      <c r="N6" s="1081" t="s">
        <v>1060</v>
      </c>
      <c r="O6" s="893" t="s">
        <v>420</v>
      </c>
      <c r="P6" s="889" t="s">
        <v>780</v>
      </c>
      <c r="Q6" s="894" t="s">
        <v>781</v>
      </c>
      <c r="R6" s="895"/>
      <c r="S6" s="895"/>
      <c r="T6" s="893" t="s">
        <v>421</v>
      </c>
      <c r="U6" s="889" t="s">
        <v>780</v>
      </c>
      <c r="V6" s="896" t="s">
        <v>781</v>
      </c>
      <c r="W6" s="895"/>
      <c r="X6" s="895"/>
      <c r="Y6" s="897" t="s">
        <v>213</v>
      </c>
      <c r="Z6" s="898"/>
      <c r="AA6" s="899" t="s">
        <v>782</v>
      </c>
      <c r="AB6" s="900" t="s">
        <v>783</v>
      </c>
      <c r="AC6" s="901" t="s">
        <v>780</v>
      </c>
      <c r="AD6" s="902" t="s">
        <v>781</v>
      </c>
      <c r="AE6" s="903" t="s">
        <v>784</v>
      </c>
      <c r="AF6" s="904" t="s">
        <v>780</v>
      </c>
      <c r="AG6" s="902" t="s">
        <v>785</v>
      </c>
      <c r="AH6" s="905"/>
      <c r="AI6" s="905"/>
      <c r="AK6" s="1082">
        <v>100</v>
      </c>
      <c r="AL6" s="1083"/>
      <c r="AM6" s="1084"/>
      <c r="AN6" s="1084"/>
      <c r="AP6" s="1433" t="s">
        <v>638</v>
      </c>
      <c r="AQ6" s="1434"/>
      <c r="AR6" s="1085"/>
      <c r="AS6" s="1085"/>
      <c r="AV6" s="1086">
        <v>100</v>
      </c>
      <c r="AW6" s="1086">
        <v>100</v>
      </c>
      <c r="AX6" s="908"/>
      <c r="AY6" s="908"/>
      <c r="AZ6" s="908"/>
    </row>
    <row r="7" spans="1:52" ht="14.25" thickBot="1">
      <c r="B7" s="909" t="e">
        <f>前年度登録!AE4</f>
        <v>#N/A</v>
      </c>
      <c r="E7" s="910">
        <f>前年度登録!T4</f>
        <v>0</v>
      </c>
      <c r="F7" s="660" t="str">
        <f>前年度登録!DB4</f>
        <v/>
      </c>
      <c r="G7" s="1130" t="str">
        <f>前年度登録!AO4</f>
        <v/>
      </c>
      <c r="H7" s="660" t="str">
        <f>前年度登録!DB4</f>
        <v/>
      </c>
      <c r="I7" s="152" t="str">
        <f>前年度登録!AN4</f>
        <v/>
      </c>
      <c r="J7" s="1087" t="str">
        <f>前年度登録!DC4</f>
        <v/>
      </c>
      <c r="K7" s="1030">
        <f>前年度登録!DE4</f>
        <v>0</v>
      </c>
      <c r="L7" s="1031" t="str">
        <f>前年度登録!DJ4</f>
        <v>00</v>
      </c>
      <c r="M7" s="909" t="e">
        <f>前年度登録!AF4</f>
        <v>#N/A</v>
      </c>
      <c r="N7" s="1239">
        <f>前年度登録!S4</f>
        <v>0</v>
      </c>
      <c r="O7" s="336"/>
      <c r="P7" s="287" t="str">
        <f>IF(O7="","",IF(I7=1,VLOOKUP(O7,$AP$8:$AR$32,3,FALSE),IF(I7=2,VLOOKUP(O7,$AP$35:$AR$52,3,FALSE))))</f>
        <v/>
      </c>
      <c r="Q7" s="1281" t="str">
        <f>IF(O7="","",HLOOKUP(O7,前年度登録!$AW$3:$CW$118,2,FALSE))</f>
        <v/>
      </c>
      <c r="R7" s="1281" t="str">
        <f>IF(O7="","",0)</f>
        <v/>
      </c>
      <c r="S7" s="1281" t="str">
        <f>IF(O7="","",2)</f>
        <v/>
      </c>
      <c r="T7" s="367"/>
      <c r="U7" s="287" t="str">
        <f>IF(T7="","",IF(I7=1,VLOOKUP(T7,$AP$8:$AR$32,3,FALSE),IF(I7=2,VLOOKUP(T7,$AP$35:$AR$52,3,FALSE))))</f>
        <v/>
      </c>
      <c r="V7" s="671" t="str">
        <f>IF(T7="","",HLOOKUP(T7,前年度登録!$AW$3:$CW$118,2,FALSE))</f>
        <v/>
      </c>
      <c r="W7" s="768" t="str">
        <f>IF(T7="","",0)</f>
        <v/>
      </c>
      <c r="X7" s="772" t="str">
        <f>IF(T7="","",2)</f>
        <v/>
      </c>
      <c r="Y7" s="155"/>
      <c r="Z7" s="156"/>
      <c r="AA7" s="153"/>
      <c r="AB7" s="157"/>
      <c r="AC7" s="158"/>
      <c r="AD7" s="159"/>
      <c r="AE7" s="160"/>
      <c r="AF7" s="161"/>
      <c r="AG7" s="154"/>
      <c r="AH7" s="802"/>
      <c r="AI7" s="802"/>
      <c r="AK7" s="906">
        <v>200</v>
      </c>
      <c r="AL7" s="907" t="str">
        <f t="shared" ref="AL7:AL38" si="0">IF(O7="","",1)</f>
        <v/>
      </c>
      <c r="AM7" s="859">
        <f t="shared" ref="AM7:AM38" si="1">IF(OR(AL7=1,T7=""),0,1)</f>
        <v>0</v>
      </c>
      <c r="AN7" s="859"/>
      <c r="AP7" s="1429" t="s">
        <v>273</v>
      </c>
      <c r="AQ7" s="1430"/>
      <c r="AT7" s="859"/>
      <c r="AV7" s="1058">
        <v>200</v>
      </c>
      <c r="AW7" s="1058">
        <v>200</v>
      </c>
      <c r="AX7" s="886"/>
      <c r="AY7" s="886"/>
      <c r="AZ7" s="886"/>
    </row>
    <row r="8" spans="1:52">
      <c r="B8" s="911" t="str">
        <f>前年度登録!AE5</f>
        <v/>
      </c>
      <c r="E8" s="912">
        <f>前年度登録!T5</f>
        <v>0</v>
      </c>
      <c r="F8" s="661" t="str">
        <f>前年度登録!DB5</f>
        <v/>
      </c>
      <c r="G8" s="1131" t="str">
        <f>前年度登録!AO5</f>
        <v/>
      </c>
      <c r="H8" s="661" t="str">
        <f>前年度登録!DB5</f>
        <v/>
      </c>
      <c r="I8" s="187" t="str">
        <f>前年度登録!AN5</f>
        <v/>
      </c>
      <c r="J8" s="1088" t="str">
        <f>前年度登録!DC5</f>
        <v/>
      </c>
      <c r="K8" s="1032">
        <f>前年度登録!DE5</f>
        <v>0</v>
      </c>
      <c r="L8" s="1033" t="str">
        <f>前年度登録!DJ5</f>
        <v>00</v>
      </c>
      <c r="M8" s="911" t="str">
        <f>前年度登録!AF5</f>
        <v/>
      </c>
      <c r="N8" s="1240">
        <f>前年度登録!S5</f>
        <v>0</v>
      </c>
      <c r="O8" s="338"/>
      <c r="P8" s="292" t="str">
        <f t="shared" ref="P8:P71" si="2">IF(O8="","",IF(I8=1,VLOOKUP(O8,$AP$8:$AR$32,3,FALSE),IF(I8=2,VLOOKUP(O8,$AP$35:$AR$52,3,FALSE))))</f>
        <v/>
      </c>
      <c r="Q8" s="1282" t="str">
        <f>IF(O8="","",HLOOKUP(O8,前年度登録!$AW$3:$CW$118,3,FALSE))</f>
        <v/>
      </c>
      <c r="R8" s="1282" t="str">
        <f t="shared" ref="R8:R71" si="3">IF(O8="","",0)</f>
        <v/>
      </c>
      <c r="S8" s="1282" t="str">
        <f t="shared" ref="S8:S71" si="4">IF(O8="","",2)</f>
        <v/>
      </c>
      <c r="T8" s="368"/>
      <c r="U8" s="292" t="str">
        <f t="shared" ref="U8:U71" si="5">IF(T8="","",IF(I8=1,VLOOKUP(T8,$AP$8:$AR$32,3,FALSE),IF(I8=2,VLOOKUP(T8,$AP$35:$AR$52,3,FALSE))))</f>
        <v/>
      </c>
      <c r="V8" s="669" t="str">
        <f>IF(T8="","",HLOOKUP(T8,前年度登録!$AW$3:$CW$118,3,FALSE))</f>
        <v/>
      </c>
      <c r="W8" s="769" t="str">
        <f t="shared" ref="W8:W71" si="6">IF(T8="","",0)</f>
        <v/>
      </c>
      <c r="X8" s="774" t="str">
        <f t="shared" ref="X8:X71" si="7">IF(T8="","",2)</f>
        <v/>
      </c>
      <c r="Y8" s="160"/>
      <c r="Z8" s="165"/>
      <c r="AA8" s="163"/>
      <c r="AB8" s="166"/>
      <c r="AC8" s="167"/>
      <c r="AD8" s="159"/>
      <c r="AE8" s="160"/>
      <c r="AF8" s="161"/>
      <c r="AG8" s="164"/>
      <c r="AH8" s="802"/>
      <c r="AI8" s="802"/>
      <c r="AK8" s="906">
        <v>400</v>
      </c>
      <c r="AL8" s="907" t="str">
        <f t="shared" si="0"/>
        <v/>
      </c>
      <c r="AM8" s="859">
        <f t="shared" si="1"/>
        <v>0</v>
      </c>
      <c r="AN8" s="859">
        <f t="shared" ref="AN8:AN38" si="8">IF(OR(AL8=1,AM8=1,AB8=""),0,1)</f>
        <v>0</v>
      </c>
      <c r="AP8" s="1277" t="s">
        <v>1071</v>
      </c>
      <c r="AQ8" s="195">
        <f>COUNTIF($P$7:$P$116,1)+COUNTIF($U$7:$U$116,1)</f>
        <v>0</v>
      </c>
      <c r="AR8" s="1115">
        <v>1</v>
      </c>
      <c r="AT8" s="859"/>
      <c r="AU8" s="859"/>
      <c r="AV8" s="1058">
        <v>400</v>
      </c>
      <c r="AW8" s="1058">
        <v>400</v>
      </c>
      <c r="AX8" s="886"/>
      <c r="AY8" s="886"/>
      <c r="AZ8" s="886"/>
    </row>
    <row r="9" spans="1:52" ht="13.5" customHeight="1">
      <c r="B9" s="911" t="str">
        <f>前年度登録!AE6</f>
        <v/>
      </c>
      <c r="E9" s="912">
        <f>前年度登録!T6</f>
        <v>0</v>
      </c>
      <c r="F9" s="661" t="str">
        <f>前年度登録!DB6</f>
        <v/>
      </c>
      <c r="G9" s="1131" t="str">
        <f>前年度登録!AO6</f>
        <v/>
      </c>
      <c r="H9" s="661" t="str">
        <f>前年度登録!DB6</f>
        <v/>
      </c>
      <c r="I9" s="187" t="str">
        <f>前年度登録!AN6</f>
        <v/>
      </c>
      <c r="J9" s="1088" t="str">
        <f>前年度登録!DC6</f>
        <v/>
      </c>
      <c r="K9" s="1032">
        <f>前年度登録!DE6</f>
        <v>0</v>
      </c>
      <c r="L9" s="1033" t="str">
        <f>前年度登録!DJ6</f>
        <v>00</v>
      </c>
      <c r="M9" s="911" t="str">
        <f>前年度登録!AF6</f>
        <v/>
      </c>
      <c r="N9" s="1240">
        <f>前年度登録!S6</f>
        <v>0</v>
      </c>
      <c r="O9" s="338"/>
      <c r="P9" s="292" t="str">
        <f t="shared" si="2"/>
        <v/>
      </c>
      <c r="Q9" s="1282" t="str">
        <f>IF(O9="","",HLOOKUP(O9,前年度登録!$AW$3:$CW$118,4,FALSE))</f>
        <v/>
      </c>
      <c r="R9" s="1282" t="str">
        <f t="shared" si="3"/>
        <v/>
      </c>
      <c r="S9" s="1282" t="str">
        <f t="shared" si="4"/>
        <v/>
      </c>
      <c r="T9" s="368"/>
      <c r="U9" s="292" t="str">
        <f t="shared" si="5"/>
        <v/>
      </c>
      <c r="V9" s="669" t="str">
        <f>IF(T9="","",HLOOKUP(T9,前年度登録!$AW$3:$CW$118,4,FALSE))</f>
        <v/>
      </c>
      <c r="W9" s="769" t="str">
        <f t="shared" si="6"/>
        <v/>
      </c>
      <c r="X9" s="774" t="str">
        <f t="shared" si="7"/>
        <v/>
      </c>
      <c r="Y9" s="160"/>
      <c r="Z9" s="165"/>
      <c r="AA9" s="163"/>
      <c r="AB9" s="166"/>
      <c r="AC9" s="167"/>
      <c r="AD9" s="159"/>
      <c r="AE9" s="160"/>
      <c r="AF9" s="161"/>
      <c r="AG9" s="164"/>
      <c r="AH9" s="802"/>
      <c r="AI9" s="802"/>
      <c r="AK9" s="906">
        <v>800</v>
      </c>
      <c r="AL9" s="907" t="str">
        <f t="shared" si="0"/>
        <v/>
      </c>
      <c r="AM9" s="859">
        <f t="shared" si="1"/>
        <v>0</v>
      </c>
      <c r="AN9" s="859">
        <f t="shared" si="8"/>
        <v>0</v>
      </c>
      <c r="AP9" s="1278" t="s">
        <v>1072</v>
      </c>
      <c r="AQ9" s="196">
        <f>COUNTIF($P$7:$P$116,2)+COUNTIF($U$7:$U$116,2)</f>
        <v>0</v>
      </c>
      <c r="AR9" s="1115">
        <v>2</v>
      </c>
      <c r="AT9" s="859"/>
      <c r="AV9" s="1058">
        <v>800</v>
      </c>
      <c r="AW9" s="1058">
        <v>800</v>
      </c>
      <c r="AX9" s="886"/>
      <c r="AY9" s="886"/>
      <c r="AZ9" s="886"/>
    </row>
    <row r="10" spans="1:52">
      <c r="B10" s="911" t="str">
        <f>前年度登録!AE7</f>
        <v/>
      </c>
      <c r="E10" s="912">
        <f>前年度登録!T7</f>
        <v>0</v>
      </c>
      <c r="F10" s="661" t="str">
        <f>前年度登録!DB7</f>
        <v/>
      </c>
      <c r="G10" s="1131" t="str">
        <f>前年度登録!AO7</f>
        <v/>
      </c>
      <c r="H10" s="661" t="str">
        <f>前年度登録!DB7</f>
        <v/>
      </c>
      <c r="I10" s="187" t="str">
        <f>前年度登録!AN7</f>
        <v/>
      </c>
      <c r="J10" s="1088" t="str">
        <f>前年度登録!DC7</f>
        <v/>
      </c>
      <c r="K10" s="1032">
        <f>前年度登録!DE7</f>
        <v>0</v>
      </c>
      <c r="L10" s="1033" t="str">
        <f>前年度登録!DJ7</f>
        <v>00</v>
      </c>
      <c r="M10" s="911" t="str">
        <f>前年度登録!AF7</f>
        <v/>
      </c>
      <c r="N10" s="1240">
        <f>前年度登録!S7</f>
        <v>0</v>
      </c>
      <c r="O10" s="338"/>
      <c r="P10" s="292" t="str">
        <f t="shared" si="2"/>
        <v/>
      </c>
      <c r="Q10" s="1282" t="str">
        <f>IF(O10="","",HLOOKUP(O10,前年度登録!$AW$3:$CW$118,5,FALSE))</f>
        <v/>
      </c>
      <c r="R10" s="1282" t="str">
        <f t="shared" si="3"/>
        <v/>
      </c>
      <c r="S10" s="1282" t="str">
        <f t="shared" si="4"/>
        <v/>
      </c>
      <c r="T10" s="368"/>
      <c r="U10" s="292" t="str">
        <f t="shared" si="5"/>
        <v/>
      </c>
      <c r="V10" s="669" t="str">
        <f>IF(T10="","",HLOOKUP(T10,前年度登録!$AW$3:$CW$118,5,FALSE))</f>
        <v/>
      </c>
      <c r="W10" s="769" t="str">
        <f t="shared" si="6"/>
        <v/>
      </c>
      <c r="X10" s="774" t="str">
        <f t="shared" si="7"/>
        <v/>
      </c>
      <c r="Y10" s="160"/>
      <c r="Z10" s="165"/>
      <c r="AA10" s="163"/>
      <c r="AB10" s="166"/>
      <c r="AC10" s="167"/>
      <c r="AD10" s="159"/>
      <c r="AE10" s="160"/>
      <c r="AF10" s="161"/>
      <c r="AG10" s="164"/>
      <c r="AH10" s="802"/>
      <c r="AI10" s="802"/>
      <c r="AK10" s="906">
        <v>1500</v>
      </c>
      <c r="AL10" s="907" t="str">
        <f t="shared" si="0"/>
        <v/>
      </c>
      <c r="AM10" s="859">
        <f t="shared" si="1"/>
        <v>0</v>
      </c>
      <c r="AN10" s="859">
        <f t="shared" si="8"/>
        <v>0</v>
      </c>
      <c r="AP10" s="1278" t="s">
        <v>1073</v>
      </c>
      <c r="AQ10" s="196">
        <f>COUNTIF($P$7:$P$116,3)+COUNTIF($U$7:$U$116,3)</f>
        <v>0</v>
      </c>
      <c r="AR10" s="1115">
        <v>3</v>
      </c>
      <c r="AT10" s="859"/>
      <c r="AV10" s="1058">
        <v>1500</v>
      </c>
      <c r="AW10" s="1058">
        <v>1500</v>
      </c>
      <c r="AX10" s="886"/>
      <c r="AY10" s="886"/>
      <c r="AZ10" s="886"/>
    </row>
    <row r="11" spans="1:52">
      <c r="B11" s="911" t="str">
        <f>前年度登録!AE8</f>
        <v/>
      </c>
      <c r="E11" s="912">
        <f>前年度登録!T8</f>
        <v>0</v>
      </c>
      <c r="F11" s="661" t="str">
        <f>前年度登録!DB8</f>
        <v/>
      </c>
      <c r="G11" s="1131" t="str">
        <f>前年度登録!AO8</f>
        <v/>
      </c>
      <c r="H11" s="661" t="str">
        <f>前年度登録!DB8</f>
        <v/>
      </c>
      <c r="I11" s="187" t="str">
        <f>前年度登録!AN8</f>
        <v/>
      </c>
      <c r="J11" s="1088" t="str">
        <f>前年度登録!DC8</f>
        <v/>
      </c>
      <c r="K11" s="1032">
        <f>前年度登録!DE8</f>
        <v>0</v>
      </c>
      <c r="L11" s="1033" t="str">
        <f>前年度登録!DJ8</f>
        <v>00</v>
      </c>
      <c r="M11" s="911" t="str">
        <f>前年度登録!AF8</f>
        <v/>
      </c>
      <c r="N11" s="1240">
        <f>前年度登録!S8</f>
        <v>0</v>
      </c>
      <c r="O11" s="338"/>
      <c r="P11" s="292" t="str">
        <f t="shared" si="2"/>
        <v/>
      </c>
      <c r="Q11" s="1282" t="str">
        <f>IF(O11="","",HLOOKUP(O11,前年度登録!$AW$3:$CW$118,6,FALSE))</f>
        <v/>
      </c>
      <c r="R11" s="1282" t="str">
        <f t="shared" si="3"/>
        <v/>
      </c>
      <c r="S11" s="1282" t="str">
        <f t="shared" si="4"/>
        <v/>
      </c>
      <c r="T11" s="368"/>
      <c r="U11" s="292" t="str">
        <f t="shared" si="5"/>
        <v/>
      </c>
      <c r="V11" s="669" t="str">
        <f>IF(T11="","",HLOOKUP(T11,前年度登録!$AW$3:$CW$118,6,FALSE))</f>
        <v/>
      </c>
      <c r="W11" s="769" t="str">
        <f t="shared" si="6"/>
        <v/>
      </c>
      <c r="X11" s="774" t="str">
        <f t="shared" si="7"/>
        <v/>
      </c>
      <c r="Y11" s="160"/>
      <c r="Z11" s="165"/>
      <c r="AA11" s="163"/>
      <c r="AB11" s="166"/>
      <c r="AC11" s="167"/>
      <c r="AD11" s="159"/>
      <c r="AE11" s="160"/>
      <c r="AF11" s="161"/>
      <c r="AG11" s="164"/>
      <c r="AH11" s="802"/>
      <c r="AI11" s="802"/>
      <c r="AK11" s="906">
        <v>5000</v>
      </c>
      <c r="AL11" s="907" t="str">
        <f t="shared" si="0"/>
        <v/>
      </c>
      <c r="AM11" s="859">
        <f t="shared" si="1"/>
        <v>0</v>
      </c>
      <c r="AN11" s="859">
        <f t="shared" si="8"/>
        <v>0</v>
      </c>
      <c r="AP11" s="1278" t="s">
        <v>1074</v>
      </c>
      <c r="AQ11" s="196">
        <f>COUNTIF($P$7:$P$116,4)+COUNTIF($U$7:$U$116,4)</f>
        <v>0</v>
      </c>
      <c r="AR11" s="252">
        <v>4</v>
      </c>
      <c r="AS11" s="913"/>
      <c r="AV11" s="1058">
        <v>5000</v>
      </c>
      <c r="AW11" s="1058">
        <v>5000</v>
      </c>
      <c r="AX11" s="886"/>
      <c r="AY11" s="886"/>
      <c r="AZ11" s="886"/>
    </row>
    <row r="12" spans="1:52">
      <c r="B12" s="911" t="str">
        <f>前年度登録!AE9</f>
        <v/>
      </c>
      <c r="E12" s="912">
        <f>前年度登録!T9</f>
        <v>0</v>
      </c>
      <c r="F12" s="661" t="str">
        <f>前年度登録!DB9</f>
        <v/>
      </c>
      <c r="G12" s="1131" t="str">
        <f>前年度登録!AO9</f>
        <v/>
      </c>
      <c r="H12" s="661" t="str">
        <f>前年度登録!DB9</f>
        <v/>
      </c>
      <c r="I12" s="187" t="str">
        <f>前年度登録!AN9</f>
        <v/>
      </c>
      <c r="J12" s="1088" t="str">
        <f>前年度登録!DC9</f>
        <v/>
      </c>
      <c r="K12" s="1032">
        <f>前年度登録!DE9</f>
        <v>0</v>
      </c>
      <c r="L12" s="1033" t="str">
        <f>前年度登録!DJ9</f>
        <v>00</v>
      </c>
      <c r="M12" s="911" t="str">
        <f>前年度登録!AF9</f>
        <v/>
      </c>
      <c r="N12" s="1240">
        <f>前年度登録!S9</f>
        <v>0</v>
      </c>
      <c r="O12" s="338"/>
      <c r="P12" s="292" t="str">
        <f t="shared" si="2"/>
        <v/>
      </c>
      <c r="Q12" s="1282" t="str">
        <f>IF(O12="","",HLOOKUP(O12,前年度登録!$AW$3:$CW$118,7,FALSE))</f>
        <v/>
      </c>
      <c r="R12" s="1282" t="str">
        <f t="shared" si="3"/>
        <v/>
      </c>
      <c r="S12" s="1282" t="str">
        <f t="shared" si="4"/>
        <v/>
      </c>
      <c r="T12" s="368"/>
      <c r="U12" s="292" t="str">
        <f t="shared" si="5"/>
        <v/>
      </c>
      <c r="V12" s="669" t="str">
        <f>IF(T12="","",HLOOKUP(T12,前年度登録!$AW$3:$CW$118,7,FALSE))</f>
        <v/>
      </c>
      <c r="W12" s="769" t="str">
        <f t="shared" si="6"/>
        <v/>
      </c>
      <c r="X12" s="774" t="str">
        <f t="shared" si="7"/>
        <v/>
      </c>
      <c r="Y12" s="160"/>
      <c r="Z12" s="165"/>
      <c r="AA12" s="163"/>
      <c r="AB12" s="166"/>
      <c r="AC12" s="167"/>
      <c r="AD12" s="159"/>
      <c r="AE12" s="160"/>
      <c r="AF12" s="161"/>
      <c r="AG12" s="164"/>
      <c r="AH12" s="802"/>
      <c r="AI12" s="802"/>
      <c r="AK12" s="906">
        <v>10000</v>
      </c>
      <c r="AL12" s="907" t="str">
        <f t="shared" si="0"/>
        <v/>
      </c>
      <c r="AM12" s="859">
        <f t="shared" si="1"/>
        <v>0</v>
      </c>
      <c r="AN12" s="859">
        <f t="shared" si="8"/>
        <v>0</v>
      </c>
      <c r="AP12" s="1278" t="s">
        <v>1075</v>
      </c>
      <c r="AQ12" s="196">
        <f>COUNTIF($P$7:$P$116,5)+COUNTIF($U$7:$U$116,5)</f>
        <v>0</v>
      </c>
      <c r="AR12" s="252">
        <v>5</v>
      </c>
      <c r="AS12" s="913"/>
      <c r="AV12" s="1058">
        <v>10000</v>
      </c>
      <c r="AW12" s="1058">
        <v>10000</v>
      </c>
      <c r="AX12" s="886"/>
      <c r="AY12" s="886"/>
      <c r="AZ12" s="886"/>
    </row>
    <row r="13" spans="1:52">
      <c r="B13" s="911" t="str">
        <f>前年度登録!AE10</f>
        <v/>
      </c>
      <c r="E13" s="912">
        <f>前年度登録!T10</f>
        <v>0</v>
      </c>
      <c r="F13" s="661" t="str">
        <f>前年度登録!DB10</f>
        <v/>
      </c>
      <c r="G13" s="1131" t="str">
        <f>前年度登録!AO10</f>
        <v/>
      </c>
      <c r="H13" s="661" t="str">
        <f>前年度登録!DB10</f>
        <v/>
      </c>
      <c r="I13" s="187" t="str">
        <f>前年度登録!AN10</f>
        <v/>
      </c>
      <c r="J13" s="1088" t="str">
        <f>前年度登録!DC10</f>
        <v/>
      </c>
      <c r="K13" s="1032">
        <f>前年度登録!DE10</f>
        <v>0</v>
      </c>
      <c r="L13" s="1033" t="str">
        <f>前年度登録!DJ10</f>
        <v>00</v>
      </c>
      <c r="M13" s="911" t="str">
        <f>前年度登録!AF10</f>
        <v/>
      </c>
      <c r="N13" s="1240">
        <f>前年度登録!S10</f>
        <v>0</v>
      </c>
      <c r="O13" s="338"/>
      <c r="P13" s="292" t="str">
        <f t="shared" si="2"/>
        <v/>
      </c>
      <c r="Q13" s="1282" t="str">
        <f>IF(O13="","",HLOOKUP(O13,前年度登録!$AW$3:$CW$118,8,FALSE))</f>
        <v/>
      </c>
      <c r="R13" s="1282" t="str">
        <f t="shared" si="3"/>
        <v/>
      </c>
      <c r="S13" s="1282" t="str">
        <f t="shared" si="4"/>
        <v/>
      </c>
      <c r="T13" s="368"/>
      <c r="U13" s="292" t="str">
        <f t="shared" si="5"/>
        <v/>
      </c>
      <c r="V13" s="669" t="str">
        <f>IF(T13="","",HLOOKUP(T13,前年度登録!$AW$3:$CW$118,8,FALSE))</f>
        <v/>
      </c>
      <c r="W13" s="769" t="str">
        <f t="shared" si="6"/>
        <v/>
      </c>
      <c r="X13" s="774" t="str">
        <f t="shared" si="7"/>
        <v/>
      </c>
      <c r="Y13" s="160"/>
      <c r="Z13" s="165"/>
      <c r="AA13" s="163"/>
      <c r="AB13" s="166"/>
      <c r="AC13" s="167"/>
      <c r="AD13" s="159"/>
      <c r="AE13" s="160"/>
      <c r="AF13" s="161"/>
      <c r="AG13" s="164"/>
      <c r="AH13" s="802"/>
      <c r="AI13" s="802"/>
      <c r="AK13" s="906" t="s">
        <v>432</v>
      </c>
      <c r="AL13" s="907" t="str">
        <f t="shared" si="0"/>
        <v/>
      </c>
      <c r="AM13" s="859">
        <f t="shared" si="1"/>
        <v>0</v>
      </c>
      <c r="AN13" s="859">
        <f t="shared" si="8"/>
        <v>0</v>
      </c>
      <c r="AP13" s="1278" t="s">
        <v>1076</v>
      </c>
      <c r="AQ13" s="196">
        <f>COUNTIF($P$7:$P$116,6)+COUNTIF($U$7:$U$116,6)</f>
        <v>0</v>
      </c>
      <c r="AR13" s="1115">
        <v>6</v>
      </c>
      <c r="AV13" s="1059" t="s">
        <v>762</v>
      </c>
      <c r="AW13" s="1058" t="s">
        <v>763</v>
      </c>
      <c r="AX13" s="886"/>
      <c r="AY13" s="886"/>
      <c r="AZ13" s="886"/>
    </row>
    <row r="14" spans="1:52">
      <c r="B14" s="911" t="str">
        <f>前年度登録!AE11</f>
        <v/>
      </c>
      <c r="E14" s="912">
        <f>前年度登録!T11</f>
        <v>0</v>
      </c>
      <c r="F14" s="661" t="str">
        <f>前年度登録!DB11</f>
        <v/>
      </c>
      <c r="G14" s="1131" t="str">
        <f>前年度登録!AO11</f>
        <v/>
      </c>
      <c r="H14" s="661" t="str">
        <f>前年度登録!DB11</f>
        <v/>
      </c>
      <c r="I14" s="187" t="str">
        <f>前年度登録!AN11</f>
        <v/>
      </c>
      <c r="J14" s="1088" t="str">
        <f>前年度登録!DC11</f>
        <v/>
      </c>
      <c r="K14" s="1032">
        <f>前年度登録!DE11</f>
        <v>0</v>
      </c>
      <c r="L14" s="1033" t="str">
        <f>前年度登録!DJ11</f>
        <v>00</v>
      </c>
      <c r="M14" s="911" t="str">
        <f>前年度登録!AF11</f>
        <v/>
      </c>
      <c r="N14" s="1240">
        <f>前年度登録!S11</f>
        <v>0</v>
      </c>
      <c r="O14" s="338"/>
      <c r="P14" s="292" t="str">
        <f t="shared" si="2"/>
        <v/>
      </c>
      <c r="Q14" s="1282" t="str">
        <f>IF(O14="","",HLOOKUP(O14,前年度登録!$AW$3:$CW$118,9,FALSE))</f>
        <v/>
      </c>
      <c r="R14" s="1282" t="str">
        <f t="shared" si="3"/>
        <v/>
      </c>
      <c r="S14" s="1282" t="str">
        <f t="shared" si="4"/>
        <v/>
      </c>
      <c r="T14" s="368"/>
      <c r="U14" s="292" t="str">
        <f t="shared" si="5"/>
        <v/>
      </c>
      <c r="V14" s="669" t="str">
        <f>IF(T14="","",HLOOKUP(T14,前年度登録!$AW$3:$CW$118,9,FALSE))</f>
        <v/>
      </c>
      <c r="W14" s="769" t="str">
        <f t="shared" si="6"/>
        <v/>
      </c>
      <c r="X14" s="774" t="str">
        <f t="shared" si="7"/>
        <v/>
      </c>
      <c r="Y14" s="160"/>
      <c r="Z14" s="165"/>
      <c r="AA14" s="163"/>
      <c r="AB14" s="166"/>
      <c r="AC14" s="167"/>
      <c r="AD14" s="159"/>
      <c r="AE14" s="160"/>
      <c r="AF14" s="161"/>
      <c r="AG14" s="164"/>
      <c r="AH14" s="802"/>
      <c r="AI14" s="802"/>
      <c r="AK14" s="915" t="s">
        <v>433</v>
      </c>
      <c r="AL14" s="907" t="str">
        <f t="shared" si="0"/>
        <v/>
      </c>
      <c r="AM14" s="859">
        <f t="shared" si="1"/>
        <v>0</v>
      </c>
      <c r="AN14" s="859">
        <f t="shared" si="8"/>
        <v>0</v>
      </c>
      <c r="AP14" s="1278" t="s">
        <v>1077</v>
      </c>
      <c r="AQ14" s="196">
        <f>COUNTIF($P$7:$P$116,7)+COUNTIF($U$7:$U$116,7)</f>
        <v>0</v>
      </c>
      <c r="AR14" s="1115">
        <v>7</v>
      </c>
      <c r="AT14" s="859"/>
      <c r="AU14" s="859"/>
      <c r="AV14" s="1059" t="s">
        <v>764</v>
      </c>
      <c r="AW14" s="1059" t="s">
        <v>764</v>
      </c>
      <c r="AX14" s="886"/>
      <c r="AY14" s="886"/>
      <c r="AZ14" s="886"/>
    </row>
    <row r="15" spans="1:52">
      <c r="B15" s="911" t="str">
        <f>前年度登録!AE12</f>
        <v/>
      </c>
      <c r="E15" s="912">
        <f>前年度登録!T12</f>
        <v>0</v>
      </c>
      <c r="F15" s="661" t="str">
        <f>前年度登録!DB12</f>
        <v/>
      </c>
      <c r="G15" s="1131" t="str">
        <f>前年度登録!AO12</f>
        <v/>
      </c>
      <c r="H15" s="661" t="str">
        <f>前年度登録!DB12</f>
        <v/>
      </c>
      <c r="I15" s="187" t="str">
        <f>前年度登録!AN12</f>
        <v/>
      </c>
      <c r="J15" s="1088" t="str">
        <f>前年度登録!DC12</f>
        <v/>
      </c>
      <c r="K15" s="1032">
        <f>前年度登録!DE12</f>
        <v>0</v>
      </c>
      <c r="L15" s="1033" t="str">
        <f>前年度登録!DJ12</f>
        <v>00</v>
      </c>
      <c r="M15" s="911" t="str">
        <f>前年度登録!AF12</f>
        <v/>
      </c>
      <c r="N15" s="1240">
        <f>前年度登録!S12</f>
        <v>0</v>
      </c>
      <c r="O15" s="338"/>
      <c r="P15" s="292" t="str">
        <f t="shared" si="2"/>
        <v/>
      </c>
      <c r="Q15" s="1282" t="str">
        <f>IF(O15="","",HLOOKUP(O15,前年度登録!$AW$3:$CW$118,10,FALSE))</f>
        <v/>
      </c>
      <c r="R15" s="1282" t="str">
        <f t="shared" si="3"/>
        <v/>
      </c>
      <c r="S15" s="1282" t="str">
        <f t="shared" si="4"/>
        <v/>
      </c>
      <c r="T15" s="368"/>
      <c r="U15" s="292" t="str">
        <f t="shared" si="5"/>
        <v/>
      </c>
      <c r="V15" s="669" t="str">
        <f>IF(T15="","",HLOOKUP(T15,前年度登録!$AW$3:$CW$118,10,FALSE))</f>
        <v/>
      </c>
      <c r="W15" s="769" t="str">
        <f t="shared" si="6"/>
        <v/>
      </c>
      <c r="X15" s="774" t="str">
        <f t="shared" si="7"/>
        <v/>
      </c>
      <c r="Y15" s="160"/>
      <c r="Z15" s="165"/>
      <c r="AA15" s="163"/>
      <c r="AB15" s="166"/>
      <c r="AC15" s="167"/>
      <c r="AD15" s="159"/>
      <c r="AE15" s="160"/>
      <c r="AF15" s="161"/>
      <c r="AG15" s="164"/>
      <c r="AH15" s="802"/>
      <c r="AI15" s="802"/>
      <c r="AK15" s="915" t="s">
        <v>434</v>
      </c>
      <c r="AL15" s="907" t="str">
        <f t="shared" si="0"/>
        <v/>
      </c>
      <c r="AM15" s="859">
        <f t="shared" si="1"/>
        <v>0</v>
      </c>
      <c r="AN15" s="859">
        <f t="shared" si="8"/>
        <v>0</v>
      </c>
      <c r="AP15" s="1278" t="s">
        <v>1078</v>
      </c>
      <c r="AQ15" s="196">
        <f>COUNTIF($P$7:$P$116,8)+COUNTIF($U$7:$U$116,8)</f>
        <v>0</v>
      </c>
      <c r="AR15" s="1115">
        <v>8</v>
      </c>
      <c r="AT15" s="859"/>
      <c r="AU15" s="859"/>
      <c r="AV15" s="1059" t="s">
        <v>765</v>
      </c>
      <c r="AW15" s="1059" t="s">
        <v>765</v>
      </c>
      <c r="AX15" s="886"/>
      <c r="AY15" s="886"/>
      <c r="AZ15" s="886"/>
    </row>
    <row r="16" spans="1:52">
      <c r="B16" s="911" t="str">
        <f>前年度登録!AE13</f>
        <v/>
      </c>
      <c r="E16" s="912">
        <f>前年度登録!T13</f>
        <v>0</v>
      </c>
      <c r="F16" s="661" t="str">
        <f>前年度登録!DB13</f>
        <v/>
      </c>
      <c r="G16" s="1131" t="str">
        <f>前年度登録!AO13</f>
        <v/>
      </c>
      <c r="H16" s="661" t="str">
        <f>前年度登録!DB13</f>
        <v/>
      </c>
      <c r="I16" s="187" t="str">
        <f>前年度登録!AN13</f>
        <v/>
      </c>
      <c r="J16" s="1088" t="str">
        <f>前年度登録!DC13</f>
        <v/>
      </c>
      <c r="K16" s="1032">
        <f>前年度登録!DE13</f>
        <v>0</v>
      </c>
      <c r="L16" s="1033" t="str">
        <f>前年度登録!DJ13</f>
        <v>00</v>
      </c>
      <c r="M16" s="911" t="str">
        <f>前年度登録!AF13</f>
        <v/>
      </c>
      <c r="N16" s="1240">
        <f>前年度登録!S13</f>
        <v>0</v>
      </c>
      <c r="O16" s="338"/>
      <c r="P16" s="292" t="str">
        <f t="shared" si="2"/>
        <v/>
      </c>
      <c r="Q16" s="1282" t="str">
        <f>IF(O16="","",HLOOKUP(O16,前年度登録!$AW$3:$CW$118,11,FALSE))</f>
        <v/>
      </c>
      <c r="R16" s="1282" t="str">
        <f t="shared" si="3"/>
        <v/>
      </c>
      <c r="S16" s="1282" t="str">
        <f t="shared" si="4"/>
        <v/>
      </c>
      <c r="T16" s="368"/>
      <c r="U16" s="292" t="str">
        <f t="shared" si="5"/>
        <v/>
      </c>
      <c r="V16" s="669" t="str">
        <f>IF(T16="","",HLOOKUP(T16,前年度登録!$AW$3:$CW$118,11,FALSE))</f>
        <v/>
      </c>
      <c r="W16" s="769" t="str">
        <f t="shared" si="6"/>
        <v/>
      </c>
      <c r="X16" s="774" t="str">
        <f t="shared" si="7"/>
        <v/>
      </c>
      <c r="Y16" s="160"/>
      <c r="Z16" s="165"/>
      <c r="AA16" s="163"/>
      <c r="AB16" s="166"/>
      <c r="AC16" s="167"/>
      <c r="AD16" s="159"/>
      <c r="AE16" s="160"/>
      <c r="AF16" s="161"/>
      <c r="AG16" s="164"/>
      <c r="AH16" s="802"/>
      <c r="AI16" s="802"/>
      <c r="AK16" s="915" t="s">
        <v>435</v>
      </c>
      <c r="AL16" s="907" t="str">
        <f t="shared" si="0"/>
        <v/>
      </c>
      <c r="AM16" s="859">
        <f t="shared" si="1"/>
        <v>0</v>
      </c>
      <c r="AN16" s="859">
        <f t="shared" si="8"/>
        <v>0</v>
      </c>
      <c r="AP16" s="1278" t="s">
        <v>1079</v>
      </c>
      <c r="AQ16" s="196">
        <f>COUNTIF($P$7:$P$116,9)+COUNTIF($U$7:$U$116,9)</f>
        <v>0</v>
      </c>
      <c r="AR16" s="1115">
        <v>9</v>
      </c>
      <c r="AT16" s="859"/>
      <c r="AU16" s="859"/>
      <c r="AV16" s="1059" t="s">
        <v>766</v>
      </c>
      <c r="AW16" s="1059" t="s">
        <v>766</v>
      </c>
      <c r="AX16" s="886"/>
      <c r="AY16" s="886"/>
      <c r="AZ16" s="886"/>
    </row>
    <row r="17" spans="2:52">
      <c r="B17" s="911" t="str">
        <f>前年度登録!AE14</f>
        <v/>
      </c>
      <c r="E17" s="912">
        <f>前年度登録!T14</f>
        <v>0</v>
      </c>
      <c r="F17" s="661" t="str">
        <f>前年度登録!DB14</f>
        <v/>
      </c>
      <c r="G17" s="1131" t="str">
        <f>前年度登録!AO14</f>
        <v/>
      </c>
      <c r="H17" s="661" t="str">
        <f>前年度登録!DB14</f>
        <v/>
      </c>
      <c r="I17" s="187" t="str">
        <f>前年度登録!AN14</f>
        <v/>
      </c>
      <c r="J17" s="1088" t="str">
        <f>前年度登録!DC14</f>
        <v/>
      </c>
      <c r="K17" s="1032">
        <f>前年度登録!DE14</f>
        <v>0</v>
      </c>
      <c r="L17" s="1033" t="str">
        <f>前年度登録!DJ14</f>
        <v>00</v>
      </c>
      <c r="M17" s="911" t="str">
        <f>前年度登録!AF14</f>
        <v/>
      </c>
      <c r="N17" s="1240">
        <f>前年度登録!S14</f>
        <v>0</v>
      </c>
      <c r="O17" s="338"/>
      <c r="P17" s="292" t="str">
        <f t="shared" si="2"/>
        <v/>
      </c>
      <c r="Q17" s="1282" t="str">
        <f>IF(O17="","",HLOOKUP(O17,前年度登録!$AW$3:$CW$118,12,FALSE))</f>
        <v/>
      </c>
      <c r="R17" s="1282" t="str">
        <f t="shared" si="3"/>
        <v/>
      </c>
      <c r="S17" s="1282" t="str">
        <f t="shared" si="4"/>
        <v/>
      </c>
      <c r="T17" s="368"/>
      <c r="U17" s="292" t="str">
        <f t="shared" si="5"/>
        <v/>
      </c>
      <c r="V17" s="669" t="str">
        <f>IF(T17="","",HLOOKUP(T17,前年度登録!$AW$3:$CW$118,12,FALSE))</f>
        <v/>
      </c>
      <c r="W17" s="769" t="str">
        <f t="shared" si="6"/>
        <v/>
      </c>
      <c r="X17" s="774" t="str">
        <f t="shared" si="7"/>
        <v/>
      </c>
      <c r="Y17" s="160"/>
      <c r="Z17" s="165"/>
      <c r="AA17" s="163"/>
      <c r="AB17" s="166"/>
      <c r="AC17" s="167"/>
      <c r="AD17" s="159"/>
      <c r="AE17" s="160"/>
      <c r="AF17" s="161"/>
      <c r="AG17" s="164"/>
      <c r="AH17" s="802"/>
      <c r="AI17" s="802"/>
      <c r="AK17" s="915" t="s">
        <v>436</v>
      </c>
      <c r="AL17" s="907" t="str">
        <f t="shared" si="0"/>
        <v/>
      </c>
      <c r="AM17" s="859">
        <f t="shared" si="1"/>
        <v>0</v>
      </c>
      <c r="AN17" s="859">
        <f t="shared" si="8"/>
        <v>0</v>
      </c>
      <c r="AP17" s="1278" t="s">
        <v>1080</v>
      </c>
      <c r="AQ17" s="196">
        <f>COUNTIF($P$7:$P$116,10)+COUNTIF($U$7:$U$116,10)</f>
        <v>0</v>
      </c>
      <c r="AR17" s="1115">
        <v>10</v>
      </c>
      <c r="AV17" s="1059" t="s">
        <v>131</v>
      </c>
      <c r="AW17" s="1059" t="s">
        <v>131</v>
      </c>
      <c r="AX17" s="886"/>
      <c r="AY17" s="886"/>
      <c r="AZ17" s="886"/>
    </row>
    <row r="18" spans="2:52">
      <c r="B18" s="911" t="str">
        <f>前年度登録!AE15</f>
        <v/>
      </c>
      <c r="E18" s="912">
        <f>前年度登録!T15</f>
        <v>0</v>
      </c>
      <c r="F18" s="661" t="str">
        <f>前年度登録!DB15</f>
        <v/>
      </c>
      <c r="G18" s="1131" t="str">
        <f>前年度登録!AO15</f>
        <v/>
      </c>
      <c r="H18" s="661" t="str">
        <f>前年度登録!DB15</f>
        <v/>
      </c>
      <c r="I18" s="187" t="str">
        <f>前年度登録!AN15</f>
        <v/>
      </c>
      <c r="J18" s="1088" t="str">
        <f>前年度登録!DC15</f>
        <v/>
      </c>
      <c r="K18" s="1032">
        <f>前年度登録!DE15</f>
        <v>0</v>
      </c>
      <c r="L18" s="1033" t="str">
        <f>前年度登録!DJ15</f>
        <v>00</v>
      </c>
      <c r="M18" s="911" t="str">
        <f>前年度登録!AF15</f>
        <v/>
      </c>
      <c r="N18" s="1240">
        <f>前年度登録!S15</f>
        <v>0</v>
      </c>
      <c r="O18" s="338"/>
      <c r="P18" s="292" t="str">
        <f t="shared" si="2"/>
        <v/>
      </c>
      <c r="Q18" s="1282" t="str">
        <f>IF(O18="","",HLOOKUP(O18,前年度登録!$AW$3:$CW$118,13,FALSE))</f>
        <v/>
      </c>
      <c r="R18" s="1282" t="str">
        <f t="shared" si="3"/>
        <v/>
      </c>
      <c r="S18" s="1282" t="str">
        <f t="shared" si="4"/>
        <v/>
      </c>
      <c r="T18" s="368"/>
      <c r="U18" s="292" t="str">
        <f t="shared" si="5"/>
        <v/>
      </c>
      <c r="V18" s="669" t="str">
        <f>IF(T18="","",HLOOKUP(T18,前年度登録!$AW$3:$CW$118,13,FALSE))</f>
        <v/>
      </c>
      <c r="W18" s="769" t="str">
        <f t="shared" si="6"/>
        <v/>
      </c>
      <c r="X18" s="774" t="str">
        <f t="shared" si="7"/>
        <v/>
      </c>
      <c r="Y18" s="160"/>
      <c r="Z18" s="165"/>
      <c r="AA18" s="163"/>
      <c r="AB18" s="166"/>
      <c r="AC18" s="167"/>
      <c r="AD18" s="159"/>
      <c r="AE18" s="160"/>
      <c r="AF18" s="161"/>
      <c r="AG18" s="164"/>
      <c r="AH18" s="802"/>
      <c r="AI18" s="802"/>
      <c r="AK18" s="915" t="s">
        <v>131</v>
      </c>
      <c r="AL18" s="907" t="str">
        <f t="shared" si="0"/>
        <v/>
      </c>
      <c r="AM18" s="859">
        <f t="shared" si="1"/>
        <v>0</v>
      </c>
      <c r="AN18" s="859">
        <f t="shared" si="8"/>
        <v>0</v>
      </c>
      <c r="AP18" s="1278" t="s">
        <v>1081</v>
      </c>
      <c r="AQ18" s="196">
        <f>COUNTIF($P$7:$P$116,12)+COUNTIF($U$7:$U$116,12)</f>
        <v>0</v>
      </c>
      <c r="AR18" s="1115">
        <v>12</v>
      </c>
      <c r="AV18" s="1059" t="s">
        <v>181</v>
      </c>
      <c r="AW18" s="1059" t="s">
        <v>181</v>
      </c>
      <c r="AX18" s="886"/>
      <c r="AY18" s="886"/>
      <c r="AZ18" s="886"/>
    </row>
    <row r="19" spans="2:52">
      <c r="B19" s="911" t="str">
        <f>前年度登録!AE16</f>
        <v/>
      </c>
      <c r="E19" s="912">
        <f>前年度登録!T16</f>
        <v>0</v>
      </c>
      <c r="F19" s="661" t="str">
        <f>前年度登録!DB16</f>
        <v/>
      </c>
      <c r="G19" s="1131" t="str">
        <f>前年度登録!AO16</f>
        <v/>
      </c>
      <c r="H19" s="661" t="str">
        <f>前年度登録!DB16</f>
        <v/>
      </c>
      <c r="I19" s="187" t="str">
        <f>前年度登録!AN16</f>
        <v/>
      </c>
      <c r="J19" s="1088" t="str">
        <f>前年度登録!DC16</f>
        <v/>
      </c>
      <c r="K19" s="1032">
        <f>前年度登録!DE16</f>
        <v>0</v>
      </c>
      <c r="L19" s="1033" t="str">
        <f>前年度登録!DJ16</f>
        <v>00</v>
      </c>
      <c r="M19" s="911" t="str">
        <f>前年度登録!AF16</f>
        <v/>
      </c>
      <c r="N19" s="1240">
        <f>前年度登録!S16</f>
        <v>0</v>
      </c>
      <c r="O19" s="338"/>
      <c r="P19" s="292" t="str">
        <f t="shared" si="2"/>
        <v/>
      </c>
      <c r="Q19" s="1282" t="str">
        <f>IF(O19="","",HLOOKUP(O19,前年度登録!$AW$3:$CW$118,14,FALSE))</f>
        <v/>
      </c>
      <c r="R19" s="1282" t="str">
        <f t="shared" si="3"/>
        <v/>
      </c>
      <c r="S19" s="1282" t="str">
        <f t="shared" si="4"/>
        <v/>
      </c>
      <c r="T19" s="368"/>
      <c r="U19" s="292" t="str">
        <f t="shared" si="5"/>
        <v/>
      </c>
      <c r="V19" s="669" t="str">
        <f>IF(T19="","",HLOOKUP(T19,前年度登録!$AW$3:$CW$118,14,FALSE))</f>
        <v/>
      </c>
      <c r="W19" s="769" t="str">
        <f t="shared" si="6"/>
        <v/>
      </c>
      <c r="X19" s="774" t="str">
        <f t="shared" si="7"/>
        <v/>
      </c>
      <c r="Y19" s="160"/>
      <c r="Z19" s="165"/>
      <c r="AA19" s="163"/>
      <c r="AB19" s="166"/>
      <c r="AC19" s="167"/>
      <c r="AD19" s="159"/>
      <c r="AE19" s="160"/>
      <c r="AF19" s="161"/>
      <c r="AG19" s="164"/>
      <c r="AH19" s="802"/>
      <c r="AI19" s="802"/>
      <c r="AK19" s="915" t="s">
        <v>181</v>
      </c>
      <c r="AL19" s="907" t="str">
        <f t="shared" si="0"/>
        <v/>
      </c>
      <c r="AM19" s="859">
        <f t="shared" si="1"/>
        <v>0</v>
      </c>
      <c r="AN19" s="859">
        <f t="shared" si="8"/>
        <v>0</v>
      </c>
      <c r="AP19" s="1278" t="s">
        <v>1082</v>
      </c>
      <c r="AQ19" s="196">
        <f>COUNTIF($P$7:$P$116,15)+COUNTIF($U$7:$U$116,15)</f>
        <v>0</v>
      </c>
      <c r="AR19" s="1115">
        <v>15</v>
      </c>
      <c r="AV19" s="1059" t="s">
        <v>180</v>
      </c>
      <c r="AW19" s="1059" t="s">
        <v>180</v>
      </c>
      <c r="AX19" s="886"/>
      <c r="AY19" s="886"/>
      <c r="AZ19" s="886"/>
    </row>
    <row r="20" spans="2:52">
      <c r="B20" s="911" t="str">
        <f>前年度登録!AE17</f>
        <v/>
      </c>
      <c r="E20" s="912">
        <f>前年度登録!T17</f>
        <v>0</v>
      </c>
      <c r="F20" s="661" t="str">
        <f>前年度登録!DB17</f>
        <v/>
      </c>
      <c r="G20" s="1131" t="str">
        <f>前年度登録!AO17</f>
        <v/>
      </c>
      <c r="H20" s="661" t="str">
        <f>前年度登録!DB17</f>
        <v/>
      </c>
      <c r="I20" s="187" t="str">
        <f>前年度登録!AN17</f>
        <v/>
      </c>
      <c r="J20" s="1088" t="str">
        <f>前年度登録!DC17</f>
        <v/>
      </c>
      <c r="K20" s="1032">
        <f>前年度登録!DE17</f>
        <v>0</v>
      </c>
      <c r="L20" s="1033" t="str">
        <f>前年度登録!DJ17</f>
        <v>00</v>
      </c>
      <c r="M20" s="911" t="str">
        <f>前年度登録!AF17</f>
        <v/>
      </c>
      <c r="N20" s="1240">
        <f>前年度登録!S17</f>
        <v>0</v>
      </c>
      <c r="O20" s="338"/>
      <c r="P20" s="292" t="str">
        <f t="shared" si="2"/>
        <v/>
      </c>
      <c r="Q20" s="1282" t="str">
        <f>IF(O20="","",HLOOKUP(O20,前年度登録!$AW$3:$CW$118,15,FALSE))</f>
        <v/>
      </c>
      <c r="R20" s="1282" t="str">
        <f t="shared" si="3"/>
        <v/>
      </c>
      <c r="S20" s="1282" t="str">
        <f t="shared" si="4"/>
        <v/>
      </c>
      <c r="T20" s="368"/>
      <c r="U20" s="292" t="str">
        <f t="shared" si="5"/>
        <v/>
      </c>
      <c r="V20" s="669" t="str">
        <f>IF(T20="","",HLOOKUP(T20,前年度登録!$AW$3:$CW$118,15,FALSE))</f>
        <v/>
      </c>
      <c r="W20" s="769" t="str">
        <f t="shared" si="6"/>
        <v/>
      </c>
      <c r="X20" s="774" t="str">
        <f t="shared" si="7"/>
        <v/>
      </c>
      <c r="Y20" s="160"/>
      <c r="Z20" s="165"/>
      <c r="AA20" s="163"/>
      <c r="AB20" s="166"/>
      <c r="AC20" s="167"/>
      <c r="AD20" s="159"/>
      <c r="AE20" s="160"/>
      <c r="AF20" s="161"/>
      <c r="AG20" s="164"/>
      <c r="AH20" s="802"/>
      <c r="AI20" s="802"/>
      <c r="AK20" s="915" t="s">
        <v>180</v>
      </c>
      <c r="AL20" s="907" t="str">
        <f t="shared" si="0"/>
        <v/>
      </c>
      <c r="AM20" s="859">
        <f t="shared" si="1"/>
        <v>0</v>
      </c>
      <c r="AN20" s="859">
        <f t="shared" si="8"/>
        <v>0</v>
      </c>
      <c r="AP20" s="1278" t="s">
        <v>1083</v>
      </c>
      <c r="AQ20" s="196">
        <f>COUNTIF($P$7:$P$116,16)+COUNTIF($U$7:$U$116,16)</f>
        <v>0</v>
      </c>
      <c r="AR20" s="1115">
        <v>16</v>
      </c>
      <c r="AV20" s="1059" t="s">
        <v>184</v>
      </c>
      <c r="AW20" s="1059" t="s">
        <v>184</v>
      </c>
      <c r="AX20" s="886"/>
      <c r="AY20" s="886"/>
      <c r="AZ20" s="886"/>
    </row>
    <row r="21" spans="2:52">
      <c r="B21" s="911" t="str">
        <f>前年度登録!AE18</f>
        <v/>
      </c>
      <c r="E21" s="912">
        <f>前年度登録!T18</f>
        <v>0</v>
      </c>
      <c r="F21" s="661" t="str">
        <f>前年度登録!DB18</f>
        <v/>
      </c>
      <c r="G21" s="1131" t="str">
        <f>前年度登録!AO18</f>
        <v/>
      </c>
      <c r="H21" s="661" t="str">
        <f>前年度登録!DB18</f>
        <v/>
      </c>
      <c r="I21" s="187" t="str">
        <f>前年度登録!AN18</f>
        <v/>
      </c>
      <c r="J21" s="1088" t="str">
        <f>前年度登録!DC18</f>
        <v/>
      </c>
      <c r="K21" s="1032">
        <f>前年度登録!DE18</f>
        <v>0</v>
      </c>
      <c r="L21" s="1033" t="str">
        <f>前年度登録!DJ18</f>
        <v>00</v>
      </c>
      <c r="M21" s="911" t="str">
        <f>前年度登録!AF18</f>
        <v/>
      </c>
      <c r="N21" s="1240">
        <f>前年度登録!S18</f>
        <v>0</v>
      </c>
      <c r="O21" s="338"/>
      <c r="P21" s="292" t="str">
        <f t="shared" si="2"/>
        <v/>
      </c>
      <c r="Q21" s="1282" t="str">
        <f>IF(O21="","",HLOOKUP(O21,前年度登録!$AW$3:$CW$118,16,FALSE))</f>
        <v/>
      </c>
      <c r="R21" s="1282" t="str">
        <f t="shared" si="3"/>
        <v/>
      </c>
      <c r="S21" s="1282" t="str">
        <f t="shared" si="4"/>
        <v/>
      </c>
      <c r="T21" s="368"/>
      <c r="U21" s="292" t="str">
        <f t="shared" si="5"/>
        <v/>
      </c>
      <c r="V21" s="669" t="str">
        <f>IF(T21="","",HLOOKUP(T21,前年度登録!$AW$3:$CW$118,16,FALSE))</f>
        <v/>
      </c>
      <c r="W21" s="769" t="str">
        <f t="shared" si="6"/>
        <v/>
      </c>
      <c r="X21" s="774" t="str">
        <f t="shared" si="7"/>
        <v/>
      </c>
      <c r="Y21" s="160"/>
      <c r="Z21" s="165"/>
      <c r="AA21" s="163"/>
      <c r="AB21" s="166"/>
      <c r="AC21" s="167"/>
      <c r="AD21" s="159"/>
      <c r="AE21" s="160"/>
      <c r="AF21" s="161"/>
      <c r="AG21" s="164"/>
      <c r="AH21" s="802"/>
      <c r="AI21" s="802"/>
      <c r="AK21" s="915" t="s">
        <v>184</v>
      </c>
      <c r="AL21" s="907" t="str">
        <f t="shared" si="0"/>
        <v/>
      </c>
      <c r="AM21" s="859">
        <f t="shared" si="1"/>
        <v>0</v>
      </c>
      <c r="AN21" s="859">
        <f t="shared" si="8"/>
        <v>0</v>
      </c>
      <c r="AP21" s="1278" t="s">
        <v>1084</v>
      </c>
      <c r="AQ21" s="196">
        <f>COUNTIF($P$7:$P$116,17)+COUNTIF($U$7:$U$116,17)</f>
        <v>0</v>
      </c>
      <c r="AR21" s="1115">
        <v>17</v>
      </c>
      <c r="AV21" s="1059" t="s">
        <v>185</v>
      </c>
      <c r="AW21" s="1059" t="s">
        <v>185</v>
      </c>
      <c r="AX21" s="886"/>
      <c r="AY21" s="886"/>
      <c r="AZ21" s="886"/>
    </row>
    <row r="22" spans="2:52">
      <c r="B22" s="911" t="str">
        <f>前年度登録!AE19</f>
        <v/>
      </c>
      <c r="E22" s="912">
        <f>前年度登録!T19</f>
        <v>0</v>
      </c>
      <c r="F22" s="661" t="str">
        <f>前年度登録!DB19</f>
        <v/>
      </c>
      <c r="G22" s="1131" t="str">
        <f>前年度登録!AO19</f>
        <v/>
      </c>
      <c r="H22" s="661" t="str">
        <f>前年度登録!DB19</f>
        <v/>
      </c>
      <c r="I22" s="187" t="str">
        <f>前年度登録!AN19</f>
        <v/>
      </c>
      <c r="J22" s="1088" t="str">
        <f>前年度登録!DC19</f>
        <v/>
      </c>
      <c r="K22" s="1032">
        <f>前年度登録!DE19</f>
        <v>0</v>
      </c>
      <c r="L22" s="1033" t="str">
        <f>前年度登録!DJ19</f>
        <v>00</v>
      </c>
      <c r="M22" s="911" t="str">
        <f>前年度登録!AF19</f>
        <v/>
      </c>
      <c r="N22" s="1240">
        <f>前年度登録!S19</f>
        <v>0</v>
      </c>
      <c r="O22" s="338"/>
      <c r="P22" s="292" t="str">
        <f t="shared" si="2"/>
        <v/>
      </c>
      <c r="Q22" s="1282" t="str">
        <f>IF(O22="","",HLOOKUP(O22,前年度登録!$AW$3:$CW$118,17,FALSE))</f>
        <v/>
      </c>
      <c r="R22" s="1282" t="str">
        <f t="shared" si="3"/>
        <v/>
      </c>
      <c r="S22" s="1282" t="str">
        <f t="shared" si="4"/>
        <v/>
      </c>
      <c r="T22" s="368"/>
      <c r="U22" s="292" t="str">
        <f t="shared" si="5"/>
        <v/>
      </c>
      <c r="V22" s="669" t="str">
        <f>IF(T22="","",HLOOKUP(T22,前年度登録!$AW$3:$CW$118,17,FALSE))</f>
        <v/>
      </c>
      <c r="W22" s="769" t="str">
        <f t="shared" si="6"/>
        <v/>
      </c>
      <c r="X22" s="774" t="str">
        <f t="shared" si="7"/>
        <v/>
      </c>
      <c r="Y22" s="160"/>
      <c r="Z22" s="165"/>
      <c r="AA22" s="163"/>
      <c r="AB22" s="166"/>
      <c r="AC22" s="167"/>
      <c r="AD22" s="159"/>
      <c r="AE22" s="160"/>
      <c r="AF22" s="161"/>
      <c r="AG22" s="164"/>
      <c r="AH22" s="802"/>
      <c r="AI22" s="802"/>
      <c r="AK22" s="915" t="s">
        <v>185</v>
      </c>
      <c r="AL22" s="907" t="str">
        <f t="shared" si="0"/>
        <v/>
      </c>
      <c r="AM22" s="859">
        <f t="shared" si="1"/>
        <v>0</v>
      </c>
      <c r="AN22" s="859">
        <f t="shared" si="8"/>
        <v>0</v>
      </c>
      <c r="AP22" s="1278" t="s">
        <v>1085</v>
      </c>
      <c r="AQ22" s="196">
        <f>COUNTIF($P$7:$P$116,18)+COUNTIF($U$7:$U$116,18)</f>
        <v>0</v>
      </c>
      <c r="AR22" s="1115">
        <v>18</v>
      </c>
      <c r="AV22" s="1059" t="s">
        <v>183</v>
      </c>
      <c r="AW22" s="1059" t="s">
        <v>183</v>
      </c>
      <c r="AX22" s="886"/>
      <c r="AY22" s="886"/>
      <c r="AZ22" s="886"/>
    </row>
    <row r="23" spans="2:52">
      <c r="B23" s="911" t="str">
        <f>前年度登録!AE20</f>
        <v/>
      </c>
      <c r="E23" s="912">
        <f>前年度登録!T20</f>
        <v>0</v>
      </c>
      <c r="F23" s="661" t="str">
        <f>前年度登録!DB20</f>
        <v/>
      </c>
      <c r="G23" s="1131" t="str">
        <f>前年度登録!AO20</f>
        <v/>
      </c>
      <c r="H23" s="661" t="str">
        <f>前年度登録!DB20</f>
        <v/>
      </c>
      <c r="I23" s="187" t="str">
        <f>前年度登録!AN20</f>
        <v/>
      </c>
      <c r="J23" s="1088" t="str">
        <f>前年度登録!DC20</f>
        <v/>
      </c>
      <c r="K23" s="1032">
        <f>前年度登録!DE20</f>
        <v>0</v>
      </c>
      <c r="L23" s="1033" t="str">
        <f>前年度登録!DJ20</f>
        <v>00</v>
      </c>
      <c r="M23" s="911" t="str">
        <f>前年度登録!AF20</f>
        <v/>
      </c>
      <c r="N23" s="1240">
        <f>前年度登録!S20</f>
        <v>0</v>
      </c>
      <c r="O23" s="338"/>
      <c r="P23" s="292" t="str">
        <f t="shared" si="2"/>
        <v/>
      </c>
      <c r="Q23" s="1282" t="str">
        <f>IF(O23="","",HLOOKUP(O23,前年度登録!$AW$3:$CW$118,18,FALSE))</f>
        <v/>
      </c>
      <c r="R23" s="1282" t="str">
        <f t="shared" si="3"/>
        <v/>
      </c>
      <c r="S23" s="1282" t="str">
        <f t="shared" si="4"/>
        <v/>
      </c>
      <c r="T23" s="368"/>
      <c r="U23" s="292" t="str">
        <f t="shared" si="5"/>
        <v/>
      </c>
      <c r="V23" s="669" t="str">
        <f>IF(T23="","",HLOOKUP(T23,前年度登録!$AW$3:$CW$118,18,FALSE))</f>
        <v/>
      </c>
      <c r="W23" s="769" t="str">
        <f t="shared" si="6"/>
        <v/>
      </c>
      <c r="X23" s="774" t="str">
        <f t="shared" si="7"/>
        <v/>
      </c>
      <c r="Y23" s="160"/>
      <c r="Z23" s="165"/>
      <c r="AA23" s="163"/>
      <c r="AB23" s="166"/>
      <c r="AC23" s="167"/>
      <c r="AD23" s="159"/>
      <c r="AE23" s="160"/>
      <c r="AF23" s="161"/>
      <c r="AG23" s="164"/>
      <c r="AH23" s="802"/>
      <c r="AI23" s="802"/>
      <c r="AK23" s="915" t="s">
        <v>183</v>
      </c>
      <c r="AL23" s="907" t="str">
        <f t="shared" si="0"/>
        <v/>
      </c>
      <c r="AM23" s="859">
        <f t="shared" si="1"/>
        <v>0</v>
      </c>
      <c r="AN23" s="859">
        <f t="shared" si="8"/>
        <v>0</v>
      </c>
      <c r="AP23" s="1278" t="s">
        <v>1086</v>
      </c>
      <c r="AQ23" s="196">
        <f>COUNTIF($P$7:$P$116,19)+COUNTIF($U$7:$U$116,19)</f>
        <v>0</v>
      </c>
      <c r="AR23" s="1115">
        <v>19</v>
      </c>
      <c r="AV23" s="1059" t="s">
        <v>263</v>
      </c>
      <c r="AW23" s="1059" t="s">
        <v>263</v>
      </c>
      <c r="AX23" s="886"/>
      <c r="AY23" s="886"/>
      <c r="AZ23" s="886"/>
    </row>
    <row r="24" spans="2:52">
      <c r="B24" s="911" t="str">
        <f>前年度登録!AE21</f>
        <v/>
      </c>
      <c r="E24" s="912">
        <f>前年度登録!T21</f>
        <v>0</v>
      </c>
      <c r="F24" s="661" t="str">
        <f>前年度登録!DB21</f>
        <v/>
      </c>
      <c r="G24" s="1131" t="str">
        <f>前年度登録!AO21</f>
        <v/>
      </c>
      <c r="H24" s="661" t="str">
        <f>前年度登録!DB21</f>
        <v/>
      </c>
      <c r="I24" s="187" t="str">
        <f>前年度登録!AN21</f>
        <v/>
      </c>
      <c r="J24" s="1088" t="str">
        <f>前年度登録!DC21</f>
        <v/>
      </c>
      <c r="K24" s="1032">
        <f>前年度登録!DE21</f>
        <v>0</v>
      </c>
      <c r="L24" s="1033" t="str">
        <f>前年度登録!DJ21</f>
        <v>00</v>
      </c>
      <c r="M24" s="911" t="str">
        <f>前年度登録!AF21</f>
        <v/>
      </c>
      <c r="N24" s="1240">
        <f>前年度登録!S21</f>
        <v>0</v>
      </c>
      <c r="O24" s="338"/>
      <c r="P24" s="292" t="str">
        <f t="shared" si="2"/>
        <v/>
      </c>
      <c r="Q24" s="1282" t="str">
        <f>IF(O24="","",HLOOKUP(O24,前年度登録!$AW$3:$CW$118,19,FALSE))</f>
        <v/>
      </c>
      <c r="R24" s="1282" t="str">
        <f t="shared" si="3"/>
        <v/>
      </c>
      <c r="S24" s="1282" t="str">
        <f t="shared" si="4"/>
        <v/>
      </c>
      <c r="T24" s="368"/>
      <c r="U24" s="292" t="str">
        <f t="shared" si="5"/>
        <v/>
      </c>
      <c r="V24" s="669" t="str">
        <f>IF(T24="","",HLOOKUP(T24,前年度登録!$AW$3:$CW$118,19,FALSE))</f>
        <v/>
      </c>
      <c r="W24" s="769" t="str">
        <f t="shared" si="6"/>
        <v/>
      </c>
      <c r="X24" s="774" t="str">
        <f t="shared" si="7"/>
        <v/>
      </c>
      <c r="Y24" s="160"/>
      <c r="Z24" s="165"/>
      <c r="AA24" s="163"/>
      <c r="AB24" s="166"/>
      <c r="AC24" s="167"/>
      <c r="AD24" s="159"/>
      <c r="AE24" s="160"/>
      <c r="AF24" s="161"/>
      <c r="AG24" s="164"/>
      <c r="AH24" s="802"/>
      <c r="AI24" s="802"/>
      <c r="AK24" s="915" t="s">
        <v>263</v>
      </c>
      <c r="AL24" s="907" t="str">
        <f t="shared" si="0"/>
        <v/>
      </c>
      <c r="AM24" s="859">
        <f t="shared" si="1"/>
        <v>0</v>
      </c>
      <c r="AN24" s="859">
        <f t="shared" si="8"/>
        <v>0</v>
      </c>
      <c r="AP24" s="1278" t="s">
        <v>1087</v>
      </c>
      <c r="AQ24" s="196">
        <f>COUNTIF($P$7:$P$116,20)+COUNTIF($U$7:$U$116,20)</f>
        <v>0</v>
      </c>
      <c r="AR24" s="1115">
        <v>20</v>
      </c>
      <c r="AV24" s="1059" t="s">
        <v>265</v>
      </c>
      <c r="AW24" s="1059" t="s">
        <v>265</v>
      </c>
      <c r="AX24" s="886"/>
      <c r="AY24" s="886"/>
      <c r="AZ24" s="886"/>
    </row>
    <row r="25" spans="2:52">
      <c r="B25" s="911" t="str">
        <f>前年度登録!AE22</f>
        <v/>
      </c>
      <c r="E25" s="912">
        <f>前年度登録!T22</f>
        <v>0</v>
      </c>
      <c r="F25" s="661" t="str">
        <f>前年度登録!DB22</f>
        <v/>
      </c>
      <c r="G25" s="1131" t="str">
        <f>前年度登録!AO22</f>
        <v/>
      </c>
      <c r="H25" s="661" t="str">
        <f>前年度登録!DB22</f>
        <v/>
      </c>
      <c r="I25" s="187" t="str">
        <f>前年度登録!AN22</f>
        <v/>
      </c>
      <c r="J25" s="1088" t="str">
        <f>前年度登録!DC22</f>
        <v/>
      </c>
      <c r="K25" s="1032">
        <f>前年度登録!DE22</f>
        <v>0</v>
      </c>
      <c r="L25" s="1033" t="str">
        <f>前年度登録!DJ22</f>
        <v>00</v>
      </c>
      <c r="M25" s="911" t="str">
        <f>前年度登録!AF22</f>
        <v/>
      </c>
      <c r="N25" s="1240">
        <f>前年度登録!S22</f>
        <v>0</v>
      </c>
      <c r="O25" s="338"/>
      <c r="P25" s="292" t="str">
        <f t="shared" si="2"/>
        <v/>
      </c>
      <c r="Q25" s="1282" t="str">
        <f>IF(O25="","",HLOOKUP(O25,前年度登録!$AW$3:$CW$118,20,FALSE))</f>
        <v/>
      </c>
      <c r="R25" s="1282" t="str">
        <f t="shared" si="3"/>
        <v/>
      </c>
      <c r="S25" s="1282" t="str">
        <f t="shared" si="4"/>
        <v/>
      </c>
      <c r="T25" s="368"/>
      <c r="U25" s="292" t="str">
        <f t="shared" si="5"/>
        <v/>
      </c>
      <c r="V25" s="669" t="str">
        <f>IF(T25="","",HLOOKUP(T25,前年度登録!$AW$3:$CW$118,20,FALSE))</f>
        <v/>
      </c>
      <c r="W25" s="769" t="str">
        <f t="shared" si="6"/>
        <v/>
      </c>
      <c r="X25" s="774" t="str">
        <f t="shared" si="7"/>
        <v/>
      </c>
      <c r="Y25" s="160"/>
      <c r="Z25" s="165"/>
      <c r="AA25" s="163"/>
      <c r="AB25" s="166"/>
      <c r="AC25" s="167"/>
      <c r="AD25" s="159"/>
      <c r="AE25" s="160"/>
      <c r="AF25" s="161"/>
      <c r="AG25" s="164"/>
      <c r="AH25" s="802"/>
      <c r="AI25" s="802"/>
      <c r="AK25" s="915" t="s">
        <v>265</v>
      </c>
      <c r="AL25" s="907" t="str">
        <f t="shared" si="0"/>
        <v/>
      </c>
      <c r="AM25" s="859">
        <f t="shared" si="1"/>
        <v>0</v>
      </c>
      <c r="AN25" s="859">
        <f t="shared" si="8"/>
        <v>0</v>
      </c>
      <c r="AP25" s="1278" t="s">
        <v>1088</v>
      </c>
      <c r="AQ25" s="196">
        <f>COUNTIF($P$7:$P$116,21)+COUNTIF($U$7:$U$116,21)</f>
        <v>0</v>
      </c>
      <c r="AR25" s="1115">
        <v>21</v>
      </c>
      <c r="AV25" s="1059" t="s">
        <v>1059</v>
      </c>
      <c r="AW25" s="1059" t="s">
        <v>644</v>
      </c>
      <c r="AX25" s="886"/>
      <c r="AY25" s="886"/>
      <c r="AZ25" s="886"/>
    </row>
    <row r="26" spans="2:52">
      <c r="B26" s="911" t="str">
        <f>前年度登録!AE23</f>
        <v/>
      </c>
      <c r="E26" s="912">
        <f>前年度登録!T23</f>
        <v>0</v>
      </c>
      <c r="F26" s="661" t="str">
        <f>前年度登録!DB23</f>
        <v/>
      </c>
      <c r="G26" s="1131" t="str">
        <f>前年度登録!AO23</f>
        <v/>
      </c>
      <c r="H26" s="661" t="str">
        <f>前年度登録!DB23</f>
        <v/>
      </c>
      <c r="I26" s="187" t="str">
        <f>前年度登録!AN23</f>
        <v/>
      </c>
      <c r="J26" s="1088" t="str">
        <f>前年度登録!DC23</f>
        <v/>
      </c>
      <c r="K26" s="1032">
        <f>前年度登録!DE23</f>
        <v>0</v>
      </c>
      <c r="L26" s="1033" t="str">
        <f>前年度登録!DJ23</f>
        <v>00</v>
      </c>
      <c r="M26" s="911" t="str">
        <f>前年度登録!AF23</f>
        <v/>
      </c>
      <c r="N26" s="1240">
        <f>前年度登録!S23</f>
        <v>0</v>
      </c>
      <c r="O26" s="338"/>
      <c r="P26" s="292" t="str">
        <f t="shared" si="2"/>
        <v/>
      </c>
      <c r="Q26" s="1282" t="str">
        <f>IF(O26="","",HLOOKUP(O26,前年度登録!$AW$3:$CW$118,21,FALSE))</f>
        <v/>
      </c>
      <c r="R26" s="1282" t="str">
        <f t="shared" si="3"/>
        <v/>
      </c>
      <c r="S26" s="1282" t="str">
        <f t="shared" si="4"/>
        <v/>
      </c>
      <c r="T26" s="368"/>
      <c r="U26" s="292" t="str">
        <f t="shared" si="5"/>
        <v/>
      </c>
      <c r="V26" s="669" t="str">
        <f>IF(T26="","",HLOOKUP(T26,前年度登録!$AW$3:$CW$118,21,FALSE))</f>
        <v/>
      </c>
      <c r="W26" s="769" t="str">
        <f t="shared" si="6"/>
        <v/>
      </c>
      <c r="X26" s="774" t="str">
        <f t="shared" si="7"/>
        <v/>
      </c>
      <c r="Y26" s="160"/>
      <c r="Z26" s="165"/>
      <c r="AA26" s="163"/>
      <c r="AB26" s="166"/>
      <c r="AC26" s="167"/>
      <c r="AD26" s="159"/>
      <c r="AE26" s="160"/>
      <c r="AF26" s="161"/>
      <c r="AG26" s="164"/>
      <c r="AH26" s="802"/>
      <c r="AI26" s="802"/>
      <c r="AK26" s="915" t="s">
        <v>325</v>
      </c>
      <c r="AL26" s="907" t="str">
        <f t="shared" si="0"/>
        <v/>
      </c>
      <c r="AM26" s="859">
        <f t="shared" si="1"/>
        <v>0</v>
      </c>
      <c r="AN26" s="859">
        <f t="shared" si="8"/>
        <v>0</v>
      </c>
      <c r="AP26" s="1278" t="s">
        <v>1089</v>
      </c>
      <c r="AQ26" s="196">
        <f>COUNTIF($P$7:$P$116,22)+COUNTIF($U$7:$U$116,22)</f>
        <v>0</v>
      </c>
      <c r="AR26" s="1115">
        <v>22</v>
      </c>
      <c r="AV26" s="1059" t="s">
        <v>761</v>
      </c>
      <c r="AW26" s="169" t="s">
        <v>398</v>
      </c>
      <c r="AX26" s="886"/>
      <c r="AY26" s="886"/>
      <c r="AZ26" s="886"/>
    </row>
    <row r="27" spans="2:52">
      <c r="B27" s="911" t="str">
        <f>前年度登録!AE24</f>
        <v/>
      </c>
      <c r="E27" s="912">
        <f>前年度登録!T24</f>
        <v>0</v>
      </c>
      <c r="F27" s="661" t="str">
        <f>前年度登録!DB24</f>
        <v/>
      </c>
      <c r="G27" s="1131" t="str">
        <f>前年度登録!AO24</f>
        <v/>
      </c>
      <c r="H27" s="661" t="str">
        <f>前年度登録!DB24</f>
        <v/>
      </c>
      <c r="I27" s="187" t="str">
        <f>前年度登録!AN24</f>
        <v/>
      </c>
      <c r="J27" s="1088" t="str">
        <f>前年度登録!DC24</f>
        <v/>
      </c>
      <c r="K27" s="1032">
        <f>前年度登録!DE24</f>
        <v>0</v>
      </c>
      <c r="L27" s="1033" t="str">
        <f>前年度登録!DJ24</f>
        <v>00</v>
      </c>
      <c r="M27" s="911" t="str">
        <f>前年度登録!AF24</f>
        <v/>
      </c>
      <c r="N27" s="1240">
        <f>前年度登録!S24</f>
        <v>0</v>
      </c>
      <c r="O27" s="338"/>
      <c r="P27" s="292" t="str">
        <f t="shared" si="2"/>
        <v/>
      </c>
      <c r="Q27" s="1282" t="str">
        <f>IF(O27="","",HLOOKUP(O27,前年度登録!$AW$3:$CW$118,22,FALSE))</f>
        <v/>
      </c>
      <c r="R27" s="1282" t="str">
        <f t="shared" si="3"/>
        <v/>
      </c>
      <c r="S27" s="1282" t="str">
        <f t="shared" si="4"/>
        <v/>
      </c>
      <c r="T27" s="368"/>
      <c r="U27" s="292" t="str">
        <f t="shared" si="5"/>
        <v/>
      </c>
      <c r="V27" s="669" t="str">
        <f>IF(T27="","",HLOOKUP(T27,前年度登録!$AW$3:$CW$118,22,FALSE))</f>
        <v/>
      </c>
      <c r="W27" s="769" t="str">
        <f t="shared" si="6"/>
        <v/>
      </c>
      <c r="X27" s="774" t="str">
        <f t="shared" si="7"/>
        <v/>
      </c>
      <c r="Y27" s="160"/>
      <c r="Z27" s="165"/>
      <c r="AA27" s="163"/>
      <c r="AB27" s="166"/>
      <c r="AC27" s="167"/>
      <c r="AD27" s="159"/>
      <c r="AE27" s="160"/>
      <c r="AF27" s="161"/>
      <c r="AG27" s="164"/>
      <c r="AH27" s="802"/>
      <c r="AI27" s="802"/>
      <c r="AK27" s="915" t="s">
        <v>318</v>
      </c>
      <c r="AL27" s="907" t="str">
        <f t="shared" si="0"/>
        <v/>
      </c>
      <c r="AM27" s="859">
        <f t="shared" si="1"/>
        <v>0</v>
      </c>
      <c r="AN27" s="859">
        <f t="shared" si="8"/>
        <v>0</v>
      </c>
      <c r="AP27" s="1278" t="s">
        <v>1090</v>
      </c>
      <c r="AQ27" s="196">
        <f>COUNTIF($P$7:$P$116,24)+COUNTIF($U$7:$U$116,24)</f>
        <v>0</v>
      </c>
      <c r="AR27" s="1115">
        <v>24</v>
      </c>
      <c r="AV27" s="1059" t="s">
        <v>395</v>
      </c>
      <c r="AW27" s="1059" t="s">
        <v>399</v>
      </c>
      <c r="AX27" s="886"/>
      <c r="AY27" s="886"/>
      <c r="AZ27" s="886"/>
    </row>
    <row r="28" spans="2:52">
      <c r="B28" s="911" t="str">
        <f>前年度登録!AE25</f>
        <v/>
      </c>
      <c r="E28" s="912">
        <f>前年度登録!T25</f>
        <v>0</v>
      </c>
      <c r="F28" s="661" t="str">
        <f>前年度登録!DB25</f>
        <v/>
      </c>
      <c r="G28" s="1131" t="str">
        <f>前年度登録!AO25</f>
        <v/>
      </c>
      <c r="H28" s="661" t="str">
        <f>前年度登録!DB25</f>
        <v/>
      </c>
      <c r="I28" s="187" t="str">
        <f>前年度登録!AN25</f>
        <v/>
      </c>
      <c r="J28" s="1088" t="str">
        <f>前年度登録!DC25</f>
        <v/>
      </c>
      <c r="K28" s="1032">
        <f>前年度登録!DE25</f>
        <v>0</v>
      </c>
      <c r="L28" s="1033" t="str">
        <f>前年度登録!DJ25</f>
        <v>00</v>
      </c>
      <c r="M28" s="911" t="str">
        <f>前年度登録!AF25</f>
        <v/>
      </c>
      <c r="N28" s="1240">
        <f>前年度登録!S25</f>
        <v>0</v>
      </c>
      <c r="O28" s="338"/>
      <c r="P28" s="292" t="str">
        <f t="shared" si="2"/>
        <v/>
      </c>
      <c r="Q28" s="1282" t="str">
        <f>IF(O28="","",HLOOKUP(O28,前年度登録!$AW$3:$CW$118,23,FALSE))</f>
        <v/>
      </c>
      <c r="R28" s="1282" t="str">
        <f t="shared" si="3"/>
        <v/>
      </c>
      <c r="S28" s="1282" t="str">
        <f t="shared" si="4"/>
        <v/>
      </c>
      <c r="T28" s="368"/>
      <c r="U28" s="292" t="str">
        <f t="shared" si="5"/>
        <v/>
      </c>
      <c r="V28" s="669" t="str">
        <f>IF(T28="","",HLOOKUP(T28,前年度登録!$AW$3:$CW$118,23,FALSE))</f>
        <v/>
      </c>
      <c r="W28" s="769" t="str">
        <f t="shared" si="6"/>
        <v/>
      </c>
      <c r="X28" s="774" t="str">
        <f t="shared" si="7"/>
        <v/>
      </c>
      <c r="Y28" s="160"/>
      <c r="Z28" s="165"/>
      <c r="AA28" s="163"/>
      <c r="AB28" s="166"/>
      <c r="AC28" s="167"/>
      <c r="AD28" s="159"/>
      <c r="AE28" s="160"/>
      <c r="AF28" s="161"/>
      <c r="AG28" s="164"/>
      <c r="AH28" s="802"/>
      <c r="AI28" s="802"/>
      <c r="AK28" s="915" t="s">
        <v>319</v>
      </c>
      <c r="AL28" s="907" t="str">
        <f t="shared" si="0"/>
        <v/>
      </c>
      <c r="AM28" s="859">
        <f t="shared" si="1"/>
        <v>0</v>
      </c>
      <c r="AN28" s="859">
        <f t="shared" si="8"/>
        <v>0</v>
      </c>
      <c r="AP28" s="1278" t="s">
        <v>1091</v>
      </c>
      <c r="AQ28" s="196">
        <f>COUNTIF($P$7:$P$116,25)+COUNTIF($U$7:$U$116,25)</f>
        <v>0</v>
      </c>
      <c r="AR28" s="1115">
        <v>25</v>
      </c>
      <c r="AV28" s="143" t="s">
        <v>396</v>
      </c>
      <c r="AW28" s="1059" t="s">
        <v>400</v>
      </c>
      <c r="AX28" s="886"/>
      <c r="AY28" s="886"/>
      <c r="AZ28" s="886"/>
    </row>
    <row r="29" spans="2:52">
      <c r="B29" s="911" t="str">
        <f>前年度登録!AE26</f>
        <v/>
      </c>
      <c r="E29" s="912">
        <f>前年度登録!T26</f>
        <v>0</v>
      </c>
      <c r="F29" s="661" t="str">
        <f>前年度登録!DB26</f>
        <v/>
      </c>
      <c r="G29" s="1131" t="str">
        <f>前年度登録!AO26</f>
        <v/>
      </c>
      <c r="H29" s="661" t="str">
        <f>前年度登録!DB26</f>
        <v/>
      </c>
      <c r="I29" s="187" t="str">
        <f>前年度登録!AN26</f>
        <v/>
      </c>
      <c r="J29" s="1088" t="str">
        <f>前年度登録!DC26</f>
        <v/>
      </c>
      <c r="K29" s="1032">
        <f>前年度登録!DE26</f>
        <v>0</v>
      </c>
      <c r="L29" s="1033" t="str">
        <f>前年度登録!DJ26</f>
        <v>00</v>
      </c>
      <c r="M29" s="911" t="str">
        <f>前年度登録!AF26</f>
        <v/>
      </c>
      <c r="N29" s="1240">
        <f>前年度登録!S26</f>
        <v>0</v>
      </c>
      <c r="O29" s="338"/>
      <c r="P29" s="292" t="str">
        <f t="shared" si="2"/>
        <v/>
      </c>
      <c r="Q29" s="1282" t="str">
        <f>IF(O29="","",HLOOKUP(O29,前年度登録!$AW$3:$CW$118,24,FALSE))</f>
        <v/>
      </c>
      <c r="R29" s="1282" t="str">
        <f t="shared" si="3"/>
        <v/>
      </c>
      <c r="S29" s="1282" t="str">
        <f t="shared" si="4"/>
        <v/>
      </c>
      <c r="T29" s="368"/>
      <c r="U29" s="292" t="str">
        <f t="shared" si="5"/>
        <v/>
      </c>
      <c r="V29" s="669" t="str">
        <f>IF(T29="","",HLOOKUP(T29,前年度登録!$AW$3:$CW$118,24,FALSE))</f>
        <v/>
      </c>
      <c r="W29" s="769" t="str">
        <f t="shared" si="6"/>
        <v/>
      </c>
      <c r="X29" s="774" t="str">
        <f t="shared" si="7"/>
        <v/>
      </c>
      <c r="Y29" s="160"/>
      <c r="Z29" s="165"/>
      <c r="AA29" s="163"/>
      <c r="AB29" s="166"/>
      <c r="AC29" s="167"/>
      <c r="AD29" s="159"/>
      <c r="AE29" s="160"/>
      <c r="AF29" s="161"/>
      <c r="AG29" s="164"/>
      <c r="AH29" s="802"/>
      <c r="AI29" s="802"/>
      <c r="AK29" s="915" t="s">
        <v>320</v>
      </c>
      <c r="AL29" s="907" t="str">
        <f t="shared" si="0"/>
        <v/>
      </c>
      <c r="AM29" s="859">
        <f t="shared" si="1"/>
        <v>0</v>
      </c>
      <c r="AN29" s="859">
        <f t="shared" si="8"/>
        <v>0</v>
      </c>
      <c r="AP29" s="1279" t="s">
        <v>1092</v>
      </c>
      <c r="AQ29" s="196">
        <f>COUNTIF($P$7:$P$116,26)+COUNTIF($U$7:$U$116,26)</f>
        <v>0</v>
      </c>
      <c r="AR29" s="1115">
        <v>26</v>
      </c>
      <c r="AV29" s="169" t="s">
        <v>397</v>
      </c>
      <c r="AW29" s="1059"/>
      <c r="AX29" s="886"/>
      <c r="AY29" s="886"/>
      <c r="AZ29" s="886"/>
    </row>
    <row r="30" spans="2:52">
      <c r="B30" s="911" t="str">
        <f>前年度登録!AE27</f>
        <v/>
      </c>
      <c r="E30" s="912">
        <f>前年度登録!T27</f>
        <v>0</v>
      </c>
      <c r="F30" s="661" t="str">
        <f>前年度登録!DB27</f>
        <v/>
      </c>
      <c r="G30" s="1131" t="str">
        <f>前年度登録!AO27</f>
        <v/>
      </c>
      <c r="H30" s="661" t="str">
        <f>前年度登録!DB27</f>
        <v/>
      </c>
      <c r="I30" s="187" t="str">
        <f>前年度登録!AN27</f>
        <v/>
      </c>
      <c r="J30" s="1088" t="str">
        <f>前年度登録!DC27</f>
        <v/>
      </c>
      <c r="K30" s="1032">
        <f>前年度登録!DE27</f>
        <v>0</v>
      </c>
      <c r="L30" s="1033" t="str">
        <f>前年度登録!DJ27</f>
        <v>00</v>
      </c>
      <c r="M30" s="911" t="str">
        <f>前年度登録!AF27</f>
        <v/>
      </c>
      <c r="N30" s="1240">
        <f>前年度登録!S27</f>
        <v>0</v>
      </c>
      <c r="O30" s="338"/>
      <c r="P30" s="292" t="str">
        <f t="shared" si="2"/>
        <v/>
      </c>
      <c r="Q30" s="1282" t="str">
        <f>IF(O30="","",HLOOKUP(O30,前年度登録!$AW$3:$CW$118,25,FALSE))</f>
        <v/>
      </c>
      <c r="R30" s="1282" t="str">
        <f t="shared" si="3"/>
        <v/>
      </c>
      <c r="S30" s="1282" t="str">
        <f t="shared" si="4"/>
        <v/>
      </c>
      <c r="T30" s="368"/>
      <c r="U30" s="292" t="str">
        <f t="shared" si="5"/>
        <v/>
      </c>
      <c r="V30" s="669" t="str">
        <f>IF(T30="","",HLOOKUP(T30,前年度登録!$AW$3:$CW$118,25,FALSE))</f>
        <v/>
      </c>
      <c r="W30" s="769" t="str">
        <f t="shared" si="6"/>
        <v/>
      </c>
      <c r="X30" s="774" t="str">
        <f t="shared" si="7"/>
        <v/>
      </c>
      <c r="Y30" s="160"/>
      <c r="Z30" s="165"/>
      <c r="AA30" s="163"/>
      <c r="AB30" s="166"/>
      <c r="AC30" s="167"/>
      <c r="AD30" s="159"/>
      <c r="AE30" s="160"/>
      <c r="AF30" s="161"/>
      <c r="AG30" s="164"/>
      <c r="AH30" s="802"/>
      <c r="AI30" s="802"/>
      <c r="AK30" s="915" t="s">
        <v>321</v>
      </c>
      <c r="AL30" s="907" t="str">
        <f t="shared" si="0"/>
        <v/>
      </c>
      <c r="AM30" s="859">
        <f t="shared" si="1"/>
        <v>0</v>
      </c>
      <c r="AN30" s="859">
        <f t="shared" si="8"/>
        <v>0</v>
      </c>
      <c r="AP30" s="1278" t="s">
        <v>1093</v>
      </c>
      <c r="AQ30" s="196">
        <f>COUNTIF($P$7:$P$116,27)+COUNTIF($U$7:$U$116,27)</f>
        <v>0</v>
      </c>
      <c r="AR30" s="1115">
        <v>27</v>
      </c>
      <c r="AV30" s="169" t="s">
        <v>398</v>
      </c>
      <c r="AW30" s="1059"/>
      <c r="AX30" s="886"/>
      <c r="AY30" s="886"/>
      <c r="AZ30" s="886"/>
    </row>
    <row r="31" spans="2:52">
      <c r="B31" s="911" t="str">
        <f>前年度登録!AE28</f>
        <v/>
      </c>
      <c r="E31" s="912">
        <f>前年度登録!T28</f>
        <v>0</v>
      </c>
      <c r="F31" s="661" t="str">
        <f>前年度登録!DB28</f>
        <v/>
      </c>
      <c r="G31" s="1131" t="str">
        <f>前年度登録!AO28</f>
        <v/>
      </c>
      <c r="H31" s="661" t="str">
        <f>前年度登録!DB28</f>
        <v/>
      </c>
      <c r="I31" s="187" t="str">
        <f>前年度登録!AN28</f>
        <v/>
      </c>
      <c r="J31" s="1088" t="str">
        <f>前年度登録!DC28</f>
        <v/>
      </c>
      <c r="K31" s="1032">
        <f>前年度登録!DE28</f>
        <v>0</v>
      </c>
      <c r="L31" s="1033" t="str">
        <f>前年度登録!DJ28</f>
        <v>00</v>
      </c>
      <c r="M31" s="911" t="str">
        <f>前年度登録!AF28</f>
        <v/>
      </c>
      <c r="N31" s="1240">
        <f>前年度登録!S28</f>
        <v>0</v>
      </c>
      <c r="O31" s="338"/>
      <c r="P31" s="292" t="str">
        <f t="shared" si="2"/>
        <v/>
      </c>
      <c r="Q31" s="1282" t="str">
        <f>IF(O31="","",HLOOKUP(O31,前年度登録!$AW$3:$CW$118,26,FALSE))</f>
        <v/>
      </c>
      <c r="R31" s="1282" t="str">
        <f t="shared" si="3"/>
        <v/>
      </c>
      <c r="S31" s="1282" t="str">
        <f t="shared" si="4"/>
        <v/>
      </c>
      <c r="T31" s="368"/>
      <c r="U31" s="292" t="str">
        <f t="shared" si="5"/>
        <v/>
      </c>
      <c r="V31" s="669" t="str">
        <f>IF(T31="","",HLOOKUP(T31,前年度登録!$AW$3:$CW$118,26,FALSE))</f>
        <v/>
      </c>
      <c r="W31" s="769" t="str">
        <f t="shared" si="6"/>
        <v/>
      </c>
      <c r="X31" s="774" t="str">
        <f t="shared" si="7"/>
        <v/>
      </c>
      <c r="Y31" s="160"/>
      <c r="Z31" s="165"/>
      <c r="AA31" s="163"/>
      <c r="AB31" s="166"/>
      <c r="AC31" s="167"/>
      <c r="AD31" s="159"/>
      <c r="AE31" s="160"/>
      <c r="AF31" s="161"/>
      <c r="AG31" s="164"/>
      <c r="AH31" s="802"/>
      <c r="AI31" s="802"/>
      <c r="AK31" s="915" t="s">
        <v>395</v>
      </c>
      <c r="AL31" s="907" t="str">
        <f t="shared" si="0"/>
        <v/>
      </c>
      <c r="AM31" s="859">
        <f t="shared" si="1"/>
        <v>0</v>
      </c>
      <c r="AN31" s="859">
        <f t="shared" si="8"/>
        <v>0</v>
      </c>
      <c r="AP31" s="1278" t="s">
        <v>1094</v>
      </c>
      <c r="AQ31" s="197">
        <f>COUNTIF($P$7:$P$116,23)+COUNTIF($U$7:$U$116,23)</f>
        <v>0</v>
      </c>
      <c r="AR31" s="1115">
        <v>23</v>
      </c>
      <c r="AV31" s="1059" t="s">
        <v>399</v>
      </c>
      <c r="AW31" s="1059"/>
      <c r="AX31" s="886"/>
      <c r="AY31" s="886"/>
      <c r="AZ31" s="886"/>
    </row>
    <row r="32" spans="2:52">
      <c r="B32" s="911" t="str">
        <f>前年度登録!AE29</f>
        <v/>
      </c>
      <c r="E32" s="912">
        <f>前年度登録!T29</f>
        <v>0</v>
      </c>
      <c r="F32" s="661" t="str">
        <f>前年度登録!DB29</f>
        <v/>
      </c>
      <c r="G32" s="1131" t="str">
        <f>前年度登録!AO29</f>
        <v/>
      </c>
      <c r="H32" s="661" t="str">
        <f>前年度登録!DB29</f>
        <v/>
      </c>
      <c r="I32" s="187" t="str">
        <f>前年度登録!AN29</f>
        <v/>
      </c>
      <c r="J32" s="1088" t="str">
        <f>前年度登録!DC29</f>
        <v/>
      </c>
      <c r="K32" s="1032">
        <f>前年度登録!DE29</f>
        <v>0</v>
      </c>
      <c r="L32" s="1033" t="str">
        <f>前年度登録!DJ29</f>
        <v>00</v>
      </c>
      <c r="M32" s="911" t="str">
        <f>前年度登録!AF29</f>
        <v/>
      </c>
      <c r="N32" s="1240">
        <f>前年度登録!S29</f>
        <v>0</v>
      </c>
      <c r="O32" s="338"/>
      <c r="P32" s="292" t="str">
        <f t="shared" si="2"/>
        <v/>
      </c>
      <c r="Q32" s="1282" t="str">
        <f>IF(O32="","",HLOOKUP(O32,前年度登録!$AW$3:$CW$118,27,FALSE))</f>
        <v/>
      </c>
      <c r="R32" s="1282" t="str">
        <f t="shared" si="3"/>
        <v/>
      </c>
      <c r="S32" s="1282" t="str">
        <f t="shared" si="4"/>
        <v/>
      </c>
      <c r="T32" s="368"/>
      <c r="U32" s="292" t="str">
        <f t="shared" si="5"/>
        <v/>
      </c>
      <c r="V32" s="669" t="str">
        <f>IF(T32="","",HLOOKUP(T32,前年度登録!$AW$3:$CW$118,27,FALSE))</f>
        <v/>
      </c>
      <c r="W32" s="769" t="str">
        <f t="shared" si="6"/>
        <v/>
      </c>
      <c r="X32" s="774" t="str">
        <f t="shared" si="7"/>
        <v/>
      </c>
      <c r="Y32" s="160"/>
      <c r="Z32" s="165"/>
      <c r="AA32" s="163"/>
      <c r="AB32" s="166"/>
      <c r="AC32" s="167"/>
      <c r="AD32" s="159"/>
      <c r="AE32" s="160"/>
      <c r="AF32" s="161"/>
      <c r="AG32" s="164"/>
      <c r="AH32" s="802"/>
      <c r="AI32" s="802"/>
      <c r="AK32" s="143" t="s">
        <v>396</v>
      </c>
      <c r="AL32" s="907" t="str">
        <f t="shared" si="0"/>
        <v/>
      </c>
      <c r="AM32" s="859">
        <f t="shared" si="1"/>
        <v>0</v>
      </c>
      <c r="AN32" s="859">
        <f t="shared" si="8"/>
        <v>0</v>
      </c>
      <c r="AP32" s="1278" t="s">
        <v>1095</v>
      </c>
      <c r="AQ32" s="197">
        <f>COUNTIF($P$7:$P$116,29)+COUNTIF($U$7:$U$116,29)</f>
        <v>0</v>
      </c>
      <c r="AR32" s="1115">
        <v>29</v>
      </c>
      <c r="AV32" s="1059" t="s">
        <v>400</v>
      </c>
      <c r="AW32" s="143"/>
      <c r="AX32" s="886"/>
      <c r="AY32" s="886"/>
      <c r="AZ32" s="886"/>
    </row>
    <row r="33" spans="2:52" ht="14.25" thickBot="1">
      <c r="B33" s="911" t="str">
        <f>前年度登録!AE30</f>
        <v/>
      </c>
      <c r="E33" s="912">
        <f>前年度登録!T30</f>
        <v>0</v>
      </c>
      <c r="F33" s="661" t="str">
        <f>前年度登録!DB30</f>
        <v/>
      </c>
      <c r="G33" s="1131" t="str">
        <f>前年度登録!AO30</f>
        <v/>
      </c>
      <c r="H33" s="661" t="str">
        <f>前年度登録!DB30</f>
        <v/>
      </c>
      <c r="I33" s="187" t="str">
        <f>前年度登録!AN30</f>
        <v/>
      </c>
      <c r="J33" s="1088" t="str">
        <f>前年度登録!DC30</f>
        <v/>
      </c>
      <c r="K33" s="1032">
        <f>前年度登録!DE30</f>
        <v>0</v>
      </c>
      <c r="L33" s="1033" t="str">
        <f>前年度登録!DJ30</f>
        <v>00</v>
      </c>
      <c r="M33" s="911" t="str">
        <f>前年度登録!AF30</f>
        <v/>
      </c>
      <c r="N33" s="1240">
        <f>前年度登録!S30</f>
        <v>0</v>
      </c>
      <c r="O33" s="338"/>
      <c r="P33" s="292" t="str">
        <f t="shared" si="2"/>
        <v/>
      </c>
      <c r="Q33" s="1282" t="str">
        <f>IF(O33="","",HLOOKUP(O33,前年度登録!$AW$3:$CW$118,28,FALSE))</f>
        <v/>
      </c>
      <c r="R33" s="1282" t="str">
        <f t="shared" si="3"/>
        <v/>
      </c>
      <c r="S33" s="1282" t="str">
        <f t="shared" si="4"/>
        <v/>
      </c>
      <c r="T33" s="368"/>
      <c r="U33" s="292" t="str">
        <f t="shared" si="5"/>
        <v/>
      </c>
      <c r="V33" s="669" t="str">
        <f>IF(T33="","",HLOOKUP(T33,前年度登録!$AW$3:$CW$118,28,FALSE))</f>
        <v/>
      </c>
      <c r="W33" s="769" t="str">
        <f t="shared" si="6"/>
        <v/>
      </c>
      <c r="X33" s="774" t="str">
        <f t="shared" si="7"/>
        <v/>
      </c>
      <c r="Y33" s="160"/>
      <c r="Z33" s="165"/>
      <c r="AA33" s="163"/>
      <c r="AB33" s="166"/>
      <c r="AC33" s="167"/>
      <c r="AD33" s="159"/>
      <c r="AE33" s="160"/>
      <c r="AF33" s="161"/>
      <c r="AG33" s="164"/>
      <c r="AH33" s="802"/>
      <c r="AI33" s="802"/>
      <c r="AK33" s="169" t="s">
        <v>397</v>
      </c>
      <c r="AL33" s="907" t="str">
        <f t="shared" si="0"/>
        <v/>
      </c>
      <c r="AM33" s="859">
        <f t="shared" si="1"/>
        <v>0</v>
      </c>
      <c r="AN33" s="859">
        <f t="shared" si="8"/>
        <v>0</v>
      </c>
      <c r="AP33" s="917" t="s">
        <v>450</v>
      </c>
      <c r="AQ33" s="203">
        <f>SUM(AQ8:AQ32)</f>
        <v>0</v>
      </c>
      <c r="AV33" s="1059"/>
      <c r="AW33" s="143"/>
      <c r="AX33" s="886"/>
      <c r="AY33" s="886"/>
      <c r="AZ33" s="886"/>
    </row>
    <row r="34" spans="2:52" ht="14.25" thickBot="1">
      <c r="B34" s="911" t="str">
        <f>前年度登録!AE31</f>
        <v/>
      </c>
      <c r="E34" s="912">
        <f>前年度登録!T31</f>
        <v>0</v>
      </c>
      <c r="F34" s="661" t="str">
        <f>前年度登録!DB31</f>
        <v/>
      </c>
      <c r="G34" s="1131" t="str">
        <f>前年度登録!AO31</f>
        <v/>
      </c>
      <c r="H34" s="661" t="str">
        <f>前年度登録!DB31</f>
        <v/>
      </c>
      <c r="I34" s="187" t="str">
        <f>前年度登録!AN31</f>
        <v/>
      </c>
      <c r="J34" s="1088" t="str">
        <f>前年度登録!DC31</f>
        <v/>
      </c>
      <c r="K34" s="1032">
        <f>前年度登録!DE31</f>
        <v>0</v>
      </c>
      <c r="L34" s="1033" t="str">
        <f>前年度登録!DJ31</f>
        <v>00</v>
      </c>
      <c r="M34" s="911" t="str">
        <f>前年度登録!AF31</f>
        <v/>
      </c>
      <c r="N34" s="1240">
        <f>前年度登録!S31</f>
        <v>0</v>
      </c>
      <c r="O34" s="338"/>
      <c r="P34" s="292" t="str">
        <f t="shared" si="2"/>
        <v/>
      </c>
      <c r="Q34" s="1282" t="str">
        <f>IF(O34="","",HLOOKUP(O34,前年度登録!$AW$3:$CW$118,29,FALSE))</f>
        <v/>
      </c>
      <c r="R34" s="1282" t="str">
        <f t="shared" si="3"/>
        <v/>
      </c>
      <c r="S34" s="1282" t="str">
        <f t="shared" si="4"/>
        <v/>
      </c>
      <c r="T34" s="368"/>
      <c r="U34" s="292" t="str">
        <f t="shared" si="5"/>
        <v/>
      </c>
      <c r="V34" s="669" t="str">
        <f>IF(T34="","",HLOOKUP(T34,前年度登録!$AW$3:$CW$118,29,FALSE))</f>
        <v/>
      </c>
      <c r="W34" s="769" t="str">
        <f t="shared" si="6"/>
        <v/>
      </c>
      <c r="X34" s="774" t="str">
        <f t="shared" si="7"/>
        <v/>
      </c>
      <c r="Y34" s="160"/>
      <c r="Z34" s="165"/>
      <c r="AA34" s="163"/>
      <c r="AB34" s="166"/>
      <c r="AC34" s="167"/>
      <c r="AD34" s="159"/>
      <c r="AE34" s="160"/>
      <c r="AF34" s="161"/>
      <c r="AG34" s="164"/>
      <c r="AH34" s="802"/>
      <c r="AI34" s="802"/>
      <c r="AK34" s="169" t="s">
        <v>398</v>
      </c>
      <c r="AL34" s="907" t="str">
        <f t="shared" si="0"/>
        <v/>
      </c>
      <c r="AM34" s="859">
        <f t="shared" si="1"/>
        <v>0</v>
      </c>
      <c r="AN34" s="859">
        <f t="shared" si="8"/>
        <v>0</v>
      </c>
      <c r="AP34" s="1431" t="s">
        <v>275</v>
      </c>
      <c r="AQ34" s="1432"/>
      <c r="AV34" s="1059"/>
      <c r="AW34" s="143"/>
      <c r="AX34" s="886"/>
      <c r="AY34" s="886"/>
      <c r="AZ34" s="886"/>
    </row>
    <row r="35" spans="2:52">
      <c r="B35" s="911" t="str">
        <f>前年度登録!AE32</f>
        <v/>
      </c>
      <c r="E35" s="912">
        <f>前年度登録!T32</f>
        <v>0</v>
      </c>
      <c r="F35" s="661" t="str">
        <f>前年度登録!DB32</f>
        <v/>
      </c>
      <c r="G35" s="1131" t="str">
        <f>前年度登録!AO32</f>
        <v/>
      </c>
      <c r="H35" s="661" t="str">
        <f>前年度登録!DB32</f>
        <v/>
      </c>
      <c r="I35" s="187" t="str">
        <f>前年度登録!AN32</f>
        <v/>
      </c>
      <c r="J35" s="1088" t="str">
        <f>前年度登録!DC32</f>
        <v/>
      </c>
      <c r="K35" s="1032">
        <f>前年度登録!DE32</f>
        <v>0</v>
      </c>
      <c r="L35" s="1033" t="str">
        <f>前年度登録!DJ32</f>
        <v>00</v>
      </c>
      <c r="M35" s="911" t="str">
        <f>前年度登録!AF32</f>
        <v/>
      </c>
      <c r="N35" s="1240">
        <f>前年度登録!S32</f>
        <v>0</v>
      </c>
      <c r="O35" s="338"/>
      <c r="P35" s="292" t="str">
        <f t="shared" si="2"/>
        <v/>
      </c>
      <c r="Q35" s="1282" t="str">
        <f>IF(O35="","",HLOOKUP(O35,前年度登録!$AW$3:$CW$118,30,FALSE))</f>
        <v/>
      </c>
      <c r="R35" s="1282" t="str">
        <f t="shared" si="3"/>
        <v/>
      </c>
      <c r="S35" s="1282" t="str">
        <f t="shared" si="4"/>
        <v/>
      </c>
      <c r="T35" s="368"/>
      <c r="U35" s="292" t="str">
        <f t="shared" si="5"/>
        <v/>
      </c>
      <c r="V35" s="669" t="str">
        <f>IF(T35="","",HLOOKUP(T35,前年度登録!$AW$3:$CW$118,30,FALSE))</f>
        <v/>
      </c>
      <c r="W35" s="769" t="str">
        <f t="shared" si="6"/>
        <v/>
      </c>
      <c r="X35" s="774" t="str">
        <f t="shared" si="7"/>
        <v/>
      </c>
      <c r="Y35" s="160"/>
      <c r="Z35" s="165"/>
      <c r="AA35" s="163"/>
      <c r="AB35" s="166"/>
      <c r="AC35" s="167"/>
      <c r="AD35" s="159"/>
      <c r="AE35" s="160"/>
      <c r="AF35" s="161"/>
      <c r="AG35" s="164"/>
      <c r="AH35" s="802"/>
      <c r="AI35" s="802"/>
      <c r="AK35" s="915" t="s">
        <v>399</v>
      </c>
      <c r="AL35" s="907" t="str">
        <f t="shared" si="0"/>
        <v/>
      </c>
      <c r="AM35" s="859">
        <f t="shared" si="1"/>
        <v>0</v>
      </c>
      <c r="AN35" s="859">
        <f t="shared" si="8"/>
        <v>0</v>
      </c>
      <c r="AP35" s="1280" t="s">
        <v>1071</v>
      </c>
      <c r="AQ35" s="196">
        <f>COUNTIF($P$7:$P$116,40)+COUNTIF($U$7:$U$116,40)</f>
        <v>0</v>
      </c>
      <c r="AR35" s="1115">
        <v>40</v>
      </c>
      <c r="AV35" s="1059"/>
      <c r="AW35" s="143"/>
      <c r="AX35" s="886"/>
      <c r="AY35" s="886"/>
      <c r="AZ35" s="886"/>
    </row>
    <row r="36" spans="2:52">
      <c r="B36" s="911" t="str">
        <f>前年度登録!AE33</f>
        <v/>
      </c>
      <c r="E36" s="912">
        <f>前年度登録!T33</f>
        <v>0</v>
      </c>
      <c r="F36" s="661" t="str">
        <f>前年度登録!DB33</f>
        <v/>
      </c>
      <c r="G36" s="1131" t="str">
        <f>前年度登録!AO33</f>
        <v/>
      </c>
      <c r="H36" s="661" t="str">
        <f>前年度登録!DB33</f>
        <v/>
      </c>
      <c r="I36" s="187" t="str">
        <f>前年度登録!AN33</f>
        <v/>
      </c>
      <c r="J36" s="1088" t="str">
        <f>前年度登録!DC33</f>
        <v/>
      </c>
      <c r="K36" s="1032">
        <f>前年度登録!DE33</f>
        <v>0</v>
      </c>
      <c r="L36" s="1033" t="str">
        <f>前年度登録!DJ33</f>
        <v>00</v>
      </c>
      <c r="M36" s="911" t="str">
        <f>前年度登録!AF33</f>
        <v/>
      </c>
      <c r="N36" s="1240">
        <f>前年度登録!S33</f>
        <v>0</v>
      </c>
      <c r="O36" s="338"/>
      <c r="P36" s="292" t="str">
        <f t="shared" si="2"/>
        <v/>
      </c>
      <c r="Q36" s="1282" t="str">
        <f>IF(O36="","",HLOOKUP(O36,前年度登録!$AW$3:$CW$118,31,FALSE))</f>
        <v/>
      </c>
      <c r="R36" s="1282" t="str">
        <f t="shared" si="3"/>
        <v/>
      </c>
      <c r="S36" s="1282" t="str">
        <f t="shared" si="4"/>
        <v/>
      </c>
      <c r="T36" s="368"/>
      <c r="U36" s="292" t="str">
        <f t="shared" si="5"/>
        <v/>
      </c>
      <c r="V36" s="669" t="str">
        <f>IF(T36="","",HLOOKUP(T36,前年度登録!$AW$3:$CW$118,31,FALSE))</f>
        <v/>
      </c>
      <c r="W36" s="769" t="str">
        <f t="shared" si="6"/>
        <v/>
      </c>
      <c r="X36" s="774" t="str">
        <f t="shared" si="7"/>
        <v/>
      </c>
      <c r="Y36" s="160"/>
      <c r="Z36" s="165"/>
      <c r="AA36" s="163"/>
      <c r="AB36" s="166"/>
      <c r="AC36" s="167"/>
      <c r="AD36" s="159"/>
      <c r="AE36" s="160"/>
      <c r="AF36" s="161"/>
      <c r="AG36" s="164"/>
      <c r="AH36" s="802"/>
      <c r="AI36" s="802"/>
      <c r="AK36" s="915" t="s">
        <v>400</v>
      </c>
      <c r="AL36" s="907" t="str">
        <f t="shared" si="0"/>
        <v/>
      </c>
      <c r="AM36" s="859">
        <f t="shared" si="1"/>
        <v>0</v>
      </c>
      <c r="AN36" s="859">
        <f t="shared" si="8"/>
        <v>0</v>
      </c>
      <c r="AP36" s="1278" t="s">
        <v>1072</v>
      </c>
      <c r="AQ36" s="196">
        <f>COUNTIF($P$7:$P$116,41)+COUNTIF($U$7:$U$116,41)</f>
        <v>0</v>
      </c>
      <c r="AR36" s="1115">
        <v>41</v>
      </c>
      <c r="AV36" s="143"/>
      <c r="AW36" s="143"/>
      <c r="AX36" s="886"/>
      <c r="AY36" s="886"/>
      <c r="AZ36" s="886"/>
    </row>
    <row r="37" spans="2:52">
      <c r="B37" s="911" t="str">
        <f>前年度登録!AE34</f>
        <v/>
      </c>
      <c r="E37" s="912">
        <f>前年度登録!T34</f>
        <v>0</v>
      </c>
      <c r="F37" s="661" t="str">
        <f>前年度登録!DB34</f>
        <v/>
      </c>
      <c r="G37" s="1131" t="str">
        <f>前年度登録!AO34</f>
        <v/>
      </c>
      <c r="H37" s="661" t="str">
        <f>前年度登録!DB34</f>
        <v/>
      </c>
      <c r="I37" s="187" t="str">
        <f>前年度登録!AN34</f>
        <v/>
      </c>
      <c r="J37" s="1088" t="str">
        <f>前年度登録!DC34</f>
        <v/>
      </c>
      <c r="K37" s="1032">
        <f>前年度登録!DE34</f>
        <v>0</v>
      </c>
      <c r="L37" s="1033" t="str">
        <f>前年度登録!DJ34</f>
        <v>00</v>
      </c>
      <c r="M37" s="911" t="str">
        <f>前年度登録!AF34</f>
        <v/>
      </c>
      <c r="N37" s="1240">
        <f>前年度登録!S34</f>
        <v>0</v>
      </c>
      <c r="O37" s="338"/>
      <c r="P37" s="292" t="str">
        <f t="shared" si="2"/>
        <v/>
      </c>
      <c r="Q37" s="1282" t="str">
        <f>IF(O37="","",HLOOKUP(O37,前年度登録!$AW$3:$CW$118,32,FALSE))</f>
        <v/>
      </c>
      <c r="R37" s="1282" t="str">
        <f t="shared" si="3"/>
        <v/>
      </c>
      <c r="S37" s="1282" t="str">
        <f t="shared" si="4"/>
        <v/>
      </c>
      <c r="T37" s="368"/>
      <c r="U37" s="292" t="str">
        <f t="shared" si="5"/>
        <v/>
      </c>
      <c r="V37" s="669" t="str">
        <f>IF(T37="","",HLOOKUP(T37,前年度登録!$AW$3:$CW$118,32,FALSE))</f>
        <v/>
      </c>
      <c r="W37" s="769" t="str">
        <f t="shared" si="6"/>
        <v/>
      </c>
      <c r="X37" s="774" t="str">
        <f t="shared" si="7"/>
        <v/>
      </c>
      <c r="Y37" s="160"/>
      <c r="Z37" s="165"/>
      <c r="AA37" s="163"/>
      <c r="AB37" s="166"/>
      <c r="AC37" s="167"/>
      <c r="AD37" s="159"/>
      <c r="AE37" s="160"/>
      <c r="AF37" s="161"/>
      <c r="AG37" s="164"/>
      <c r="AH37" s="802"/>
      <c r="AI37" s="802"/>
      <c r="AK37" s="915"/>
      <c r="AL37" s="907" t="str">
        <f t="shared" si="0"/>
        <v/>
      </c>
      <c r="AM37" s="859">
        <f t="shared" si="1"/>
        <v>0</v>
      </c>
      <c r="AN37" s="859">
        <f t="shared" si="8"/>
        <v>0</v>
      </c>
      <c r="AP37" s="1278" t="s">
        <v>1073</v>
      </c>
      <c r="AQ37" s="196">
        <f>COUNTIF($P$7:$P$116,42)+COUNTIF($U$7:$U$116,42)</f>
        <v>0</v>
      </c>
      <c r="AR37" s="1115">
        <v>42</v>
      </c>
      <c r="AV37" s="143"/>
      <c r="AW37" s="143"/>
      <c r="AX37" s="886"/>
      <c r="AY37" s="886"/>
      <c r="AZ37" s="886"/>
    </row>
    <row r="38" spans="2:52">
      <c r="B38" s="911" t="str">
        <f>前年度登録!AE35</f>
        <v/>
      </c>
      <c r="E38" s="912">
        <f>前年度登録!T35</f>
        <v>0</v>
      </c>
      <c r="F38" s="661" t="str">
        <f>前年度登録!DB35</f>
        <v/>
      </c>
      <c r="G38" s="1131" t="str">
        <f>前年度登録!AO35</f>
        <v/>
      </c>
      <c r="H38" s="661" t="str">
        <f>前年度登録!DB35</f>
        <v/>
      </c>
      <c r="I38" s="187" t="str">
        <f>前年度登録!AN35</f>
        <v/>
      </c>
      <c r="J38" s="1088" t="str">
        <f>前年度登録!DC35</f>
        <v/>
      </c>
      <c r="K38" s="1032">
        <f>前年度登録!DE35</f>
        <v>0</v>
      </c>
      <c r="L38" s="1033" t="str">
        <f>前年度登録!DJ35</f>
        <v>00</v>
      </c>
      <c r="M38" s="911" t="str">
        <f>前年度登録!AF35</f>
        <v/>
      </c>
      <c r="N38" s="1240">
        <f>前年度登録!S35</f>
        <v>0</v>
      </c>
      <c r="O38" s="338"/>
      <c r="P38" s="292" t="str">
        <f t="shared" si="2"/>
        <v/>
      </c>
      <c r="Q38" s="1282" t="str">
        <f>IF(O38="","",HLOOKUP(O38,前年度登録!$AW$3:$CW$118,33,FALSE))</f>
        <v/>
      </c>
      <c r="R38" s="1282" t="str">
        <f t="shared" si="3"/>
        <v/>
      </c>
      <c r="S38" s="1282" t="str">
        <f t="shared" si="4"/>
        <v/>
      </c>
      <c r="T38" s="368"/>
      <c r="U38" s="292" t="str">
        <f t="shared" si="5"/>
        <v/>
      </c>
      <c r="V38" s="669" t="str">
        <f>IF(T38="","",HLOOKUP(T38,前年度登録!$AW$3:$CW$118,33,FALSE))</f>
        <v/>
      </c>
      <c r="W38" s="769" t="str">
        <f t="shared" si="6"/>
        <v/>
      </c>
      <c r="X38" s="774" t="str">
        <f t="shared" si="7"/>
        <v/>
      </c>
      <c r="Y38" s="160"/>
      <c r="Z38" s="165"/>
      <c r="AA38" s="163"/>
      <c r="AB38" s="166"/>
      <c r="AC38" s="167"/>
      <c r="AD38" s="159"/>
      <c r="AE38" s="160"/>
      <c r="AF38" s="161"/>
      <c r="AG38" s="164"/>
      <c r="AH38" s="802"/>
      <c r="AI38" s="802"/>
      <c r="AK38" s="915"/>
      <c r="AL38" s="907" t="str">
        <f t="shared" si="0"/>
        <v/>
      </c>
      <c r="AM38" s="859">
        <f t="shared" si="1"/>
        <v>0</v>
      </c>
      <c r="AN38" s="859">
        <f t="shared" si="8"/>
        <v>0</v>
      </c>
      <c r="AP38" s="1278" t="s">
        <v>1074</v>
      </c>
      <c r="AQ38" s="196">
        <f>COUNTIF($P$7:$P$116,43)+COUNTIF($U$7:$U$116,43)</f>
        <v>0</v>
      </c>
      <c r="AR38" s="1115">
        <v>43</v>
      </c>
      <c r="AV38" s="143"/>
      <c r="AW38" s="143"/>
      <c r="AX38" s="886"/>
      <c r="AY38" s="886"/>
      <c r="AZ38" s="886"/>
    </row>
    <row r="39" spans="2:52">
      <c r="B39" s="911" t="str">
        <f>前年度登録!AE36</f>
        <v/>
      </c>
      <c r="E39" s="912">
        <f>前年度登録!T36</f>
        <v>0</v>
      </c>
      <c r="F39" s="661" t="str">
        <f>前年度登録!DB36</f>
        <v/>
      </c>
      <c r="G39" s="1131" t="str">
        <f>前年度登録!AO36</f>
        <v/>
      </c>
      <c r="H39" s="661" t="str">
        <f>前年度登録!DB36</f>
        <v/>
      </c>
      <c r="I39" s="187" t="str">
        <f>前年度登録!AN36</f>
        <v/>
      </c>
      <c r="J39" s="1088" t="str">
        <f>前年度登録!DC36</f>
        <v/>
      </c>
      <c r="K39" s="1032">
        <f>前年度登録!DE36</f>
        <v>0</v>
      </c>
      <c r="L39" s="1033" t="str">
        <f>前年度登録!DJ36</f>
        <v>00</v>
      </c>
      <c r="M39" s="911" t="str">
        <f>前年度登録!AF36</f>
        <v/>
      </c>
      <c r="N39" s="1240">
        <f>前年度登録!S36</f>
        <v>0</v>
      </c>
      <c r="O39" s="338"/>
      <c r="P39" s="292" t="str">
        <f t="shared" si="2"/>
        <v/>
      </c>
      <c r="Q39" s="1282" t="str">
        <f>IF(O39="","",HLOOKUP(O39,前年度登録!$AW$3:$CW$118,34,FALSE))</f>
        <v/>
      </c>
      <c r="R39" s="1282" t="str">
        <f t="shared" si="3"/>
        <v/>
      </c>
      <c r="S39" s="1282" t="str">
        <f t="shared" si="4"/>
        <v/>
      </c>
      <c r="T39" s="368"/>
      <c r="U39" s="292" t="str">
        <f t="shared" si="5"/>
        <v/>
      </c>
      <c r="V39" s="669" t="str">
        <f>IF(T39="","",HLOOKUP(T39,前年度登録!$AW$3:$CW$118,34,FALSE))</f>
        <v/>
      </c>
      <c r="W39" s="769" t="str">
        <f t="shared" si="6"/>
        <v/>
      </c>
      <c r="X39" s="774" t="str">
        <f t="shared" si="7"/>
        <v/>
      </c>
      <c r="Y39" s="160"/>
      <c r="Z39" s="165"/>
      <c r="AA39" s="163"/>
      <c r="AB39" s="166"/>
      <c r="AC39" s="167"/>
      <c r="AD39" s="159"/>
      <c r="AE39" s="160"/>
      <c r="AF39" s="161"/>
      <c r="AG39" s="164"/>
      <c r="AH39" s="802"/>
      <c r="AI39" s="802"/>
      <c r="AK39" s="915"/>
      <c r="AL39" s="907" t="str">
        <f t="shared" ref="AL39:AL70" si="9">IF(O39="","",1)</f>
        <v/>
      </c>
      <c r="AM39" s="859">
        <f t="shared" ref="AM39:AM70" si="10">IF(OR(AL39=1,T39=""),0,1)</f>
        <v>0</v>
      </c>
      <c r="AN39" s="859">
        <f t="shared" ref="AN39:AN70" si="11">IF(OR(AL39=1,AM39=1,AB39=""),0,1)</f>
        <v>0</v>
      </c>
      <c r="AP39" s="1278" t="s">
        <v>1075</v>
      </c>
      <c r="AQ39" s="196">
        <f>COUNTIF($P$7:$P$116,44)+COUNTIF($U$7:$U$116,44)</f>
        <v>0</v>
      </c>
      <c r="AR39" s="1115">
        <v>44</v>
      </c>
      <c r="AV39" s="143"/>
      <c r="AW39" s="143"/>
      <c r="AX39" s="886"/>
      <c r="AY39" s="886"/>
      <c r="AZ39" s="886"/>
    </row>
    <row r="40" spans="2:52">
      <c r="B40" s="911" t="str">
        <f>前年度登録!AE37</f>
        <v/>
      </c>
      <c r="E40" s="912">
        <f>前年度登録!T37</f>
        <v>0</v>
      </c>
      <c r="F40" s="661" t="str">
        <f>前年度登録!DB37</f>
        <v/>
      </c>
      <c r="G40" s="1131" t="str">
        <f>前年度登録!AO37</f>
        <v/>
      </c>
      <c r="H40" s="661" t="str">
        <f>前年度登録!DB37</f>
        <v/>
      </c>
      <c r="I40" s="187" t="str">
        <f>前年度登録!AN37</f>
        <v/>
      </c>
      <c r="J40" s="1088" t="str">
        <f>前年度登録!DC37</f>
        <v/>
      </c>
      <c r="K40" s="1032">
        <f>前年度登録!DE37</f>
        <v>0</v>
      </c>
      <c r="L40" s="1033" t="str">
        <f>前年度登録!DJ37</f>
        <v>00</v>
      </c>
      <c r="M40" s="911" t="str">
        <f>前年度登録!AF37</f>
        <v/>
      </c>
      <c r="N40" s="1240">
        <f>前年度登録!S37</f>
        <v>0</v>
      </c>
      <c r="O40" s="338"/>
      <c r="P40" s="292" t="str">
        <f t="shared" si="2"/>
        <v/>
      </c>
      <c r="Q40" s="1282" t="str">
        <f>IF(O40="","",HLOOKUP(O40,前年度登録!$AW$3:$CW$118,35,FALSE))</f>
        <v/>
      </c>
      <c r="R40" s="1282" t="str">
        <f t="shared" si="3"/>
        <v/>
      </c>
      <c r="S40" s="1282" t="str">
        <f t="shared" si="4"/>
        <v/>
      </c>
      <c r="T40" s="368"/>
      <c r="U40" s="292" t="str">
        <f t="shared" si="5"/>
        <v/>
      </c>
      <c r="V40" s="669" t="str">
        <f>IF(T40="","",HLOOKUP(T40,前年度登録!$AW$3:$CW$118,35,FALSE))</f>
        <v/>
      </c>
      <c r="W40" s="769" t="str">
        <f t="shared" si="6"/>
        <v/>
      </c>
      <c r="X40" s="774" t="str">
        <f t="shared" si="7"/>
        <v/>
      </c>
      <c r="Y40" s="160"/>
      <c r="Z40" s="165"/>
      <c r="AA40" s="163"/>
      <c r="AB40" s="166"/>
      <c r="AC40" s="167"/>
      <c r="AD40" s="159"/>
      <c r="AE40" s="160"/>
      <c r="AF40" s="161"/>
      <c r="AG40" s="164"/>
      <c r="AH40" s="802"/>
      <c r="AI40" s="802"/>
      <c r="AK40" s="143"/>
      <c r="AL40" s="907" t="str">
        <f t="shared" si="9"/>
        <v/>
      </c>
      <c r="AM40" s="859">
        <f t="shared" si="10"/>
        <v>0</v>
      </c>
      <c r="AN40" s="859">
        <f t="shared" si="11"/>
        <v>0</v>
      </c>
      <c r="AP40" s="1278" t="s">
        <v>1076</v>
      </c>
      <c r="AQ40" s="196">
        <f>COUNTIF($P$7:$P$116,46)+COUNTIF($U$7:$U$116,46)</f>
        <v>0</v>
      </c>
      <c r="AR40" s="1115">
        <v>46</v>
      </c>
      <c r="AV40" s="143"/>
      <c r="AW40" s="143"/>
      <c r="AX40" s="886"/>
      <c r="AY40" s="886"/>
      <c r="AZ40" s="886"/>
    </row>
    <row r="41" spans="2:52">
      <c r="B41" s="911" t="str">
        <f>前年度登録!AE38</f>
        <v/>
      </c>
      <c r="E41" s="912">
        <f>前年度登録!T38</f>
        <v>0</v>
      </c>
      <c r="F41" s="661" t="str">
        <f>前年度登録!DB38</f>
        <v/>
      </c>
      <c r="G41" s="1131" t="str">
        <f>前年度登録!AO38</f>
        <v/>
      </c>
      <c r="H41" s="661" t="str">
        <f>前年度登録!DB38</f>
        <v/>
      </c>
      <c r="I41" s="187" t="str">
        <f>前年度登録!AN38</f>
        <v/>
      </c>
      <c r="J41" s="1088" t="str">
        <f>前年度登録!DC38</f>
        <v/>
      </c>
      <c r="K41" s="1032">
        <f>前年度登録!DE38</f>
        <v>0</v>
      </c>
      <c r="L41" s="1033" t="str">
        <f>前年度登録!DJ38</f>
        <v>00</v>
      </c>
      <c r="M41" s="911" t="str">
        <f>前年度登録!AF38</f>
        <v/>
      </c>
      <c r="N41" s="1240">
        <f>前年度登録!S38</f>
        <v>0</v>
      </c>
      <c r="O41" s="338"/>
      <c r="P41" s="292" t="str">
        <f t="shared" si="2"/>
        <v/>
      </c>
      <c r="Q41" s="1282" t="str">
        <f>IF(O41="","",HLOOKUP(O41,前年度登録!$AW$3:$CW$118,36,FALSE))</f>
        <v/>
      </c>
      <c r="R41" s="1282" t="str">
        <f t="shared" si="3"/>
        <v/>
      </c>
      <c r="S41" s="1282" t="str">
        <f t="shared" si="4"/>
        <v/>
      </c>
      <c r="T41" s="368"/>
      <c r="U41" s="292" t="str">
        <f t="shared" si="5"/>
        <v/>
      </c>
      <c r="V41" s="669" t="str">
        <f>IF(T41="","",HLOOKUP(T41,前年度登録!$AW$3:$CW$118,36,FALSE))</f>
        <v/>
      </c>
      <c r="W41" s="769" t="str">
        <f t="shared" si="6"/>
        <v/>
      </c>
      <c r="X41" s="774" t="str">
        <f t="shared" si="7"/>
        <v/>
      </c>
      <c r="Y41" s="160"/>
      <c r="Z41" s="165"/>
      <c r="AA41" s="163"/>
      <c r="AB41" s="166"/>
      <c r="AC41" s="167"/>
      <c r="AD41" s="159"/>
      <c r="AE41" s="160"/>
      <c r="AF41" s="161"/>
      <c r="AG41" s="164"/>
      <c r="AH41" s="802"/>
      <c r="AI41" s="802"/>
      <c r="AK41" s="143"/>
      <c r="AL41" s="907" t="str">
        <f t="shared" si="9"/>
        <v/>
      </c>
      <c r="AM41" s="859">
        <f t="shared" si="10"/>
        <v>0</v>
      </c>
      <c r="AN41" s="859">
        <f t="shared" si="11"/>
        <v>0</v>
      </c>
      <c r="AP41" s="1278" t="s">
        <v>1077</v>
      </c>
      <c r="AQ41" s="196">
        <f>COUNTIF($P$7:$P$116,47)+COUNTIF($U$7:$U$116,47)</f>
        <v>0</v>
      </c>
      <c r="AR41" s="1115">
        <v>47</v>
      </c>
      <c r="AV41" s="143"/>
      <c r="AW41" s="143"/>
      <c r="AX41" s="886"/>
      <c r="AY41" s="886"/>
      <c r="AZ41" s="886"/>
    </row>
    <row r="42" spans="2:52">
      <c r="B42" s="911" t="str">
        <f>前年度登録!AE39</f>
        <v/>
      </c>
      <c r="E42" s="912">
        <f>前年度登録!T39</f>
        <v>0</v>
      </c>
      <c r="F42" s="661" t="str">
        <f>前年度登録!DB39</f>
        <v/>
      </c>
      <c r="G42" s="1131" t="str">
        <f>前年度登録!AO39</f>
        <v/>
      </c>
      <c r="H42" s="661" t="str">
        <f>前年度登録!DB39</f>
        <v/>
      </c>
      <c r="I42" s="187" t="str">
        <f>前年度登録!AN39</f>
        <v/>
      </c>
      <c r="J42" s="1088" t="str">
        <f>前年度登録!DC39</f>
        <v/>
      </c>
      <c r="K42" s="1032">
        <f>前年度登録!DE39</f>
        <v>0</v>
      </c>
      <c r="L42" s="1033" t="str">
        <f>前年度登録!DJ39</f>
        <v>00</v>
      </c>
      <c r="M42" s="911" t="str">
        <f>前年度登録!AF39</f>
        <v/>
      </c>
      <c r="N42" s="1240">
        <f>前年度登録!S39</f>
        <v>0</v>
      </c>
      <c r="O42" s="338"/>
      <c r="P42" s="292" t="str">
        <f t="shared" si="2"/>
        <v/>
      </c>
      <c r="Q42" s="1282" t="str">
        <f>IF(O42="","",HLOOKUP(O42,前年度登録!$AW$3:$CW$118,37,FALSE))</f>
        <v/>
      </c>
      <c r="R42" s="1282" t="str">
        <f t="shared" si="3"/>
        <v/>
      </c>
      <c r="S42" s="1282" t="str">
        <f t="shared" si="4"/>
        <v/>
      </c>
      <c r="T42" s="368"/>
      <c r="U42" s="292" t="str">
        <f t="shared" si="5"/>
        <v/>
      </c>
      <c r="V42" s="669" t="str">
        <f>IF(T42="","",HLOOKUP(T42,前年度登録!$AW$3:$CW$118,37,FALSE))</f>
        <v/>
      </c>
      <c r="W42" s="769" t="str">
        <f t="shared" si="6"/>
        <v/>
      </c>
      <c r="X42" s="774" t="str">
        <f t="shared" si="7"/>
        <v/>
      </c>
      <c r="Y42" s="160"/>
      <c r="Z42" s="165"/>
      <c r="AA42" s="163"/>
      <c r="AB42" s="166"/>
      <c r="AC42" s="167"/>
      <c r="AD42" s="159"/>
      <c r="AE42" s="160"/>
      <c r="AF42" s="161"/>
      <c r="AG42" s="164"/>
      <c r="AH42" s="802"/>
      <c r="AI42" s="802"/>
      <c r="AK42" s="143"/>
      <c r="AL42" s="907" t="str">
        <f t="shared" si="9"/>
        <v/>
      </c>
      <c r="AM42" s="859">
        <f t="shared" si="10"/>
        <v>0</v>
      </c>
      <c r="AN42" s="859">
        <f t="shared" si="11"/>
        <v>0</v>
      </c>
      <c r="AP42" s="1278" t="s">
        <v>1096</v>
      </c>
      <c r="AQ42" s="196">
        <f>COUNTIF($P$7:$P$116,48)+COUNTIF($U$7:$U$116,48)</f>
        <v>0</v>
      </c>
      <c r="AR42" s="1115">
        <v>48</v>
      </c>
      <c r="AV42" s="143"/>
      <c r="AW42" s="143"/>
      <c r="AX42" s="886"/>
      <c r="AY42" s="886"/>
      <c r="AZ42" s="886"/>
    </row>
    <row r="43" spans="2:52">
      <c r="B43" s="911" t="str">
        <f>前年度登録!AE40</f>
        <v/>
      </c>
      <c r="E43" s="912">
        <f>前年度登録!T40</f>
        <v>0</v>
      </c>
      <c r="F43" s="661" t="str">
        <f>前年度登録!DB40</f>
        <v/>
      </c>
      <c r="G43" s="1131" t="str">
        <f>前年度登録!AO40</f>
        <v/>
      </c>
      <c r="H43" s="661" t="str">
        <f>前年度登録!DB40</f>
        <v/>
      </c>
      <c r="I43" s="187" t="str">
        <f>前年度登録!AN40</f>
        <v/>
      </c>
      <c r="J43" s="1088" t="str">
        <f>前年度登録!DC40</f>
        <v/>
      </c>
      <c r="K43" s="1032">
        <f>前年度登録!DE40</f>
        <v>0</v>
      </c>
      <c r="L43" s="1033" t="str">
        <f>前年度登録!DJ40</f>
        <v>00</v>
      </c>
      <c r="M43" s="911" t="str">
        <f>前年度登録!AF40</f>
        <v/>
      </c>
      <c r="N43" s="1240">
        <f>前年度登録!S40</f>
        <v>0</v>
      </c>
      <c r="O43" s="338"/>
      <c r="P43" s="292" t="str">
        <f t="shared" si="2"/>
        <v/>
      </c>
      <c r="Q43" s="1282" t="str">
        <f>IF(O43="","",HLOOKUP(O43,前年度登録!$AW$3:$CW$118,38,FALSE))</f>
        <v/>
      </c>
      <c r="R43" s="1282" t="str">
        <f t="shared" si="3"/>
        <v/>
      </c>
      <c r="S43" s="1282" t="str">
        <f t="shared" si="4"/>
        <v/>
      </c>
      <c r="T43" s="368"/>
      <c r="U43" s="292" t="str">
        <f t="shared" si="5"/>
        <v/>
      </c>
      <c r="V43" s="669" t="str">
        <f>IF(T43="","",HLOOKUP(T43,前年度登録!$AW$3:$CW$118,38,FALSE))</f>
        <v/>
      </c>
      <c r="W43" s="769" t="str">
        <f t="shared" si="6"/>
        <v/>
      </c>
      <c r="X43" s="774" t="str">
        <f t="shared" si="7"/>
        <v/>
      </c>
      <c r="Y43" s="160"/>
      <c r="Z43" s="165"/>
      <c r="AA43" s="163"/>
      <c r="AB43" s="166"/>
      <c r="AC43" s="167"/>
      <c r="AD43" s="159"/>
      <c r="AE43" s="160"/>
      <c r="AF43" s="161"/>
      <c r="AG43" s="164"/>
      <c r="AH43" s="802"/>
      <c r="AI43" s="802"/>
      <c r="AK43" s="143"/>
      <c r="AL43" s="907" t="str">
        <f t="shared" si="9"/>
        <v/>
      </c>
      <c r="AM43" s="859">
        <f t="shared" si="10"/>
        <v>0</v>
      </c>
      <c r="AN43" s="859">
        <f t="shared" si="11"/>
        <v>0</v>
      </c>
      <c r="AP43" s="1278" t="s">
        <v>1079</v>
      </c>
      <c r="AQ43" s="196">
        <f>COUNTIF($P$7:$P$116,49)+COUNTIF($U$7:$U$116,49)</f>
        <v>0</v>
      </c>
      <c r="AR43" s="1115">
        <v>49</v>
      </c>
      <c r="AV43" s="143"/>
      <c r="AW43" s="143"/>
      <c r="AX43" s="886"/>
      <c r="AY43" s="886"/>
      <c r="AZ43" s="886"/>
    </row>
    <row r="44" spans="2:52">
      <c r="B44" s="911" t="str">
        <f>前年度登録!AE41</f>
        <v/>
      </c>
      <c r="E44" s="912">
        <f>前年度登録!T41</f>
        <v>0</v>
      </c>
      <c r="F44" s="661" t="str">
        <f>前年度登録!DB41</f>
        <v/>
      </c>
      <c r="G44" s="1131" t="str">
        <f>前年度登録!AO41</f>
        <v/>
      </c>
      <c r="H44" s="661" t="str">
        <f>前年度登録!DB41</f>
        <v/>
      </c>
      <c r="I44" s="187" t="str">
        <f>前年度登録!AN41</f>
        <v/>
      </c>
      <c r="J44" s="1088" t="str">
        <f>前年度登録!DC41</f>
        <v/>
      </c>
      <c r="K44" s="1032">
        <f>前年度登録!DE41</f>
        <v>0</v>
      </c>
      <c r="L44" s="1033" t="str">
        <f>前年度登録!DJ41</f>
        <v>00</v>
      </c>
      <c r="M44" s="911" t="str">
        <f>前年度登録!AF41</f>
        <v/>
      </c>
      <c r="N44" s="1240">
        <f>前年度登録!S41</f>
        <v>0</v>
      </c>
      <c r="O44" s="338"/>
      <c r="P44" s="292" t="str">
        <f t="shared" si="2"/>
        <v/>
      </c>
      <c r="Q44" s="1282" t="str">
        <f>IF(O44="","",HLOOKUP(O44,前年度登録!$AW$3:$CW$118,39,FALSE))</f>
        <v/>
      </c>
      <c r="R44" s="1282" t="str">
        <f t="shared" si="3"/>
        <v/>
      </c>
      <c r="S44" s="1282" t="str">
        <f t="shared" si="4"/>
        <v/>
      </c>
      <c r="T44" s="368"/>
      <c r="U44" s="292" t="str">
        <f t="shared" si="5"/>
        <v/>
      </c>
      <c r="V44" s="669" t="str">
        <f>IF(T44="","",HLOOKUP(T44,前年度登録!$AW$3:$CW$118,39,FALSE))</f>
        <v/>
      </c>
      <c r="W44" s="769" t="str">
        <f t="shared" si="6"/>
        <v/>
      </c>
      <c r="X44" s="774" t="str">
        <f t="shared" si="7"/>
        <v/>
      </c>
      <c r="Y44" s="160"/>
      <c r="Z44" s="165"/>
      <c r="AA44" s="163"/>
      <c r="AB44" s="166"/>
      <c r="AC44" s="167"/>
      <c r="AD44" s="159"/>
      <c r="AE44" s="160"/>
      <c r="AF44" s="161"/>
      <c r="AG44" s="164"/>
      <c r="AH44" s="802"/>
      <c r="AI44" s="802"/>
      <c r="AK44" s="143"/>
      <c r="AL44" s="907" t="str">
        <f t="shared" si="9"/>
        <v/>
      </c>
      <c r="AM44" s="859">
        <f t="shared" si="10"/>
        <v>0</v>
      </c>
      <c r="AN44" s="859">
        <f t="shared" si="11"/>
        <v>0</v>
      </c>
      <c r="AP44" s="1278" t="s">
        <v>1081</v>
      </c>
      <c r="AQ44" s="196">
        <f>COUNTIF($P$7:$P$116,52)+COUNTIF($U$7:$U$116,52)</f>
        <v>0</v>
      </c>
      <c r="AR44" s="1115">
        <v>52</v>
      </c>
      <c r="AV44" s="143"/>
      <c r="AW44" s="143"/>
      <c r="AX44" s="886"/>
      <c r="AY44" s="886"/>
      <c r="AZ44" s="886"/>
    </row>
    <row r="45" spans="2:52">
      <c r="B45" s="911" t="str">
        <f>前年度登録!AE42</f>
        <v/>
      </c>
      <c r="E45" s="912">
        <f>前年度登録!T42</f>
        <v>0</v>
      </c>
      <c r="F45" s="661" t="str">
        <f>前年度登録!DB42</f>
        <v/>
      </c>
      <c r="G45" s="1131" t="str">
        <f>前年度登録!AO42</f>
        <v/>
      </c>
      <c r="H45" s="661" t="str">
        <f>前年度登録!DB42</f>
        <v/>
      </c>
      <c r="I45" s="187" t="str">
        <f>前年度登録!AN42</f>
        <v/>
      </c>
      <c r="J45" s="1088" t="str">
        <f>前年度登録!DC42</f>
        <v/>
      </c>
      <c r="K45" s="1032">
        <f>前年度登録!DE42</f>
        <v>0</v>
      </c>
      <c r="L45" s="1033" t="str">
        <f>前年度登録!DJ42</f>
        <v>00</v>
      </c>
      <c r="M45" s="911" t="str">
        <f>前年度登録!AF42</f>
        <v/>
      </c>
      <c r="N45" s="1240">
        <f>前年度登録!S42</f>
        <v>0</v>
      </c>
      <c r="O45" s="338"/>
      <c r="P45" s="292" t="str">
        <f t="shared" si="2"/>
        <v/>
      </c>
      <c r="Q45" s="1282" t="str">
        <f>IF(O45="","",HLOOKUP(O45,前年度登録!$AW$3:$CW$118,40,FALSE))</f>
        <v/>
      </c>
      <c r="R45" s="1282" t="str">
        <f t="shared" si="3"/>
        <v/>
      </c>
      <c r="S45" s="1282" t="str">
        <f t="shared" si="4"/>
        <v/>
      </c>
      <c r="T45" s="368"/>
      <c r="U45" s="292" t="str">
        <f t="shared" si="5"/>
        <v/>
      </c>
      <c r="V45" s="669" t="str">
        <f>IF(T45="","",HLOOKUP(T45,前年度登録!$AW$3:$CW$118,40,FALSE))</f>
        <v/>
      </c>
      <c r="W45" s="769" t="str">
        <f t="shared" si="6"/>
        <v/>
      </c>
      <c r="X45" s="774" t="str">
        <f t="shared" si="7"/>
        <v/>
      </c>
      <c r="Y45" s="160"/>
      <c r="Z45" s="165"/>
      <c r="AA45" s="163"/>
      <c r="AB45" s="166"/>
      <c r="AC45" s="167"/>
      <c r="AD45" s="159"/>
      <c r="AE45" s="160"/>
      <c r="AF45" s="161"/>
      <c r="AG45" s="164"/>
      <c r="AH45" s="802"/>
      <c r="AI45" s="802"/>
      <c r="AK45" s="143"/>
      <c r="AL45" s="907" t="str">
        <f t="shared" si="9"/>
        <v/>
      </c>
      <c r="AM45" s="859">
        <f t="shared" si="10"/>
        <v>0</v>
      </c>
      <c r="AN45" s="859">
        <f t="shared" si="11"/>
        <v>0</v>
      </c>
      <c r="AP45" s="1278" t="s">
        <v>1082</v>
      </c>
      <c r="AQ45" s="196">
        <f>COUNTIF($P$7:$P$116,55)+COUNTIF($U$7:$U$116,55)</f>
        <v>0</v>
      </c>
      <c r="AR45" s="1115">
        <v>55</v>
      </c>
      <c r="AV45" s="143"/>
      <c r="AW45" s="143"/>
      <c r="AX45" s="886"/>
      <c r="AY45" s="886"/>
      <c r="AZ45" s="886"/>
    </row>
    <row r="46" spans="2:52">
      <c r="B46" s="911" t="str">
        <f>前年度登録!AE43</f>
        <v/>
      </c>
      <c r="E46" s="912">
        <f>前年度登録!T43</f>
        <v>0</v>
      </c>
      <c r="F46" s="661" t="str">
        <f>前年度登録!DB43</f>
        <v/>
      </c>
      <c r="G46" s="1131" t="str">
        <f>前年度登録!AO43</f>
        <v/>
      </c>
      <c r="H46" s="661" t="str">
        <f>前年度登録!DB43</f>
        <v/>
      </c>
      <c r="I46" s="187" t="str">
        <f>前年度登録!AN43</f>
        <v/>
      </c>
      <c r="J46" s="1088" t="str">
        <f>前年度登録!DC43</f>
        <v/>
      </c>
      <c r="K46" s="1032">
        <f>前年度登録!DE43</f>
        <v>0</v>
      </c>
      <c r="L46" s="1033" t="str">
        <f>前年度登録!DJ43</f>
        <v>00</v>
      </c>
      <c r="M46" s="911" t="str">
        <f>前年度登録!AF43</f>
        <v/>
      </c>
      <c r="N46" s="1240">
        <f>前年度登録!S43</f>
        <v>0</v>
      </c>
      <c r="O46" s="338"/>
      <c r="P46" s="292" t="str">
        <f t="shared" si="2"/>
        <v/>
      </c>
      <c r="Q46" s="1282" t="str">
        <f>IF(O46="","",HLOOKUP(O46,前年度登録!$AW$3:$CW$118,41,FALSE))</f>
        <v/>
      </c>
      <c r="R46" s="1282" t="str">
        <f t="shared" si="3"/>
        <v/>
      </c>
      <c r="S46" s="1282" t="str">
        <f t="shared" si="4"/>
        <v/>
      </c>
      <c r="T46" s="368"/>
      <c r="U46" s="292" t="str">
        <f t="shared" si="5"/>
        <v/>
      </c>
      <c r="V46" s="669" t="str">
        <f>IF(T46="","",HLOOKUP(T46,前年度登録!$AW$3:$CW$118,41,FALSE))</f>
        <v/>
      </c>
      <c r="W46" s="769" t="str">
        <f t="shared" si="6"/>
        <v/>
      </c>
      <c r="X46" s="774" t="str">
        <f t="shared" si="7"/>
        <v/>
      </c>
      <c r="Y46" s="160"/>
      <c r="Z46" s="165"/>
      <c r="AA46" s="163"/>
      <c r="AB46" s="166"/>
      <c r="AC46" s="167"/>
      <c r="AD46" s="159"/>
      <c r="AE46" s="160"/>
      <c r="AF46" s="161"/>
      <c r="AG46" s="164"/>
      <c r="AH46" s="802"/>
      <c r="AI46" s="802"/>
      <c r="AK46" s="143"/>
      <c r="AL46" s="907" t="str">
        <f t="shared" si="9"/>
        <v/>
      </c>
      <c r="AM46" s="859">
        <f t="shared" si="10"/>
        <v>0</v>
      </c>
      <c r="AN46" s="859">
        <f t="shared" si="11"/>
        <v>0</v>
      </c>
      <c r="AP46" s="1278" t="s">
        <v>1083</v>
      </c>
      <c r="AQ46" s="196">
        <f>COUNTIF($P$7:$P$116,56)+COUNTIF($U$7:$U$116,56)</f>
        <v>0</v>
      </c>
      <c r="AR46" s="1115">
        <v>56</v>
      </c>
      <c r="AV46" s="143"/>
      <c r="AW46" s="143"/>
      <c r="AX46" s="886"/>
      <c r="AY46" s="886"/>
      <c r="AZ46" s="886"/>
    </row>
    <row r="47" spans="2:52">
      <c r="B47" s="911" t="str">
        <f>前年度登録!AE44</f>
        <v/>
      </c>
      <c r="E47" s="912">
        <f>前年度登録!T44</f>
        <v>0</v>
      </c>
      <c r="F47" s="661" t="str">
        <f>前年度登録!DB44</f>
        <v/>
      </c>
      <c r="G47" s="1131" t="str">
        <f>前年度登録!AO44</f>
        <v/>
      </c>
      <c r="H47" s="661" t="str">
        <f>前年度登録!DB44</f>
        <v/>
      </c>
      <c r="I47" s="187" t="str">
        <f>前年度登録!AN44</f>
        <v/>
      </c>
      <c r="J47" s="1088" t="str">
        <f>前年度登録!DC44</f>
        <v/>
      </c>
      <c r="K47" s="1032">
        <f>前年度登録!DE44</f>
        <v>0</v>
      </c>
      <c r="L47" s="1033" t="str">
        <f>前年度登録!DJ44</f>
        <v>00</v>
      </c>
      <c r="M47" s="911" t="str">
        <f>前年度登録!AF44</f>
        <v/>
      </c>
      <c r="N47" s="1240">
        <f>前年度登録!S44</f>
        <v>0</v>
      </c>
      <c r="O47" s="338"/>
      <c r="P47" s="292" t="str">
        <f t="shared" si="2"/>
        <v/>
      </c>
      <c r="Q47" s="1282" t="str">
        <f>IF(O47="","",HLOOKUP(O47,前年度登録!$AW$3:$CW$118,42,FALSE))</f>
        <v/>
      </c>
      <c r="R47" s="1282" t="str">
        <f t="shared" si="3"/>
        <v/>
      </c>
      <c r="S47" s="1282" t="str">
        <f t="shared" si="4"/>
        <v/>
      </c>
      <c r="T47" s="368"/>
      <c r="U47" s="292" t="str">
        <f t="shared" si="5"/>
        <v/>
      </c>
      <c r="V47" s="669" t="str">
        <f>IF(T47="","",HLOOKUP(T47,前年度登録!$AW$3:$CW$118,42,FALSE))</f>
        <v/>
      </c>
      <c r="W47" s="769" t="str">
        <f t="shared" si="6"/>
        <v/>
      </c>
      <c r="X47" s="774" t="str">
        <f t="shared" si="7"/>
        <v/>
      </c>
      <c r="Y47" s="160"/>
      <c r="Z47" s="165"/>
      <c r="AA47" s="163"/>
      <c r="AB47" s="166"/>
      <c r="AC47" s="167"/>
      <c r="AD47" s="159"/>
      <c r="AE47" s="160"/>
      <c r="AF47" s="161"/>
      <c r="AG47" s="164"/>
      <c r="AH47" s="802"/>
      <c r="AI47" s="802"/>
      <c r="AK47" s="143"/>
      <c r="AL47" s="907" t="str">
        <f t="shared" si="9"/>
        <v/>
      </c>
      <c r="AM47" s="859">
        <f t="shared" si="10"/>
        <v>0</v>
      </c>
      <c r="AN47" s="859">
        <f t="shared" si="11"/>
        <v>0</v>
      </c>
      <c r="AP47" s="1278" t="s">
        <v>1084</v>
      </c>
      <c r="AQ47" s="196">
        <f>COUNTIF($P$7:$P$116,57)+COUNTIF($U$7:$U$116,57)</f>
        <v>0</v>
      </c>
      <c r="AR47" s="1115">
        <v>57</v>
      </c>
      <c r="AV47" s="143"/>
      <c r="AW47" s="143"/>
      <c r="AX47" s="886"/>
      <c r="AY47" s="886"/>
      <c r="AZ47" s="886"/>
    </row>
    <row r="48" spans="2:52">
      <c r="B48" s="911" t="str">
        <f>前年度登録!AE45</f>
        <v/>
      </c>
      <c r="E48" s="912">
        <f>前年度登録!T45</f>
        <v>0</v>
      </c>
      <c r="F48" s="661" t="str">
        <f>前年度登録!DB45</f>
        <v/>
      </c>
      <c r="G48" s="1131" t="str">
        <f>前年度登録!AO45</f>
        <v/>
      </c>
      <c r="H48" s="661" t="str">
        <f>前年度登録!DB45</f>
        <v/>
      </c>
      <c r="I48" s="187" t="str">
        <f>前年度登録!AN45</f>
        <v/>
      </c>
      <c r="J48" s="1088" t="str">
        <f>前年度登録!DC45</f>
        <v/>
      </c>
      <c r="K48" s="1032">
        <f>前年度登録!DE45</f>
        <v>0</v>
      </c>
      <c r="L48" s="1033" t="str">
        <f>前年度登録!DJ45</f>
        <v>00</v>
      </c>
      <c r="M48" s="911" t="str">
        <f>前年度登録!AF45</f>
        <v/>
      </c>
      <c r="N48" s="1240">
        <f>前年度登録!S45</f>
        <v>0</v>
      </c>
      <c r="O48" s="338"/>
      <c r="P48" s="292" t="str">
        <f t="shared" si="2"/>
        <v/>
      </c>
      <c r="Q48" s="1282" t="str">
        <f>IF(O48="","",HLOOKUP(O48,前年度登録!$AW$3:$CW$118,43,FALSE))</f>
        <v/>
      </c>
      <c r="R48" s="1282" t="str">
        <f t="shared" si="3"/>
        <v/>
      </c>
      <c r="S48" s="1282" t="str">
        <f t="shared" si="4"/>
        <v/>
      </c>
      <c r="T48" s="368"/>
      <c r="U48" s="292" t="str">
        <f t="shared" si="5"/>
        <v/>
      </c>
      <c r="V48" s="669" t="str">
        <f>IF(T48="","",HLOOKUP(T48,前年度登録!$AW$3:$CW$118,43,FALSE))</f>
        <v/>
      </c>
      <c r="W48" s="769" t="str">
        <f t="shared" si="6"/>
        <v/>
      </c>
      <c r="X48" s="774" t="str">
        <f t="shared" si="7"/>
        <v/>
      </c>
      <c r="Y48" s="160"/>
      <c r="Z48" s="165"/>
      <c r="AA48" s="163"/>
      <c r="AB48" s="166"/>
      <c r="AC48" s="167"/>
      <c r="AD48" s="159"/>
      <c r="AE48" s="160"/>
      <c r="AF48" s="161"/>
      <c r="AG48" s="164"/>
      <c r="AH48" s="802"/>
      <c r="AI48" s="802"/>
      <c r="AK48" s="143"/>
      <c r="AL48" s="907" t="str">
        <f t="shared" si="9"/>
        <v/>
      </c>
      <c r="AM48" s="859">
        <f t="shared" si="10"/>
        <v>0</v>
      </c>
      <c r="AN48" s="859">
        <f t="shared" si="11"/>
        <v>0</v>
      </c>
      <c r="AP48" s="1278" t="s">
        <v>1085</v>
      </c>
      <c r="AQ48" s="196">
        <f>COUNTIF($P$7:$P$116,58)+COUNTIF($U$7:$U$116,58)</f>
        <v>0</v>
      </c>
      <c r="AR48" s="1115">
        <v>58</v>
      </c>
      <c r="AV48" s="143"/>
      <c r="AW48" s="143"/>
      <c r="AX48" s="886"/>
      <c r="AY48" s="886"/>
      <c r="AZ48" s="886"/>
    </row>
    <row r="49" spans="2:52">
      <c r="B49" s="911" t="str">
        <f>前年度登録!AE46</f>
        <v/>
      </c>
      <c r="E49" s="912">
        <f>前年度登録!T46</f>
        <v>0</v>
      </c>
      <c r="F49" s="661" t="str">
        <f>前年度登録!DB46</f>
        <v/>
      </c>
      <c r="G49" s="1131" t="str">
        <f>前年度登録!AO46</f>
        <v/>
      </c>
      <c r="H49" s="661" t="str">
        <f>前年度登録!DB46</f>
        <v/>
      </c>
      <c r="I49" s="187" t="str">
        <f>前年度登録!AN46</f>
        <v/>
      </c>
      <c r="J49" s="1088" t="str">
        <f>前年度登録!DC46</f>
        <v/>
      </c>
      <c r="K49" s="1032">
        <f>前年度登録!DE46</f>
        <v>0</v>
      </c>
      <c r="L49" s="1033" t="str">
        <f>前年度登録!DJ46</f>
        <v>00</v>
      </c>
      <c r="M49" s="911" t="str">
        <f>前年度登録!AF46</f>
        <v/>
      </c>
      <c r="N49" s="1240">
        <f>前年度登録!S46</f>
        <v>0</v>
      </c>
      <c r="O49" s="338"/>
      <c r="P49" s="292" t="str">
        <f t="shared" si="2"/>
        <v/>
      </c>
      <c r="Q49" s="1282" t="str">
        <f>IF(O49="","",HLOOKUP(O49,前年度登録!$AW$3:$CW$118,44,FALSE))</f>
        <v/>
      </c>
      <c r="R49" s="1282" t="str">
        <f t="shared" si="3"/>
        <v/>
      </c>
      <c r="S49" s="1282" t="str">
        <f t="shared" si="4"/>
        <v/>
      </c>
      <c r="T49" s="368"/>
      <c r="U49" s="292" t="str">
        <f t="shared" si="5"/>
        <v/>
      </c>
      <c r="V49" s="669" t="str">
        <f>IF(T49="","",HLOOKUP(T49,前年度登録!$AW$3:$CW$118,44,FALSE))</f>
        <v/>
      </c>
      <c r="W49" s="769" t="str">
        <f t="shared" si="6"/>
        <v/>
      </c>
      <c r="X49" s="774" t="str">
        <f t="shared" si="7"/>
        <v/>
      </c>
      <c r="Y49" s="160"/>
      <c r="Z49" s="165"/>
      <c r="AA49" s="163"/>
      <c r="AB49" s="166"/>
      <c r="AC49" s="167"/>
      <c r="AD49" s="159"/>
      <c r="AE49" s="160"/>
      <c r="AF49" s="161"/>
      <c r="AG49" s="164"/>
      <c r="AH49" s="802"/>
      <c r="AI49" s="802"/>
      <c r="AK49" s="143"/>
      <c r="AL49" s="907" t="str">
        <f t="shared" si="9"/>
        <v/>
      </c>
      <c r="AM49" s="859">
        <f t="shared" si="10"/>
        <v>0</v>
      </c>
      <c r="AN49" s="859">
        <f t="shared" si="11"/>
        <v>0</v>
      </c>
      <c r="AP49" s="1278" t="s">
        <v>1086</v>
      </c>
      <c r="AQ49" s="196">
        <f>COUNTIF($P$7:$P$116,59)+COUNTIF($U$7:$U$116,59)</f>
        <v>0</v>
      </c>
      <c r="AR49" s="1115">
        <v>59</v>
      </c>
      <c r="AV49" s="143"/>
      <c r="AW49" s="143"/>
      <c r="AX49" s="886"/>
      <c r="AY49" s="886"/>
      <c r="AZ49" s="886"/>
    </row>
    <row r="50" spans="2:52">
      <c r="B50" s="911" t="str">
        <f>前年度登録!AE47</f>
        <v/>
      </c>
      <c r="E50" s="912">
        <f>前年度登録!T47</f>
        <v>0</v>
      </c>
      <c r="F50" s="661" t="str">
        <f>前年度登録!DB47</f>
        <v/>
      </c>
      <c r="G50" s="1131" t="str">
        <f>前年度登録!AO47</f>
        <v/>
      </c>
      <c r="H50" s="661" t="str">
        <f>前年度登録!DB47</f>
        <v/>
      </c>
      <c r="I50" s="187" t="str">
        <f>前年度登録!AN47</f>
        <v/>
      </c>
      <c r="J50" s="1088" t="str">
        <f>前年度登録!DC47</f>
        <v/>
      </c>
      <c r="K50" s="1032">
        <f>前年度登録!DE47</f>
        <v>0</v>
      </c>
      <c r="L50" s="1033" t="str">
        <f>前年度登録!DJ47</f>
        <v>00</v>
      </c>
      <c r="M50" s="911" t="str">
        <f>前年度登録!AF47</f>
        <v/>
      </c>
      <c r="N50" s="1240">
        <f>前年度登録!S47</f>
        <v>0</v>
      </c>
      <c r="O50" s="338"/>
      <c r="P50" s="292" t="str">
        <f t="shared" si="2"/>
        <v/>
      </c>
      <c r="Q50" s="1282" t="str">
        <f>IF(O50="","",HLOOKUP(O50,前年度登録!$AW$3:$CW$118,45,FALSE))</f>
        <v/>
      </c>
      <c r="R50" s="1282" t="str">
        <f t="shared" si="3"/>
        <v/>
      </c>
      <c r="S50" s="1282" t="str">
        <f t="shared" si="4"/>
        <v/>
      </c>
      <c r="T50" s="368"/>
      <c r="U50" s="292" t="str">
        <f t="shared" si="5"/>
        <v/>
      </c>
      <c r="V50" s="669" t="str">
        <f>IF(T50="","",HLOOKUP(T50,前年度登録!$AW$3:$CW$118,45,FALSE))</f>
        <v/>
      </c>
      <c r="W50" s="769" t="str">
        <f t="shared" si="6"/>
        <v/>
      </c>
      <c r="X50" s="774" t="str">
        <f t="shared" si="7"/>
        <v/>
      </c>
      <c r="Y50" s="160"/>
      <c r="Z50" s="165"/>
      <c r="AA50" s="163"/>
      <c r="AB50" s="166"/>
      <c r="AC50" s="167"/>
      <c r="AD50" s="159"/>
      <c r="AE50" s="160"/>
      <c r="AF50" s="161"/>
      <c r="AG50" s="164"/>
      <c r="AH50" s="802"/>
      <c r="AI50" s="802"/>
      <c r="AK50" s="143"/>
      <c r="AL50" s="907" t="str">
        <f t="shared" si="9"/>
        <v/>
      </c>
      <c r="AM50" s="859">
        <f t="shared" si="10"/>
        <v>0</v>
      </c>
      <c r="AN50" s="859">
        <f t="shared" si="11"/>
        <v>0</v>
      </c>
      <c r="AP50" s="1278" t="s">
        <v>1087</v>
      </c>
      <c r="AQ50" s="196">
        <f>COUNTIF($P$7:$P$116,60)+COUNTIF($U$7:$U$116,60)</f>
        <v>0</v>
      </c>
      <c r="AR50" s="1115">
        <v>60</v>
      </c>
      <c r="AV50" s="143"/>
      <c r="AW50" s="143"/>
      <c r="AX50" s="886"/>
      <c r="AY50" s="886"/>
      <c r="AZ50" s="886"/>
    </row>
    <row r="51" spans="2:52">
      <c r="B51" s="911" t="str">
        <f>前年度登録!AE48</f>
        <v/>
      </c>
      <c r="E51" s="912">
        <f>前年度登録!T48</f>
        <v>0</v>
      </c>
      <c r="F51" s="661" t="str">
        <f>前年度登録!DB48</f>
        <v/>
      </c>
      <c r="G51" s="1131" t="str">
        <f>前年度登録!AO48</f>
        <v/>
      </c>
      <c r="H51" s="661" t="str">
        <f>前年度登録!DB48</f>
        <v/>
      </c>
      <c r="I51" s="187" t="str">
        <f>前年度登録!AN48</f>
        <v/>
      </c>
      <c r="J51" s="1088" t="str">
        <f>前年度登録!DC48</f>
        <v/>
      </c>
      <c r="K51" s="1032">
        <f>前年度登録!DE48</f>
        <v>0</v>
      </c>
      <c r="L51" s="1033" t="str">
        <f>前年度登録!DJ48</f>
        <v>00</v>
      </c>
      <c r="M51" s="911" t="str">
        <f>前年度登録!AF48</f>
        <v/>
      </c>
      <c r="N51" s="1240">
        <f>前年度登録!S48</f>
        <v>0</v>
      </c>
      <c r="O51" s="338"/>
      <c r="P51" s="292" t="str">
        <f t="shared" si="2"/>
        <v/>
      </c>
      <c r="Q51" s="1282" t="str">
        <f>IF(O51="","",HLOOKUP(O51,前年度登録!$AW$3:$CW$118,46,FALSE))</f>
        <v/>
      </c>
      <c r="R51" s="1282" t="str">
        <f t="shared" si="3"/>
        <v/>
      </c>
      <c r="S51" s="1282" t="str">
        <f t="shared" si="4"/>
        <v/>
      </c>
      <c r="T51" s="368"/>
      <c r="U51" s="292" t="str">
        <f t="shared" si="5"/>
        <v/>
      </c>
      <c r="V51" s="669" t="str">
        <f>IF(T51="","",HLOOKUP(T51,前年度登録!$AW$3:$CW$118,46,FALSE))</f>
        <v/>
      </c>
      <c r="W51" s="769" t="str">
        <f t="shared" si="6"/>
        <v/>
      </c>
      <c r="X51" s="774" t="str">
        <f t="shared" si="7"/>
        <v/>
      </c>
      <c r="Y51" s="160"/>
      <c r="Z51" s="165"/>
      <c r="AA51" s="163"/>
      <c r="AB51" s="166"/>
      <c r="AC51" s="167"/>
      <c r="AD51" s="159"/>
      <c r="AE51" s="160"/>
      <c r="AF51" s="161"/>
      <c r="AG51" s="164"/>
      <c r="AH51" s="802"/>
      <c r="AI51" s="802"/>
      <c r="AK51" s="143"/>
      <c r="AL51" s="907" t="str">
        <f t="shared" si="9"/>
        <v/>
      </c>
      <c r="AM51" s="859">
        <f t="shared" si="10"/>
        <v>0</v>
      </c>
      <c r="AN51" s="859">
        <f t="shared" si="11"/>
        <v>0</v>
      </c>
      <c r="AP51" s="1278" t="s">
        <v>1088</v>
      </c>
      <c r="AQ51" s="196">
        <f>COUNTIF($P$7:$P$116,61)+COUNTIF($U$7:$U$116,61)</f>
        <v>0</v>
      </c>
      <c r="AR51" s="1115">
        <v>61</v>
      </c>
      <c r="AV51" s="143"/>
      <c r="AW51" s="143"/>
      <c r="AX51" s="886"/>
      <c r="AY51" s="886"/>
      <c r="AZ51" s="886"/>
    </row>
    <row r="52" spans="2:52">
      <c r="B52" s="911" t="str">
        <f>前年度登録!AE49</f>
        <v/>
      </c>
      <c r="E52" s="912">
        <f>前年度登録!T49</f>
        <v>0</v>
      </c>
      <c r="F52" s="661" t="str">
        <f>前年度登録!DB49</f>
        <v/>
      </c>
      <c r="G52" s="1131" t="str">
        <f>前年度登録!AO49</f>
        <v/>
      </c>
      <c r="H52" s="661" t="str">
        <f>前年度登録!DB49</f>
        <v/>
      </c>
      <c r="I52" s="187" t="str">
        <f>前年度登録!AN49</f>
        <v/>
      </c>
      <c r="J52" s="1088" t="str">
        <f>前年度登録!DC49</f>
        <v/>
      </c>
      <c r="K52" s="1032">
        <f>前年度登録!DE49</f>
        <v>0</v>
      </c>
      <c r="L52" s="1033" t="str">
        <f>前年度登録!DJ49</f>
        <v>00</v>
      </c>
      <c r="M52" s="911" t="str">
        <f>前年度登録!AF49</f>
        <v/>
      </c>
      <c r="N52" s="1240">
        <f>前年度登録!S49</f>
        <v>0</v>
      </c>
      <c r="O52" s="338"/>
      <c r="P52" s="292" t="str">
        <f t="shared" si="2"/>
        <v/>
      </c>
      <c r="Q52" s="1282" t="str">
        <f>IF(O52="","",HLOOKUP(O52,前年度登録!$AW$3:$CW$118,47,FALSE))</f>
        <v/>
      </c>
      <c r="R52" s="1282" t="str">
        <f t="shared" si="3"/>
        <v/>
      </c>
      <c r="S52" s="1282" t="str">
        <f t="shared" si="4"/>
        <v/>
      </c>
      <c r="T52" s="368"/>
      <c r="U52" s="292" t="str">
        <f t="shared" si="5"/>
        <v/>
      </c>
      <c r="V52" s="669" t="str">
        <f>IF(T52="","",HLOOKUP(T52,前年度登録!$AW$3:$CW$118,47,FALSE))</f>
        <v/>
      </c>
      <c r="W52" s="769" t="str">
        <f t="shared" si="6"/>
        <v/>
      </c>
      <c r="X52" s="774" t="str">
        <f t="shared" si="7"/>
        <v/>
      </c>
      <c r="Y52" s="160"/>
      <c r="Z52" s="165"/>
      <c r="AA52" s="163"/>
      <c r="AB52" s="166"/>
      <c r="AC52" s="167"/>
      <c r="AD52" s="159"/>
      <c r="AE52" s="160"/>
      <c r="AF52" s="161"/>
      <c r="AG52" s="164"/>
      <c r="AH52" s="802"/>
      <c r="AI52" s="802"/>
      <c r="AK52" s="143"/>
      <c r="AL52" s="907" t="str">
        <f t="shared" si="9"/>
        <v/>
      </c>
      <c r="AM52" s="859">
        <f t="shared" si="10"/>
        <v>0</v>
      </c>
      <c r="AN52" s="859">
        <f t="shared" si="11"/>
        <v>0</v>
      </c>
      <c r="AP52" s="1278" t="s">
        <v>1089</v>
      </c>
      <c r="AQ52" s="196">
        <f>COUNTIF($P$7:$P$116,62)+COUNTIF($U$7:$U$116,62)</f>
        <v>0</v>
      </c>
      <c r="AR52" s="1115">
        <v>62</v>
      </c>
      <c r="AV52" s="143"/>
      <c r="AW52" s="143"/>
      <c r="AX52" s="886"/>
      <c r="AY52" s="886"/>
      <c r="AZ52" s="886"/>
    </row>
    <row r="53" spans="2:52">
      <c r="B53" s="911" t="str">
        <f>前年度登録!AE50</f>
        <v/>
      </c>
      <c r="E53" s="912">
        <f>前年度登録!T50</f>
        <v>0</v>
      </c>
      <c r="F53" s="661" t="str">
        <f>前年度登録!DB50</f>
        <v/>
      </c>
      <c r="G53" s="1131" t="str">
        <f>前年度登録!AO50</f>
        <v/>
      </c>
      <c r="H53" s="661" t="str">
        <f>前年度登録!DB50</f>
        <v/>
      </c>
      <c r="I53" s="187" t="str">
        <f>前年度登録!AN50</f>
        <v/>
      </c>
      <c r="J53" s="1088" t="str">
        <f>前年度登録!DC50</f>
        <v/>
      </c>
      <c r="K53" s="1032">
        <f>前年度登録!DE50</f>
        <v>0</v>
      </c>
      <c r="L53" s="1033" t="str">
        <f>前年度登録!DJ50</f>
        <v>00</v>
      </c>
      <c r="M53" s="911" t="str">
        <f>前年度登録!AF50</f>
        <v/>
      </c>
      <c r="N53" s="1240">
        <f>前年度登録!S50</f>
        <v>0</v>
      </c>
      <c r="O53" s="338"/>
      <c r="P53" s="292" t="str">
        <f t="shared" si="2"/>
        <v/>
      </c>
      <c r="Q53" s="1282" t="str">
        <f>IF(O53="","",HLOOKUP(O53,前年度登録!$AW$3:$CW$118,48,FALSE))</f>
        <v/>
      </c>
      <c r="R53" s="1282" t="str">
        <f t="shared" si="3"/>
        <v/>
      </c>
      <c r="S53" s="1282" t="str">
        <f t="shared" si="4"/>
        <v/>
      </c>
      <c r="T53" s="368"/>
      <c r="U53" s="292" t="str">
        <f t="shared" si="5"/>
        <v/>
      </c>
      <c r="V53" s="669" t="str">
        <f>IF(T53="","",HLOOKUP(T53,前年度登録!$AW$3:$CW$118,48,FALSE))</f>
        <v/>
      </c>
      <c r="W53" s="769" t="str">
        <f t="shared" si="6"/>
        <v/>
      </c>
      <c r="X53" s="774" t="str">
        <f t="shared" si="7"/>
        <v/>
      </c>
      <c r="Y53" s="160"/>
      <c r="Z53" s="165"/>
      <c r="AA53" s="163"/>
      <c r="AB53" s="166"/>
      <c r="AC53" s="167"/>
      <c r="AD53" s="159"/>
      <c r="AE53" s="160"/>
      <c r="AF53" s="161"/>
      <c r="AG53" s="164"/>
      <c r="AH53" s="802"/>
      <c r="AI53" s="802"/>
      <c r="AK53" s="143"/>
      <c r="AL53" s="907" t="str">
        <f t="shared" si="9"/>
        <v/>
      </c>
      <c r="AM53" s="859">
        <f t="shared" si="10"/>
        <v>0</v>
      </c>
      <c r="AN53" s="859">
        <f t="shared" si="11"/>
        <v>0</v>
      </c>
      <c r="AP53" s="914"/>
      <c r="AQ53" s="196">
        <f>COUNTIF($P$7:$P$116,61)+COUNTIF($U$7:$U$116,61)</f>
        <v>0</v>
      </c>
      <c r="AV53" s="143"/>
      <c r="AW53" s="143"/>
      <c r="AX53" s="886"/>
      <c r="AY53" s="886"/>
      <c r="AZ53" s="886"/>
    </row>
    <row r="54" spans="2:52">
      <c r="B54" s="911" t="str">
        <f>前年度登録!AE51</f>
        <v/>
      </c>
      <c r="E54" s="912">
        <f>前年度登録!T51</f>
        <v>0</v>
      </c>
      <c r="F54" s="661" t="str">
        <f>前年度登録!DB51</f>
        <v/>
      </c>
      <c r="G54" s="1131" t="str">
        <f>前年度登録!AO51</f>
        <v/>
      </c>
      <c r="H54" s="661" t="str">
        <f>前年度登録!DB51</f>
        <v/>
      </c>
      <c r="I54" s="187" t="str">
        <f>前年度登録!AN51</f>
        <v/>
      </c>
      <c r="J54" s="1088" t="str">
        <f>前年度登録!DC51</f>
        <v/>
      </c>
      <c r="K54" s="1032">
        <f>前年度登録!DE51</f>
        <v>0</v>
      </c>
      <c r="L54" s="1033" t="str">
        <f>前年度登録!DJ51</f>
        <v>00</v>
      </c>
      <c r="M54" s="911" t="str">
        <f>前年度登録!AF51</f>
        <v/>
      </c>
      <c r="N54" s="1240">
        <f>前年度登録!S51</f>
        <v>0</v>
      </c>
      <c r="O54" s="338"/>
      <c r="P54" s="292" t="str">
        <f t="shared" si="2"/>
        <v/>
      </c>
      <c r="Q54" s="1282" t="str">
        <f>IF(O54="","",HLOOKUP(O54,前年度登録!$AW$3:$CW$118,49,FALSE))</f>
        <v/>
      </c>
      <c r="R54" s="1282" t="str">
        <f t="shared" si="3"/>
        <v/>
      </c>
      <c r="S54" s="1282" t="str">
        <f t="shared" si="4"/>
        <v/>
      </c>
      <c r="T54" s="368"/>
      <c r="U54" s="292" t="str">
        <f t="shared" si="5"/>
        <v/>
      </c>
      <c r="V54" s="669" t="str">
        <f>IF(T54="","",HLOOKUP(T54,前年度登録!$AW$3:$CW$118,49,FALSE))</f>
        <v/>
      </c>
      <c r="W54" s="769" t="str">
        <f t="shared" si="6"/>
        <v/>
      </c>
      <c r="X54" s="774" t="str">
        <f t="shared" si="7"/>
        <v/>
      </c>
      <c r="Y54" s="160"/>
      <c r="Z54" s="165"/>
      <c r="AA54" s="163"/>
      <c r="AB54" s="166"/>
      <c r="AC54" s="167"/>
      <c r="AD54" s="159"/>
      <c r="AE54" s="160"/>
      <c r="AF54" s="161"/>
      <c r="AG54" s="164"/>
      <c r="AH54" s="802"/>
      <c r="AI54" s="802"/>
      <c r="AK54" s="143"/>
      <c r="AL54" s="907" t="str">
        <f t="shared" si="9"/>
        <v/>
      </c>
      <c r="AM54" s="859">
        <f t="shared" si="10"/>
        <v>0</v>
      </c>
      <c r="AN54" s="859">
        <f t="shared" si="11"/>
        <v>0</v>
      </c>
      <c r="AP54" s="916"/>
      <c r="AQ54" s="197">
        <f>COUNTIF($P$7:$P$116,62)+COUNTIF($U$7:$U$116,62)</f>
        <v>0</v>
      </c>
      <c r="AV54" s="143"/>
      <c r="AW54" s="143"/>
      <c r="AX54" s="886"/>
      <c r="AY54" s="886"/>
      <c r="AZ54" s="886"/>
    </row>
    <row r="55" spans="2:52" ht="14.25" thickBot="1">
      <c r="B55" s="911" t="str">
        <f>前年度登録!AE52</f>
        <v/>
      </c>
      <c r="E55" s="912">
        <f>前年度登録!T52</f>
        <v>0</v>
      </c>
      <c r="F55" s="661" t="str">
        <f>前年度登録!DB52</f>
        <v/>
      </c>
      <c r="G55" s="1131" t="str">
        <f>前年度登録!AO52</f>
        <v/>
      </c>
      <c r="H55" s="661" t="str">
        <f>前年度登録!DB52</f>
        <v/>
      </c>
      <c r="I55" s="187" t="str">
        <f>前年度登録!AN52</f>
        <v/>
      </c>
      <c r="J55" s="1088" t="str">
        <f>前年度登録!DC52</f>
        <v/>
      </c>
      <c r="K55" s="1032">
        <f>前年度登録!DE52</f>
        <v>0</v>
      </c>
      <c r="L55" s="1033" t="str">
        <f>前年度登録!DJ52</f>
        <v>00</v>
      </c>
      <c r="M55" s="911" t="str">
        <f>前年度登録!AF52</f>
        <v/>
      </c>
      <c r="N55" s="1240">
        <f>前年度登録!S52</f>
        <v>0</v>
      </c>
      <c r="O55" s="338"/>
      <c r="P55" s="292" t="str">
        <f t="shared" si="2"/>
        <v/>
      </c>
      <c r="Q55" s="1282" t="str">
        <f>IF(O55="","",HLOOKUP(O55,前年度登録!$AW$3:$CW$118,50,FALSE))</f>
        <v/>
      </c>
      <c r="R55" s="1282" t="str">
        <f t="shared" si="3"/>
        <v/>
      </c>
      <c r="S55" s="1282" t="str">
        <f t="shared" si="4"/>
        <v/>
      </c>
      <c r="T55" s="368"/>
      <c r="U55" s="292" t="str">
        <f t="shared" si="5"/>
        <v/>
      </c>
      <c r="V55" s="669" t="str">
        <f>IF(T55="","",HLOOKUP(T55,前年度登録!$AW$3:$CW$118,50,FALSE))</f>
        <v/>
      </c>
      <c r="W55" s="769" t="str">
        <f t="shared" si="6"/>
        <v/>
      </c>
      <c r="X55" s="774" t="str">
        <f t="shared" si="7"/>
        <v/>
      </c>
      <c r="Y55" s="160"/>
      <c r="Z55" s="165"/>
      <c r="AA55" s="163"/>
      <c r="AB55" s="166"/>
      <c r="AC55" s="167"/>
      <c r="AD55" s="159"/>
      <c r="AE55" s="160"/>
      <c r="AF55" s="161"/>
      <c r="AG55" s="164"/>
      <c r="AH55" s="802"/>
      <c r="AI55" s="802"/>
      <c r="AK55" s="143"/>
      <c r="AL55" s="907" t="str">
        <f t="shared" si="9"/>
        <v/>
      </c>
      <c r="AM55" s="859">
        <f t="shared" si="10"/>
        <v>0</v>
      </c>
      <c r="AN55" s="859">
        <f t="shared" si="11"/>
        <v>0</v>
      </c>
      <c r="AP55" s="919" t="s">
        <v>450</v>
      </c>
      <c r="AQ55" s="204">
        <f>SUM(AQ35:AQ54)</f>
        <v>0</v>
      </c>
      <c r="AV55" s="143"/>
      <c r="AW55" s="143"/>
      <c r="AX55" s="886"/>
      <c r="AY55" s="886"/>
      <c r="AZ55" s="886"/>
    </row>
    <row r="56" spans="2:52">
      <c r="B56" s="911" t="str">
        <f>前年度登録!AE53</f>
        <v/>
      </c>
      <c r="E56" s="912">
        <f>前年度登録!T53</f>
        <v>0</v>
      </c>
      <c r="F56" s="661" t="str">
        <f>前年度登録!DB53</f>
        <v/>
      </c>
      <c r="G56" s="1131" t="str">
        <f>前年度登録!AO53</f>
        <v/>
      </c>
      <c r="H56" s="661" t="str">
        <f>前年度登録!DB53</f>
        <v/>
      </c>
      <c r="I56" s="187" t="str">
        <f>前年度登録!AN53</f>
        <v/>
      </c>
      <c r="J56" s="1088" t="str">
        <f>前年度登録!DC53</f>
        <v/>
      </c>
      <c r="K56" s="1032">
        <f>前年度登録!DE53</f>
        <v>0</v>
      </c>
      <c r="L56" s="1033" t="str">
        <f>前年度登録!DJ53</f>
        <v>00</v>
      </c>
      <c r="M56" s="911" t="str">
        <f>前年度登録!AF53</f>
        <v/>
      </c>
      <c r="N56" s="1240">
        <f>前年度登録!S53</f>
        <v>0</v>
      </c>
      <c r="O56" s="338"/>
      <c r="P56" s="292" t="str">
        <f t="shared" si="2"/>
        <v/>
      </c>
      <c r="Q56" s="1282" t="str">
        <f>IF(O56="","",HLOOKUP(O56,前年度登録!$AW$3:$CW$118,51,FALSE))</f>
        <v/>
      </c>
      <c r="R56" s="1282" t="str">
        <f t="shared" si="3"/>
        <v/>
      </c>
      <c r="S56" s="1282" t="str">
        <f t="shared" si="4"/>
        <v/>
      </c>
      <c r="T56" s="368"/>
      <c r="U56" s="292" t="str">
        <f t="shared" si="5"/>
        <v/>
      </c>
      <c r="V56" s="669" t="str">
        <f>IF(T56="","",HLOOKUP(T56,前年度登録!$AW$3:$CW$118,51,FALSE))</f>
        <v/>
      </c>
      <c r="W56" s="769" t="str">
        <f t="shared" si="6"/>
        <v/>
      </c>
      <c r="X56" s="774" t="str">
        <f t="shared" si="7"/>
        <v/>
      </c>
      <c r="Y56" s="160"/>
      <c r="Z56" s="165"/>
      <c r="AA56" s="163"/>
      <c r="AB56" s="166"/>
      <c r="AC56" s="167"/>
      <c r="AD56" s="159"/>
      <c r="AE56" s="160"/>
      <c r="AF56" s="161"/>
      <c r="AG56" s="164"/>
      <c r="AH56" s="802"/>
      <c r="AI56" s="802"/>
      <c r="AK56" s="143"/>
      <c r="AL56" s="907" t="str">
        <f t="shared" si="9"/>
        <v/>
      </c>
      <c r="AM56" s="859">
        <f t="shared" si="10"/>
        <v>0</v>
      </c>
      <c r="AN56" s="859">
        <f t="shared" si="11"/>
        <v>0</v>
      </c>
      <c r="AP56" s="920"/>
      <c r="AQ56" s="886"/>
      <c r="AV56" s="143"/>
      <c r="AW56" s="143"/>
      <c r="AX56" s="886"/>
      <c r="AY56" s="886"/>
      <c r="AZ56" s="886"/>
    </row>
    <row r="57" spans="2:52">
      <c r="B57" s="911" t="str">
        <f>前年度登録!AE54</f>
        <v/>
      </c>
      <c r="E57" s="912">
        <f>前年度登録!T54</f>
        <v>0</v>
      </c>
      <c r="F57" s="661" t="str">
        <f>前年度登録!DB54</f>
        <v/>
      </c>
      <c r="G57" s="1131" t="str">
        <f>前年度登録!AO54</f>
        <v/>
      </c>
      <c r="H57" s="661" t="str">
        <f>前年度登録!DB54</f>
        <v/>
      </c>
      <c r="I57" s="187" t="str">
        <f>前年度登録!AN54</f>
        <v/>
      </c>
      <c r="J57" s="1088" t="str">
        <f>前年度登録!DC54</f>
        <v/>
      </c>
      <c r="K57" s="1032">
        <f>前年度登録!DE54</f>
        <v>0</v>
      </c>
      <c r="L57" s="1033" t="str">
        <f>前年度登録!DJ54</f>
        <v>00</v>
      </c>
      <c r="M57" s="911" t="str">
        <f>前年度登録!AF54</f>
        <v/>
      </c>
      <c r="N57" s="1240">
        <f>前年度登録!S54</f>
        <v>0</v>
      </c>
      <c r="O57" s="338"/>
      <c r="P57" s="292" t="str">
        <f t="shared" si="2"/>
        <v/>
      </c>
      <c r="Q57" s="1282" t="str">
        <f>IF(O57="","",HLOOKUP(O57,前年度登録!$AW$3:$CW$118,52,FALSE))</f>
        <v/>
      </c>
      <c r="R57" s="1282" t="str">
        <f t="shared" si="3"/>
        <v/>
      </c>
      <c r="S57" s="1282" t="str">
        <f t="shared" si="4"/>
        <v/>
      </c>
      <c r="T57" s="368"/>
      <c r="U57" s="292" t="str">
        <f t="shared" si="5"/>
        <v/>
      </c>
      <c r="V57" s="669" t="str">
        <f>IF(T57="","",HLOOKUP(T57,前年度登録!$AW$3:$CW$118,52,FALSE))</f>
        <v/>
      </c>
      <c r="W57" s="769" t="str">
        <f t="shared" si="6"/>
        <v/>
      </c>
      <c r="X57" s="774" t="str">
        <f t="shared" si="7"/>
        <v/>
      </c>
      <c r="Y57" s="160"/>
      <c r="Z57" s="165"/>
      <c r="AA57" s="163"/>
      <c r="AB57" s="166"/>
      <c r="AC57" s="167"/>
      <c r="AD57" s="159"/>
      <c r="AE57" s="160"/>
      <c r="AF57" s="161"/>
      <c r="AG57" s="164"/>
      <c r="AH57" s="802"/>
      <c r="AI57" s="802"/>
      <c r="AK57" s="143"/>
      <c r="AL57" s="907" t="str">
        <f t="shared" si="9"/>
        <v/>
      </c>
      <c r="AM57" s="859">
        <f t="shared" si="10"/>
        <v>0</v>
      </c>
      <c r="AN57" s="859">
        <f t="shared" si="11"/>
        <v>0</v>
      </c>
      <c r="AP57" s="920"/>
      <c r="AQ57" s="886"/>
      <c r="AV57" s="143"/>
      <c r="AW57" s="143"/>
      <c r="AX57" s="886"/>
      <c r="AY57" s="886"/>
      <c r="AZ57" s="886"/>
    </row>
    <row r="58" spans="2:52">
      <c r="B58" s="911" t="str">
        <f>前年度登録!AE55</f>
        <v/>
      </c>
      <c r="E58" s="912">
        <f>前年度登録!T55</f>
        <v>0</v>
      </c>
      <c r="F58" s="661" t="str">
        <f>前年度登録!DB55</f>
        <v/>
      </c>
      <c r="G58" s="1131" t="str">
        <f>前年度登録!AO55</f>
        <v/>
      </c>
      <c r="H58" s="661" t="str">
        <f>前年度登録!DB55</f>
        <v/>
      </c>
      <c r="I58" s="187" t="str">
        <f>前年度登録!AN55</f>
        <v/>
      </c>
      <c r="J58" s="1088" t="str">
        <f>前年度登録!DC55</f>
        <v/>
      </c>
      <c r="K58" s="1032">
        <f>前年度登録!DE55</f>
        <v>0</v>
      </c>
      <c r="L58" s="1033" t="str">
        <f>前年度登録!DJ55</f>
        <v>00</v>
      </c>
      <c r="M58" s="911" t="str">
        <f>前年度登録!AF55</f>
        <v/>
      </c>
      <c r="N58" s="1240">
        <f>前年度登録!S55</f>
        <v>0</v>
      </c>
      <c r="O58" s="338"/>
      <c r="P58" s="292" t="str">
        <f t="shared" si="2"/>
        <v/>
      </c>
      <c r="Q58" s="1282" t="str">
        <f>IF(O58="","",HLOOKUP(O58,前年度登録!$AW$3:$CW$118,53,FALSE))</f>
        <v/>
      </c>
      <c r="R58" s="1282" t="str">
        <f t="shared" si="3"/>
        <v/>
      </c>
      <c r="S58" s="1282" t="str">
        <f t="shared" si="4"/>
        <v/>
      </c>
      <c r="T58" s="368"/>
      <c r="U58" s="292" t="str">
        <f t="shared" si="5"/>
        <v/>
      </c>
      <c r="V58" s="669" t="str">
        <f>IF(T58="","",HLOOKUP(T58,前年度登録!$AW$3:$CW$118,53,FALSE))</f>
        <v/>
      </c>
      <c r="W58" s="769" t="str">
        <f t="shared" si="6"/>
        <v/>
      </c>
      <c r="X58" s="774" t="str">
        <f t="shared" si="7"/>
        <v/>
      </c>
      <c r="Y58" s="160"/>
      <c r="Z58" s="165"/>
      <c r="AA58" s="163"/>
      <c r="AB58" s="166"/>
      <c r="AC58" s="167"/>
      <c r="AD58" s="159"/>
      <c r="AE58" s="160"/>
      <c r="AF58" s="161"/>
      <c r="AG58" s="164"/>
      <c r="AH58" s="802"/>
      <c r="AI58" s="802"/>
      <c r="AK58" s="143"/>
      <c r="AL58" s="907" t="str">
        <f t="shared" si="9"/>
        <v/>
      </c>
      <c r="AM58" s="859">
        <f t="shared" si="10"/>
        <v>0</v>
      </c>
      <c r="AN58" s="859">
        <f t="shared" si="11"/>
        <v>0</v>
      </c>
      <c r="AP58" s="920"/>
      <c r="AQ58" s="886"/>
      <c r="AV58" s="143"/>
      <c r="AW58" s="143"/>
      <c r="AX58" s="886"/>
      <c r="AY58" s="886"/>
      <c r="AZ58" s="886"/>
    </row>
    <row r="59" spans="2:52">
      <c r="B59" s="911" t="str">
        <f>前年度登録!AE56</f>
        <v/>
      </c>
      <c r="E59" s="912">
        <f>前年度登録!T56</f>
        <v>0</v>
      </c>
      <c r="F59" s="661" t="str">
        <f>前年度登録!DB56</f>
        <v/>
      </c>
      <c r="G59" s="1131" t="str">
        <f>前年度登録!AO56</f>
        <v/>
      </c>
      <c r="H59" s="661" t="str">
        <f>前年度登録!DB56</f>
        <v/>
      </c>
      <c r="I59" s="187" t="str">
        <f>前年度登録!AN56</f>
        <v/>
      </c>
      <c r="J59" s="1088" t="str">
        <f>前年度登録!DC56</f>
        <v/>
      </c>
      <c r="K59" s="1032">
        <f>前年度登録!DE56</f>
        <v>0</v>
      </c>
      <c r="L59" s="1033" t="str">
        <f>前年度登録!DJ56</f>
        <v>00</v>
      </c>
      <c r="M59" s="911" t="str">
        <f>前年度登録!AF56</f>
        <v/>
      </c>
      <c r="N59" s="1240">
        <f>前年度登録!S56</f>
        <v>0</v>
      </c>
      <c r="O59" s="338"/>
      <c r="P59" s="292" t="str">
        <f t="shared" si="2"/>
        <v/>
      </c>
      <c r="Q59" s="1282" t="str">
        <f>IF(O59="","",HLOOKUP(O59,前年度登録!$AW$3:$CW$118,54,FALSE))</f>
        <v/>
      </c>
      <c r="R59" s="1282" t="str">
        <f t="shared" si="3"/>
        <v/>
      </c>
      <c r="S59" s="1282" t="str">
        <f t="shared" si="4"/>
        <v/>
      </c>
      <c r="T59" s="368"/>
      <c r="U59" s="292" t="str">
        <f t="shared" si="5"/>
        <v/>
      </c>
      <c r="V59" s="669" t="str">
        <f>IF(T59="","",HLOOKUP(T59,前年度登録!$AW$3:$CW$118,54,FALSE))</f>
        <v/>
      </c>
      <c r="W59" s="769" t="str">
        <f t="shared" si="6"/>
        <v/>
      </c>
      <c r="X59" s="774" t="str">
        <f t="shared" si="7"/>
        <v/>
      </c>
      <c r="Y59" s="160"/>
      <c r="Z59" s="165"/>
      <c r="AA59" s="163"/>
      <c r="AB59" s="166"/>
      <c r="AC59" s="167"/>
      <c r="AD59" s="159"/>
      <c r="AE59" s="160"/>
      <c r="AF59" s="161"/>
      <c r="AG59" s="164"/>
      <c r="AH59" s="802"/>
      <c r="AI59" s="802"/>
      <c r="AK59" s="143"/>
      <c r="AL59" s="907" t="str">
        <f t="shared" si="9"/>
        <v/>
      </c>
      <c r="AM59" s="859">
        <f t="shared" si="10"/>
        <v>0</v>
      </c>
      <c r="AN59" s="859">
        <f t="shared" si="11"/>
        <v>0</v>
      </c>
      <c r="AP59" s="886"/>
      <c r="AQ59" s="886"/>
      <c r="AV59" s="143"/>
      <c r="AW59" s="143"/>
      <c r="AX59" s="886"/>
      <c r="AY59" s="886"/>
      <c r="AZ59" s="886"/>
    </row>
    <row r="60" spans="2:52">
      <c r="B60" s="911" t="str">
        <f>前年度登録!AE57</f>
        <v/>
      </c>
      <c r="E60" s="912">
        <f>前年度登録!T57</f>
        <v>0</v>
      </c>
      <c r="F60" s="661" t="str">
        <f>前年度登録!DB57</f>
        <v/>
      </c>
      <c r="G60" s="1131" t="str">
        <f>前年度登録!AO57</f>
        <v/>
      </c>
      <c r="H60" s="661" t="str">
        <f>前年度登録!DB57</f>
        <v/>
      </c>
      <c r="I60" s="187" t="str">
        <f>前年度登録!AN57</f>
        <v/>
      </c>
      <c r="J60" s="1088" t="str">
        <f>前年度登録!DC57</f>
        <v/>
      </c>
      <c r="K60" s="1032">
        <f>前年度登録!DE57</f>
        <v>0</v>
      </c>
      <c r="L60" s="1033" t="str">
        <f>前年度登録!DJ57</f>
        <v>00</v>
      </c>
      <c r="M60" s="911" t="str">
        <f>前年度登録!AF57</f>
        <v/>
      </c>
      <c r="N60" s="1240">
        <f>前年度登録!S57</f>
        <v>0</v>
      </c>
      <c r="O60" s="338"/>
      <c r="P60" s="292" t="str">
        <f t="shared" si="2"/>
        <v/>
      </c>
      <c r="Q60" s="1282" t="str">
        <f>IF(O60="","",HLOOKUP(O60,前年度登録!$AW$3:$CW$118,55,FALSE))</f>
        <v/>
      </c>
      <c r="R60" s="1282" t="str">
        <f t="shared" si="3"/>
        <v/>
      </c>
      <c r="S60" s="1282" t="str">
        <f t="shared" si="4"/>
        <v/>
      </c>
      <c r="T60" s="368"/>
      <c r="U60" s="292" t="str">
        <f t="shared" si="5"/>
        <v/>
      </c>
      <c r="V60" s="669" t="str">
        <f>IF(T60="","",HLOOKUP(T60,前年度登録!$AW$3:$CW$118,55,FALSE))</f>
        <v/>
      </c>
      <c r="W60" s="769" t="str">
        <f t="shared" si="6"/>
        <v/>
      </c>
      <c r="X60" s="774" t="str">
        <f t="shared" si="7"/>
        <v/>
      </c>
      <c r="Y60" s="160"/>
      <c r="Z60" s="165"/>
      <c r="AA60" s="163"/>
      <c r="AB60" s="166"/>
      <c r="AC60" s="167"/>
      <c r="AD60" s="159"/>
      <c r="AE60" s="160"/>
      <c r="AF60" s="161"/>
      <c r="AG60" s="164"/>
      <c r="AH60" s="802"/>
      <c r="AI60" s="802"/>
      <c r="AK60" s="143"/>
      <c r="AL60" s="907" t="str">
        <f t="shared" si="9"/>
        <v/>
      </c>
      <c r="AM60" s="859">
        <f t="shared" si="10"/>
        <v>0</v>
      </c>
      <c r="AN60" s="859">
        <f t="shared" si="11"/>
        <v>0</v>
      </c>
      <c r="AP60" s="886"/>
      <c r="AQ60" s="886"/>
      <c r="AV60" s="143"/>
      <c r="AW60" s="143"/>
      <c r="AX60" s="886"/>
      <c r="AY60" s="886"/>
      <c r="AZ60" s="886"/>
    </row>
    <row r="61" spans="2:52">
      <c r="B61" s="911" t="str">
        <f>前年度登録!AE58</f>
        <v/>
      </c>
      <c r="E61" s="912">
        <f>前年度登録!T58</f>
        <v>0</v>
      </c>
      <c r="F61" s="661" t="str">
        <f>前年度登録!DB58</f>
        <v/>
      </c>
      <c r="G61" s="1131" t="str">
        <f>前年度登録!AO58</f>
        <v/>
      </c>
      <c r="H61" s="661" t="str">
        <f>前年度登録!DB58</f>
        <v/>
      </c>
      <c r="I61" s="187" t="str">
        <f>前年度登録!AN58</f>
        <v/>
      </c>
      <c r="J61" s="1088" t="str">
        <f>前年度登録!DC58</f>
        <v/>
      </c>
      <c r="K61" s="1032">
        <f>前年度登録!DE58</f>
        <v>0</v>
      </c>
      <c r="L61" s="1033" t="str">
        <f>前年度登録!DJ58</f>
        <v>00</v>
      </c>
      <c r="M61" s="911" t="str">
        <f>前年度登録!AF58</f>
        <v/>
      </c>
      <c r="N61" s="1240">
        <f>前年度登録!S58</f>
        <v>0</v>
      </c>
      <c r="O61" s="338"/>
      <c r="P61" s="292" t="str">
        <f t="shared" si="2"/>
        <v/>
      </c>
      <c r="Q61" s="1282" t="str">
        <f>IF(O61="","",HLOOKUP(O61,前年度登録!$AW$3:$CW$118,56,FALSE))</f>
        <v/>
      </c>
      <c r="R61" s="1282" t="str">
        <f t="shared" si="3"/>
        <v/>
      </c>
      <c r="S61" s="1282" t="str">
        <f t="shared" si="4"/>
        <v/>
      </c>
      <c r="T61" s="368"/>
      <c r="U61" s="292" t="str">
        <f t="shared" si="5"/>
        <v/>
      </c>
      <c r="V61" s="669" t="str">
        <f>IF(T61="","",HLOOKUP(T61,前年度登録!$AW$3:$CW$118,56,FALSE))</f>
        <v/>
      </c>
      <c r="W61" s="769" t="str">
        <f t="shared" si="6"/>
        <v/>
      </c>
      <c r="X61" s="774" t="str">
        <f t="shared" si="7"/>
        <v/>
      </c>
      <c r="Y61" s="160"/>
      <c r="Z61" s="165"/>
      <c r="AA61" s="163"/>
      <c r="AB61" s="166"/>
      <c r="AC61" s="167"/>
      <c r="AD61" s="159"/>
      <c r="AE61" s="160"/>
      <c r="AF61" s="161"/>
      <c r="AG61" s="164"/>
      <c r="AH61" s="802"/>
      <c r="AI61" s="802"/>
      <c r="AK61" s="143"/>
      <c r="AL61" s="907" t="str">
        <f t="shared" si="9"/>
        <v/>
      </c>
      <c r="AM61" s="859">
        <f t="shared" si="10"/>
        <v>0</v>
      </c>
      <c r="AN61" s="859">
        <f t="shared" si="11"/>
        <v>0</v>
      </c>
      <c r="AP61" s="886"/>
      <c r="AQ61" s="886"/>
      <c r="AV61" s="143"/>
      <c r="AW61" s="143"/>
      <c r="AX61" s="886"/>
      <c r="AY61" s="886"/>
      <c r="AZ61" s="886"/>
    </row>
    <row r="62" spans="2:52">
      <c r="B62" s="911" t="str">
        <f>前年度登録!AE59</f>
        <v/>
      </c>
      <c r="E62" s="912">
        <f>前年度登録!T59</f>
        <v>0</v>
      </c>
      <c r="F62" s="661" t="str">
        <f>前年度登録!DB59</f>
        <v/>
      </c>
      <c r="G62" s="1131" t="str">
        <f>前年度登録!AO59</f>
        <v/>
      </c>
      <c r="H62" s="661" t="str">
        <f>前年度登録!DB59</f>
        <v/>
      </c>
      <c r="I62" s="187" t="str">
        <f>前年度登録!AN59</f>
        <v/>
      </c>
      <c r="J62" s="1088" t="str">
        <f>前年度登録!DC59</f>
        <v/>
      </c>
      <c r="K62" s="1032">
        <f>前年度登録!DE59</f>
        <v>0</v>
      </c>
      <c r="L62" s="1033" t="str">
        <f>前年度登録!DJ59</f>
        <v>00</v>
      </c>
      <c r="M62" s="911" t="str">
        <f>前年度登録!AF59</f>
        <v/>
      </c>
      <c r="N62" s="1240">
        <f>前年度登録!S59</f>
        <v>0</v>
      </c>
      <c r="O62" s="338"/>
      <c r="P62" s="292" t="str">
        <f t="shared" si="2"/>
        <v/>
      </c>
      <c r="Q62" s="1282" t="str">
        <f>IF(O62="","",HLOOKUP(O62,前年度登録!$AW$3:$CW$118,57,FALSE))</f>
        <v/>
      </c>
      <c r="R62" s="1282" t="str">
        <f t="shared" si="3"/>
        <v/>
      </c>
      <c r="S62" s="1282" t="str">
        <f t="shared" si="4"/>
        <v/>
      </c>
      <c r="T62" s="368"/>
      <c r="U62" s="292" t="str">
        <f t="shared" si="5"/>
        <v/>
      </c>
      <c r="V62" s="669" t="str">
        <f>IF(T62="","",HLOOKUP(T62,前年度登録!$AW$3:$CW$118,57,FALSE))</f>
        <v/>
      </c>
      <c r="W62" s="769" t="str">
        <f t="shared" si="6"/>
        <v/>
      </c>
      <c r="X62" s="774" t="str">
        <f t="shared" si="7"/>
        <v/>
      </c>
      <c r="Y62" s="160"/>
      <c r="Z62" s="165"/>
      <c r="AA62" s="163"/>
      <c r="AB62" s="166"/>
      <c r="AC62" s="167"/>
      <c r="AD62" s="159"/>
      <c r="AE62" s="160"/>
      <c r="AF62" s="161"/>
      <c r="AG62" s="164"/>
      <c r="AH62" s="802"/>
      <c r="AI62" s="802"/>
      <c r="AK62" s="143"/>
      <c r="AL62" s="907" t="str">
        <f t="shared" si="9"/>
        <v/>
      </c>
      <c r="AM62" s="859">
        <f t="shared" si="10"/>
        <v>0</v>
      </c>
      <c r="AN62" s="859">
        <f t="shared" si="11"/>
        <v>0</v>
      </c>
      <c r="AP62" s="886"/>
      <c r="AQ62" s="886"/>
      <c r="AV62" s="143"/>
      <c r="AW62" s="143"/>
      <c r="AX62" s="886"/>
      <c r="AY62" s="886"/>
      <c r="AZ62" s="886"/>
    </row>
    <row r="63" spans="2:52">
      <c r="B63" s="911" t="str">
        <f>前年度登録!AE60</f>
        <v/>
      </c>
      <c r="E63" s="912">
        <f>前年度登録!T60</f>
        <v>0</v>
      </c>
      <c r="F63" s="661" t="str">
        <f>前年度登録!DB60</f>
        <v/>
      </c>
      <c r="G63" s="1131" t="str">
        <f>前年度登録!AO60</f>
        <v/>
      </c>
      <c r="H63" s="661" t="str">
        <f>前年度登録!DB60</f>
        <v/>
      </c>
      <c r="I63" s="187" t="str">
        <f>前年度登録!AN60</f>
        <v/>
      </c>
      <c r="J63" s="1088" t="str">
        <f>前年度登録!DC60</f>
        <v/>
      </c>
      <c r="K63" s="1032">
        <f>前年度登録!DE60</f>
        <v>0</v>
      </c>
      <c r="L63" s="1033" t="str">
        <f>前年度登録!DJ60</f>
        <v>00</v>
      </c>
      <c r="M63" s="911" t="str">
        <f>前年度登録!AF60</f>
        <v/>
      </c>
      <c r="N63" s="1240">
        <f>前年度登録!S60</f>
        <v>0</v>
      </c>
      <c r="O63" s="338"/>
      <c r="P63" s="292" t="str">
        <f t="shared" si="2"/>
        <v/>
      </c>
      <c r="Q63" s="1282" t="str">
        <f>IF(O63="","",HLOOKUP(O63,前年度登録!$AW$3:$CW$118,58,FALSE))</f>
        <v/>
      </c>
      <c r="R63" s="1282" t="str">
        <f t="shared" si="3"/>
        <v/>
      </c>
      <c r="S63" s="1282" t="str">
        <f t="shared" si="4"/>
        <v/>
      </c>
      <c r="T63" s="368"/>
      <c r="U63" s="292" t="str">
        <f t="shared" si="5"/>
        <v/>
      </c>
      <c r="V63" s="669" t="str">
        <f>IF(T63="","",HLOOKUP(T63,前年度登録!$AW$3:$CW$118,58,FALSE))</f>
        <v/>
      </c>
      <c r="W63" s="769" t="str">
        <f t="shared" si="6"/>
        <v/>
      </c>
      <c r="X63" s="774" t="str">
        <f t="shared" si="7"/>
        <v/>
      </c>
      <c r="Y63" s="160"/>
      <c r="Z63" s="165"/>
      <c r="AA63" s="163"/>
      <c r="AB63" s="166"/>
      <c r="AC63" s="167"/>
      <c r="AD63" s="159"/>
      <c r="AE63" s="160"/>
      <c r="AF63" s="161"/>
      <c r="AG63" s="164"/>
      <c r="AH63" s="802"/>
      <c r="AI63" s="802"/>
      <c r="AK63" s="143"/>
      <c r="AL63" s="907" t="str">
        <f t="shared" si="9"/>
        <v/>
      </c>
      <c r="AM63" s="859">
        <f t="shared" si="10"/>
        <v>0</v>
      </c>
      <c r="AN63" s="859">
        <f t="shared" si="11"/>
        <v>0</v>
      </c>
      <c r="AP63" s="886"/>
      <c r="AQ63" s="886"/>
      <c r="AV63" s="143"/>
      <c r="AW63" s="143"/>
      <c r="AX63" s="886"/>
      <c r="AY63" s="886"/>
      <c r="AZ63" s="886"/>
    </row>
    <row r="64" spans="2:52">
      <c r="B64" s="911" t="str">
        <f>前年度登録!AE61</f>
        <v/>
      </c>
      <c r="E64" s="912">
        <f>前年度登録!T61</f>
        <v>0</v>
      </c>
      <c r="F64" s="661" t="str">
        <f>前年度登録!DB61</f>
        <v/>
      </c>
      <c r="G64" s="1131" t="str">
        <f>前年度登録!AO61</f>
        <v/>
      </c>
      <c r="H64" s="661" t="str">
        <f>前年度登録!DB61</f>
        <v/>
      </c>
      <c r="I64" s="187" t="str">
        <f>前年度登録!AN61</f>
        <v/>
      </c>
      <c r="J64" s="1088" t="str">
        <f>前年度登録!DC61</f>
        <v/>
      </c>
      <c r="K64" s="1032">
        <f>前年度登録!DE61</f>
        <v>0</v>
      </c>
      <c r="L64" s="1033" t="str">
        <f>前年度登録!DJ61</f>
        <v>00</v>
      </c>
      <c r="M64" s="911" t="str">
        <f>前年度登録!AF61</f>
        <v/>
      </c>
      <c r="N64" s="1240">
        <f>前年度登録!S61</f>
        <v>0</v>
      </c>
      <c r="O64" s="338"/>
      <c r="P64" s="292" t="str">
        <f t="shared" si="2"/>
        <v/>
      </c>
      <c r="Q64" s="1282" t="str">
        <f>IF(O64="","",HLOOKUP(O64,前年度登録!$AW$3:$CW$118,59,FALSE))</f>
        <v/>
      </c>
      <c r="R64" s="1282" t="str">
        <f t="shared" si="3"/>
        <v/>
      </c>
      <c r="S64" s="1282" t="str">
        <f t="shared" si="4"/>
        <v/>
      </c>
      <c r="T64" s="368"/>
      <c r="U64" s="292" t="str">
        <f t="shared" si="5"/>
        <v/>
      </c>
      <c r="V64" s="669" t="str">
        <f>IF(T64="","",HLOOKUP(T64,前年度登録!$AW$3:$CW$118,59,FALSE))</f>
        <v/>
      </c>
      <c r="W64" s="769" t="str">
        <f t="shared" si="6"/>
        <v/>
      </c>
      <c r="X64" s="774" t="str">
        <f t="shared" si="7"/>
        <v/>
      </c>
      <c r="Y64" s="160"/>
      <c r="Z64" s="165"/>
      <c r="AA64" s="163"/>
      <c r="AB64" s="166"/>
      <c r="AC64" s="167"/>
      <c r="AD64" s="159"/>
      <c r="AE64" s="160"/>
      <c r="AF64" s="161"/>
      <c r="AG64" s="164"/>
      <c r="AH64" s="802"/>
      <c r="AI64" s="802"/>
      <c r="AK64" s="143"/>
      <c r="AL64" s="907" t="str">
        <f t="shared" si="9"/>
        <v/>
      </c>
      <c r="AM64" s="859">
        <f t="shared" si="10"/>
        <v>0</v>
      </c>
      <c r="AN64" s="859">
        <f t="shared" si="11"/>
        <v>0</v>
      </c>
      <c r="AP64" s="886"/>
      <c r="AQ64" s="886"/>
      <c r="AV64" s="143"/>
      <c r="AW64" s="143"/>
      <c r="AX64" s="886"/>
      <c r="AY64" s="886"/>
      <c r="AZ64" s="886"/>
    </row>
    <row r="65" spans="2:52">
      <c r="B65" s="911" t="str">
        <f>前年度登録!AE62</f>
        <v/>
      </c>
      <c r="E65" s="912">
        <f>前年度登録!T62</f>
        <v>0</v>
      </c>
      <c r="F65" s="661" t="str">
        <f>前年度登録!DB62</f>
        <v/>
      </c>
      <c r="G65" s="1131" t="str">
        <f>前年度登録!AO62</f>
        <v/>
      </c>
      <c r="H65" s="661" t="str">
        <f>前年度登録!DB62</f>
        <v/>
      </c>
      <c r="I65" s="187" t="str">
        <f>前年度登録!AN62</f>
        <v/>
      </c>
      <c r="J65" s="1088" t="str">
        <f>前年度登録!DC62</f>
        <v/>
      </c>
      <c r="K65" s="1032">
        <f>前年度登録!DE62</f>
        <v>0</v>
      </c>
      <c r="L65" s="1033" t="str">
        <f>前年度登録!DJ62</f>
        <v>00</v>
      </c>
      <c r="M65" s="911" t="str">
        <f>前年度登録!AF62</f>
        <v/>
      </c>
      <c r="N65" s="1240">
        <f>前年度登録!S62</f>
        <v>0</v>
      </c>
      <c r="O65" s="338"/>
      <c r="P65" s="292" t="str">
        <f t="shared" si="2"/>
        <v/>
      </c>
      <c r="Q65" s="1282" t="str">
        <f>IF(O65="","",HLOOKUP(O65,前年度登録!$AW$3:$CW$118,60,FALSE))</f>
        <v/>
      </c>
      <c r="R65" s="1282" t="str">
        <f t="shared" si="3"/>
        <v/>
      </c>
      <c r="S65" s="1282" t="str">
        <f t="shared" si="4"/>
        <v/>
      </c>
      <c r="T65" s="368"/>
      <c r="U65" s="292" t="str">
        <f t="shared" si="5"/>
        <v/>
      </c>
      <c r="V65" s="669" t="str">
        <f>IF(T65="","",HLOOKUP(T65,前年度登録!$AW$3:$CW$118,60,FALSE))</f>
        <v/>
      </c>
      <c r="W65" s="769" t="str">
        <f t="shared" si="6"/>
        <v/>
      </c>
      <c r="X65" s="774" t="str">
        <f t="shared" si="7"/>
        <v/>
      </c>
      <c r="Y65" s="160"/>
      <c r="Z65" s="165"/>
      <c r="AA65" s="163"/>
      <c r="AB65" s="166"/>
      <c r="AC65" s="167"/>
      <c r="AD65" s="159"/>
      <c r="AE65" s="160"/>
      <c r="AF65" s="161"/>
      <c r="AG65" s="164"/>
      <c r="AH65" s="802"/>
      <c r="AI65" s="802"/>
      <c r="AK65" s="143"/>
      <c r="AL65" s="907" t="str">
        <f t="shared" si="9"/>
        <v/>
      </c>
      <c r="AM65" s="859">
        <f t="shared" si="10"/>
        <v>0</v>
      </c>
      <c r="AN65" s="859">
        <f t="shared" si="11"/>
        <v>0</v>
      </c>
      <c r="AP65" s="886"/>
      <c r="AQ65" s="886"/>
      <c r="AV65" s="143"/>
      <c r="AW65" s="143"/>
      <c r="AX65" s="886"/>
      <c r="AY65" s="886"/>
      <c r="AZ65" s="886"/>
    </row>
    <row r="66" spans="2:52">
      <c r="B66" s="911" t="str">
        <f>前年度登録!AE63</f>
        <v/>
      </c>
      <c r="E66" s="912">
        <f>前年度登録!T63</f>
        <v>0</v>
      </c>
      <c r="F66" s="661" t="str">
        <f>前年度登録!DB63</f>
        <v/>
      </c>
      <c r="G66" s="1131" t="str">
        <f>前年度登録!AO63</f>
        <v/>
      </c>
      <c r="H66" s="661" t="str">
        <f>前年度登録!DB63</f>
        <v/>
      </c>
      <c r="I66" s="187" t="str">
        <f>前年度登録!AN63</f>
        <v/>
      </c>
      <c r="J66" s="1088" t="str">
        <f>前年度登録!DC63</f>
        <v/>
      </c>
      <c r="K66" s="1032">
        <f>前年度登録!DE63</f>
        <v>0</v>
      </c>
      <c r="L66" s="1033" t="str">
        <f>前年度登録!DJ63</f>
        <v>00</v>
      </c>
      <c r="M66" s="911" t="str">
        <f>前年度登録!AF63</f>
        <v/>
      </c>
      <c r="N66" s="1240">
        <f>前年度登録!S63</f>
        <v>0</v>
      </c>
      <c r="O66" s="338"/>
      <c r="P66" s="292" t="str">
        <f t="shared" si="2"/>
        <v/>
      </c>
      <c r="Q66" s="1282" t="str">
        <f>IF(O66="","",HLOOKUP(O66,前年度登録!$AW$3:$CW$118,61,FALSE))</f>
        <v/>
      </c>
      <c r="R66" s="1282" t="str">
        <f t="shared" si="3"/>
        <v/>
      </c>
      <c r="S66" s="1282" t="str">
        <f t="shared" si="4"/>
        <v/>
      </c>
      <c r="T66" s="368"/>
      <c r="U66" s="292" t="str">
        <f t="shared" si="5"/>
        <v/>
      </c>
      <c r="V66" s="669" t="str">
        <f>IF(T66="","",HLOOKUP(T66,前年度登録!$AW$3:$CW$118,61,FALSE))</f>
        <v/>
      </c>
      <c r="W66" s="769" t="str">
        <f t="shared" si="6"/>
        <v/>
      </c>
      <c r="X66" s="774" t="str">
        <f t="shared" si="7"/>
        <v/>
      </c>
      <c r="Y66" s="160"/>
      <c r="Z66" s="165"/>
      <c r="AA66" s="163"/>
      <c r="AB66" s="166"/>
      <c r="AC66" s="167"/>
      <c r="AD66" s="159"/>
      <c r="AE66" s="160"/>
      <c r="AF66" s="161"/>
      <c r="AG66" s="164"/>
      <c r="AH66" s="802"/>
      <c r="AI66" s="802"/>
      <c r="AK66" s="143"/>
      <c r="AL66" s="907" t="str">
        <f t="shared" si="9"/>
        <v/>
      </c>
      <c r="AM66" s="859">
        <f t="shared" si="10"/>
        <v>0</v>
      </c>
      <c r="AN66" s="859">
        <f t="shared" si="11"/>
        <v>0</v>
      </c>
      <c r="AP66" s="886"/>
      <c r="AQ66" s="886"/>
      <c r="AV66" s="143"/>
      <c r="AW66" s="143"/>
      <c r="AX66" s="886"/>
      <c r="AY66" s="886"/>
      <c r="AZ66" s="886"/>
    </row>
    <row r="67" spans="2:52">
      <c r="B67" s="911" t="str">
        <f>前年度登録!AE64</f>
        <v/>
      </c>
      <c r="E67" s="912">
        <f>前年度登録!T64</f>
        <v>0</v>
      </c>
      <c r="F67" s="661" t="str">
        <f>前年度登録!DB64</f>
        <v/>
      </c>
      <c r="G67" s="1131" t="str">
        <f>前年度登録!AO64</f>
        <v/>
      </c>
      <c r="H67" s="661" t="str">
        <f>前年度登録!DB64</f>
        <v/>
      </c>
      <c r="I67" s="187" t="str">
        <f>前年度登録!AN64</f>
        <v/>
      </c>
      <c r="J67" s="1088" t="str">
        <f>前年度登録!DC64</f>
        <v/>
      </c>
      <c r="K67" s="1032">
        <f>前年度登録!DE64</f>
        <v>0</v>
      </c>
      <c r="L67" s="1033" t="str">
        <f>前年度登録!DJ64</f>
        <v>00</v>
      </c>
      <c r="M67" s="911" t="str">
        <f>前年度登録!AF64</f>
        <v/>
      </c>
      <c r="N67" s="1240">
        <f>前年度登録!S64</f>
        <v>0</v>
      </c>
      <c r="O67" s="338"/>
      <c r="P67" s="292" t="str">
        <f t="shared" si="2"/>
        <v/>
      </c>
      <c r="Q67" s="1282" t="str">
        <f>IF(O67="","",HLOOKUP(O67,前年度登録!$AW$3:$CW$118,62,FALSE))</f>
        <v/>
      </c>
      <c r="R67" s="1282" t="str">
        <f t="shared" si="3"/>
        <v/>
      </c>
      <c r="S67" s="1282" t="str">
        <f t="shared" si="4"/>
        <v/>
      </c>
      <c r="T67" s="368"/>
      <c r="U67" s="292" t="str">
        <f t="shared" si="5"/>
        <v/>
      </c>
      <c r="V67" s="669" t="str">
        <f>IF(T67="","",HLOOKUP(T67,前年度登録!$AW$3:$CW$118,62,FALSE))</f>
        <v/>
      </c>
      <c r="W67" s="769" t="str">
        <f t="shared" si="6"/>
        <v/>
      </c>
      <c r="X67" s="774" t="str">
        <f t="shared" si="7"/>
        <v/>
      </c>
      <c r="Y67" s="160"/>
      <c r="Z67" s="165"/>
      <c r="AA67" s="163"/>
      <c r="AB67" s="166"/>
      <c r="AC67" s="167"/>
      <c r="AD67" s="159"/>
      <c r="AE67" s="160"/>
      <c r="AF67" s="161"/>
      <c r="AG67" s="164"/>
      <c r="AH67" s="802"/>
      <c r="AI67" s="802"/>
      <c r="AK67" s="143"/>
      <c r="AL67" s="907" t="str">
        <f t="shared" si="9"/>
        <v/>
      </c>
      <c r="AM67" s="859">
        <f t="shared" si="10"/>
        <v>0</v>
      </c>
      <c r="AN67" s="859">
        <f t="shared" si="11"/>
        <v>0</v>
      </c>
      <c r="AP67" s="886"/>
      <c r="AQ67" s="886"/>
      <c r="AV67" s="143"/>
      <c r="AW67" s="143"/>
      <c r="AX67" s="886"/>
      <c r="AY67" s="886"/>
      <c r="AZ67" s="886"/>
    </row>
    <row r="68" spans="2:52">
      <c r="B68" s="911" t="str">
        <f>前年度登録!AE65</f>
        <v/>
      </c>
      <c r="E68" s="912">
        <f>前年度登録!T65</f>
        <v>0</v>
      </c>
      <c r="F68" s="661" t="str">
        <f>前年度登録!DB65</f>
        <v/>
      </c>
      <c r="G68" s="1131" t="str">
        <f>前年度登録!AO65</f>
        <v/>
      </c>
      <c r="H68" s="661" t="str">
        <f>前年度登録!DB65</f>
        <v/>
      </c>
      <c r="I68" s="187" t="str">
        <f>前年度登録!AN65</f>
        <v/>
      </c>
      <c r="J68" s="1088" t="str">
        <f>前年度登録!DC65</f>
        <v/>
      </c>
      <c r="K68" s="1032">
        <f>前年度登録!DE65</f>
        <v>0</v>
      </c>
      <c r="L68" s="1033" t="str">
        <f>前年度登録!DJ65</f>
        <v>00</v>
      </c>
      <c r="M68" s="911" t="str">
        <f>前年度登録!AF65</f>
        <v/>
      </c>
      <c r="N68" s="1240">
        <f>前年度登録!S65</f>
        <v>0</v>
      </c>
      <c r="O68" s="338"/>
      <c r="P68" s="292" t="str">
        <f t="shared" si="2"/>
        <v/>
      </c>
      <c r="Q68" s="1282" t="str">
        <f>IF(O68="","",HLOOKUP(O68,前年度登録!$AW$3:$CW$118,63,FALSE))</f>
        <v/>
      </c>
      <c r="R68" s="1282" t="str">
        <f t="shared" si="3"/>
        <v/>
      </c>
      <c r="S68" s="1282" t="str">
        <f t="shared" si="4"/>
        <v/>
      </c>
      <c r="T68" s="368"/>
      <c r="U68" s="292" t="str">
        <f t="shared" si="5"/>
        <v/>
      </c>
      <c r="V68" s="669" t="str">
        <f>IF(T68="","",HLOOKUP(T68,前年度登録!$AW$3:$CW$118,63,FALSE))</f>
        <v/>
      </c>
      <c r="W68" s="769" t="str">
        <f t="shared" si="6"/>
        <v/>
      </c>
      <c r="X68" s="774" t="str">
        <f t="shared" si="7"/>
        <v/>
      </c>
      <c r="Y68" s="160"/>
      <c r="Z68" s="165"/>
      <c r="AA68" s="163"/>
      <c r="AB68" s="166"/>
      <c r="AC68" s="167"/>
      <c r="AD68" s="159"/>
      <c r="AE68" s="160"/>
      <c r="AF68" s="161"/>
      <c r="AG68" s="164"/>
      <c r="AH68" s="802"/>
      <c r="AI68" s="802"/>
      <c r="AK68" s="143"/>
      <c r="AL68" s="907" t="str">
        <f t="shared" si="9"/>
        <v/>
      </c>
      <c r="AM68" s="859">
        <f t="shared" si="10"/>
        <v>0</v>
      </c>
      <c r="AN68" s="859">
        <f t="shared" si="11"/>
        <v>0</v>
      </c>
      <c r="AP68" s="886"/>
      <c r="AQ68" s="886"/>
      <c r="AV68" s="143"/>
      <c r="AW68" s="143"/>
      <c r="AX68" s="886"/>
      <c r="AY68" s="886"/>
      <c r="AZ68" s="886"/>
    </row>
    <row r="69" spans="2:52">
      <c r="B69" s="911" t="str">
        <f>前年度登録!AE66</f>
        <v/>
      </c>
      <c r="E69" s="912">
        <f>前年度登録!T66</f>
        <v>0</v>
      </c>
      <c r="F69" s="661" t="str">
        <f>前年度登録!DB66</f>
        <v/>
      </c>
      <c r="G69" s="1131" t="str">
        <f>前年度登録!AO66</f>
        <v/>
      </c>
      <c r="H69" s="661" t="str">
        <f>前年度登録!DB66</f>
        <v/>
      </c>
      <c r="I69" s="187" t="str">
        <f>前年度登録!AN66</f>
        <v/>
      </c>
      <c r="J69" s="1088" t="str">
        <f>前年度登録!DC66</f>
        <v/>
      </c>
      <c r="K69" s="1032">
        <f>前年度登録!DE66</f>
        <v>0</v>
      </c>
      <c r="L69" s="1033" t="str">
        <f>前年度登録!DJ66</f>
        <v>00</v>
      </c>
      <c r="M69" s="911" t="str">
        <f>前年度登録!AF66</f>
        <v/>
      </c>
      <c r="N69" s="1240">
        <f>前年度登録!S66</f>
        <v>0</v>
      </c>
      <c r="O69" s="338"/>
      <c r="P69" s="292" t="str">
        <f t="shared" si="2"/>
        <v/>
      </c>
      <c r="Q69" s="1282" t="str">
        <f>IF(O69="","",HLOOKUP(O69,前年度登録!$AW$3:$CW$118,64,FALSE))</f>
        <v/>
      </c>
      <c r="R69" s="1282" t="str">
        <f t="shared" si="3"/>
        <v/>
      </c>
      <c r="S69" s="1282" t="str">
        <f t="shared" si="4"/>
        <v/>
      </c>
      <c r="T69" s="368"/>
      <c r="U69" s="292" t="str">
        <f t="shared" si="5"/>
        <v/>
      </c>
      <c r="V69" s="669" t="str">
        <f>IF(T69="","",HLOOKUP(T69,前年度登録!$AW$3:$CW$118,64,FALSE))</f>
        <v/>
      </c>
      <c r="W69" s="769" t="str">
        <f t="shared" si="6"/>
        <v/>
      </c>
      <c r="X69" s="774" t="str">
        <f t="shared" si="7"/>
        <v/>
      </c>
      <c r="Y69" s="160"/>
      <c r="Z69" s="165"/>
      <c r="AA69" s="163"/>
      <c r="AB69" s="166"/>
      <c r="AC69" s="167"/>
      <c r="AD69" s="159"/>
      <c r="AE69" s="160"/>
      <c r="AF69" s="161"/>
      <c r="AG69" s="164"/>
      <c r="AH69" s="802"/>
      <c r="AI69" s="802"/>
      <c r="AK69" s="143"/>
      <c r="AL69" s="907" t="str">
        <f t="shared" si="9"/>
        <v/>
      </c>
      <c r="AM69" s="859">
        <f t="shared" si="10"/>
        <v>0</v>
      </c>
      <c r="AN69" s="859">
        <f t="shared" si="11"/>
        <v>0</v>
      </c>
      <c r="AP69" s="886"/>
      <c r="AQ69" s="886"/>
      <c r="AV69" s="143"/>
      <c r="AW69" s="143"/>
      <c r="AX69" s="886"/>
      <c r="AY69" s="886"/>
      <c r="AZ69" s="886"/>
    </row>
    <row r="70" spans="2:52">
      <c r="B70" s="911" t="str">
        <f>前年度登録!AE67</f>
        <v/>
      </c>
      <c r="E70" s="912">
        <f>前年度登録!T67</f>
        <v>0</v>
      </c>
      <c r="F70" s="661" t="str">
        <f>前年度登録!DB67</f>
        <v/>
      </c>
      <c r="G70" s="1131" t="str">
        <f>前年度登録!AO67</f>
        <v/>
      </c>
      <c r="H70" s="661" t="str">
        <f>前年度登録!DB67</f>
        <v/>
      </c>
      <c r="I70" s="187" t="str">
        <f>前年度登録!AN67</f>
        <v/>
      </c>
      <c r="J70" s="1088" t="str">
        <f>前年度登録!DC67</f>
        <v/>
      </c>
      <c r="K70" s="1032">
        <f>前年度登録!DE67</f>
        <v>0</v>
      </c>
      <c r="L70" s="1033" t="str">
        <f>前年度登録!DJ67</f>
        <v>00</v>
      </c>
      <c r="M70" s="911" t="str">
        <f>前年度登録!AF67</f>
        <v/>
      </c>
      <c r="N70" s="1240">
        <f>前年度登録!S67</f>
        <v>0</v>
      </c>
      <c r="O70" s="338"/>
      <c r="P70" s="292" t="str">
        <f t="shared" si="2"/>
        <v/>
      </c>
      <c r="Q70" s="1282" t="str">
        <f>IF(O70="","",HLOOKUP(O70,前年度登録!$AW$3:$CW$118,65,FALSE))</f>
        <v/>
      </c>
      <c r="R70" s="1282" t="str">
        <f t="shared" si="3"/>
        <v/>
      </c>
      <c r="S70" s="1282" t="str">
        <f t="shared" si="4"/>
        <v/>
      </c>
      <c r="T70" s="368"/>
      <c r="U70" s="292" t="str">
        <f t="shared" si="5"/>
        <v/>
      </c>
      <c r="V70" s="669" t="str">
        <f>IF(T70="","",HLOOKUP(T70,前年度登録!$AW$3:$CW$118,65,FALSE))</f>
        <v/>
      </c>
      <c r="W70" s="769" t="str">
        <f t="shared" si="6"/>
        <v/>
      </c>
      <c r="X70" s="774" t="str">
        <f t="shared" si="7"/>
        <v/>
      </c>
      <c r="Y70" s="160"/>
      <c r="Z70" s="165"/>
      <c r="AA70" s="163"/>
      <c r="AB70" s="166"/>
      <c r="AC70" s="167"/>
      <c r="AD70" s="159"/>
      <c r="AE70" s="160"/>
      <c r="AF70" s="161"/>
      <c r="AG70" s="164"/>
      <c r="AH70" s="802"/>
      <c r="AI70" s="802"/>
      <c r="AK70" s="143"/>
      <c r="AL70" s="907" t="str">
        <f t="shared" si="9"/>
        <v/>
      </c>
      <c r="AM70" s="859">
        <f t="shared" si="10"/>
        <v>0</v>
      </c>
      <c r="AN70" s="859">
        <f t="shared" si="11"/>
        <v>0</v>
      </c>
      <c r="AP70" s="886"/>
      <c r="AQ70" s="886"/>
      <c r="AV70" s="143"/>
      <c r="AW70" s="143"/>
      <c r="AX70" s="886"/>
      <c r="AY70" s="886"/>
      <c r="AZ70" s="886"/>
    </row>
    <row r="71" spans="2:52">
      <c r="B71" s="911" t="str">
        <f>前年度登録!AE68</f>
        <v/>
      </c>
      <c r="E71" s="912">
        <f>前年度登録!T68</f>
        <v>0</v>
      </c>
      <c r="F71" s="661" t="str">
        <f>前年度登録!DB68</f>
        <v/>
      </c>
      <c r="G71" s="1131" t="str">
        <f>前年度登録!AO68</f>
        <v/>
      </c>
      <c r="H71" s="661" t="str">
        <f>前年度登録!DB68</f>
        <v/>
      </c>
      <c r="I71" s="187" t="str">
        <f>前年度登録!AN68</f>
        <v/>
      </c>
      <c r="J71" s="1088" t="str">
        <f>前年度登録!DC68</f>
        <v/>
      </c>
      <c r="K71" s="1032">
        <f>前年度登録!DE68</f>
        <v>0</v>
      </c>
      <c r="L71" s="1033" t="str">
        <f>前年度登録!DJ68</f>
        <v>00</v>
      </c>
      <c r="M71" s="911" t="str">
        <f>前年度登録!AF68</f>
        <v/>
      </c>
      <c r="N71" s="1240">
        <f>前年度登録!S68</f>
        <v>0</v>
      </c>
      <c r="O71" s="338"/>
      <c r="P71" s="292" t="str">
        <f t="shared" si="2"/>
        <v/>
      </c>
      <c r="Q71" s="1282" t="str">
        <f>IF(O71="","",HLOOKUP(O71,前年度登録!$AW$3:$CW$118,66,FALSE))</f>
        <v/>
      </c>
      <c r="R71" s="1282" t="str">
        <f t="shared" si="3"/>
        <v/>
      </c>
      <c r="S71" s="1282" t="str">
        <f t="shared" si="4"/>
        <v/>
      </c>
      <c r="T71" s="368"/>
      <c r="U71" s="292" t="str">
        <f t="shared" si="5"/>
        <v/>
      </c>
      <c r="V71" s="669" t="str">
        <f>IF(T71="","",HLOOKUP(T71,前年度登録!$AW$3:$CW$118,66,FALSE))</f>
        <v/>
      </c>
      <c r="W71" s="769" t="str">
        <f t="shared" si="6"/>
        <v/>
      </c>
      <c r="X71" s="774" t="str">
        <f t="shared" si="7"/>
        <v/>
      </c>
      <c r="Y71" s="160"/>
      <c r="Z71" s="165"/>
      <c r="AA71" s="163"/>
      <c r="AB71" s="166"/>
      <c r="AC71" s="167"/>
      <c r="AD71" s="159"/>
      <c r="AE71" s="160"/>
      <c r="AF71" s="161"/>
      <c r="AG71" s="164"/>
      <c r="AH71" s="802"/>
      <c r="AI71" s="802"/>
      <c r="AK71" s="143"/>
      <c r="AL71" s="907" t="str">
        <f t="shared" ref="AL71:AL102" si="12">IF(O71="","",1)</f>
        <v/>
      </c>
      <c r="AM71" s="859">
        <f t="shared" ref="AM71:AM102" si="13">IF(OR(AL71=1,T71=""),0,1)</f>
        <v>0</v>
      </c>
      <c r="AN71" s="859">
        <f t="shared" ref="AN71:AN102" si="14">IF(OR(AL71=1,AM71=1,AB71=""),0,1)</f>
        <v>0</v>
      </c>
      <c r="AP71" s="886"/>
      <c r="AQ71" s="886"/>
      <c r="AV71" s="143"/>
      <c r="AW71" s="143"/>
      <c r="AX71" s="886"/>
      <c r="AY71" s="886"/>
      <c r="AZ71" s="886"/>
    </row>
    <row r="72" spans="2:52">
      <c r="B72" s="911" t="str">
        <f>前年度登録!AE69</f>
        <v/>
      </c>
      <c r="E72" s="912">
        <f>前年度登録!T69</f>
        <v>0</v>
      </c>
      <c r="F72" s="661" t="str">
        <f>前年度登録!DB69</f>
        <v/>
      </c>
      <c r="G72" s="1131" t="str">
        <f>前年度登録!AO69</f>
        <v/>
      </c>
      <c r="H72" s="661" t="str">
        <f>前年度登録!DB69</f>
        <v/>
      </c>
      <c r="I72" s="187" t="str">
        <f>前年度登録!AN69</f>
        <v/>
      </c>
      <c r="J72" s="1088" t="str">
        <f>前年度登録!DC69</f>
        <v/>
      </c>
      <c r="K72" s="1032">
        <f>前年度登録!DE69</f>
        <v>0</v>
      </c>
      <c r="L72" s="1033" t="str">
        <f>前年度登録!DJ69</f>
        <v>00</v>
      </c>
      <c r="M72" s="911" t="str">
        <f>前年度登録!AF69</f>
        <v/>
      </c>
      <c r="N72" s="1240">
        <f>前年度登録!S69</f>
        <v>0</v>
      </c>
      <c r="O72" s="338"/>
      <c r="P72" s="292" t="str">
        <f t="shared" ref="P72:P116" si="15">IF(O72="","",IF(I72=1,VLOOKUP(O72,$AP$8:$AR$32,3,FALSE),IF(I72=2,VLOOKUP(O72,$AP$35:$AR$52,3,FALSE))))</f>
        <v/>
      </c>
      <c r="Q72" s="1282" t="str">
        <f>IF(O72="","",HLOOKUP(O72,前年度登録!$AW$3:$CW$118,67,FALSE))</f>
        <v/>
      </c>
      <c r="R72" s="1282" t="str">
        <f t="shared" ref="R72:R116" si="16">IF(O72="","",0)</f>
        <v/>
      </c>
      <c r="S72" s="1282" t="str">
        <f t="shared" ref="S72:S116" si="17">IF(O72="","",2)</f>
        <v/>
      </c>
      <c r="T72" s="368"/>
      <c r="U72" s="292" t="str">
        <f t="shared" ref="U72:U116" si="18">IF(T72="","",IF(I72=1,VLOOKUP(T72,$AP$8:$AR$32,3,FALSE),IF(I72=2,VLOOKUP(T72,$AP$35:$AR$52,3,FALSE))))</f>
        <v/>
      </c>
      <c r="V72" s="669" t="str">
        <f>IF(T72="","",HLOOKUP(T72,前年度登録!$AW$3:$CW$118,67,FALSE))</f>
        <v/>
      </c>
      <c r="W72" s="769" t="str">
        <f t="shared" ref="W72:W116" si="19">IF(T72="","",0)</f>
        <v/>
      </c>
      <c r="X72" s="774" t="str">
        <f t="shared" ref="X72:X116" si="20">IF(T72="","",2)</f>
        <v/>
      </c>
      <c r="Y72" s="160"/>
      <c r="Z72" s="165"/>
      <c r="AA72" s="163"/>
      <c r="AB72" s="166"/>
      <c r="AC72" s="167"/>
      <c r="AD72" s="159"/>
      <c r="AE72" s="160"/>
      <c r="AF72" s="161"/>
      <c r="AG72" s="164"/>
      <c r="AH72" s="802"/>
      <c r="AI72" s="802"/>
      <c r="AK72" s="143"/>
      <c r="AL72" s="907" t="str">
        <f t="shared" si="12"/>
        <v/>
      </c>
      <c r="AM72" s="859">
        <f t="shared" si="13"/>
        <v>0</v>
      </c>
      <c r="AN72" s="859">
        <f t="shared" si="14"/>
        <v>0</v>
      </c>
      <c r="AP72" s="886"/>
      <c r="AQ72" s="886"/>
      <c r="AV72" s="143"/>
      <c r="AW72" s="143"/>
      <c r="AX72" s="886"/>
      <c r="AY72" s="886"/>
      <c r="AZ72" s="886"/>
    </row>
    <row r="73" spans="2:52">
      <c r="B73" s="911" t="str">
        <f>前年度登録!AE70</f>
        <v/>
      </c>
      <c r="E73" s="912">
        <f>前年度登録!T70</f>
        <v>0</v>
      </c>
      <c r="F73" s="661" t="str">
        <f>前年度登録!DB70</f>
        <v/>
      </c>
      <c r="G73" s="1131" t="str">
        <f>前年度登録!AO70</f>
        <v/>
      </c>
      <c r="H73" s="661" t="str">
        <f>前年度登録!DB70</f>
        <v/>
      </c>
      <c r="I73" s="187" t="str">
        <f>前年度登録!AN70</f>
        <v/>
      </c>
      <c r="J73" s="1088" t="str">
        <f>前年度登録!DC70</f>
        <v/>
      </c>
      <c r="K73" s="1032">
        <f>前年度登録!DE70</f>
        <v>0</v>
      </c>
      <c r="L73" s="1033" t="str">
        <f>前年度登録!DJ70</f>
        <v>00</v>
      </c>
      <c r="M73" s="911" t="str">
        <f>前年度登録!AF70</f>
        <v/>
      </c>
      <c r="N73" s="1240">
        <f>前年度登録!S70</f>
        <v>0</v>
      </c>
      <c r="O73" s="338"/>
      <c r="P73" s="292" t="str">
        <f t="shared" si="15"/>
        <v/>
      </c>
      <c r="Q73" s="1282" t="str">
        <f>IF(O73="","",HLOOKUP(O73,前年度登録!$AW$3:$CW$118,68,FALSE))</f>
        <v/>
      </c>
      <c r="R73" s="1282" t="str">
        <f t="shared" si="16"/>
        <v/>
      </c>
      <c r="S73" s="1282" t="str">
        <f t="shared" si="17"/>
        <v/>
      </c>
      <c r="T73" s="368"/>
      <c r="U73" s="292" t="str">
        <f t="shared" si="18"/>
        <v/>
      </c>
      <c r="V73" s="669" t="str">
        <f>IF(T73="","",HLOOKUP(T73,前年度登録!$AW$3:$CW$118,68,FALSE))</f>
        <v/>
      </c>
      <c r="W73" s="769" t="str">
        <f t="shared" si="19"/>
        <v/>
      </c>
      <c r="X73" s="774" t="str">
        <f t="shared" si="20"/>
        <v/>
      </c>
      <c r="Y73" s="160"/>
      <c r="Z73" s="165"/>
      <c r="AA73" s="163"/>
      <c r="AB73" s="166"/>
      <c r="AC73" s="167"/>
      <c r="AD73" s="159"/>
      <c r="AE73" s="160"/>
      <c r="AF73" s="161"/>
      <c r="AG73" s="164"/>
      <c r="AH73" s="802"/>
      <c r="AI73" s="802"/>
      <c r="AK73" s="143"/>
      <c r="AL73" s="907" t="str">
        <f t="shared" si="12"/>
        <v/>
      </c>
      <c r="AM73" s="859">
        <f t="shared" si="13"/>
        <v>0</v>
      </c>
      <c r="AN73" s="859">
        <f t="shared" si="14"/>
        <v>0</v>
      </c>
      <c r="AP73" s="886"/>
      <c r="AQ73" s="886"/>
      <c r="AV73" s="143"/>
      <c r="AW73" s="143"/>
      <c r="AX73" s="886"/>
      <c r="AY73" s="886"/>
      <c r="AZ73" s="886"/>
    </row>
    <row r="74" spans="2:52">
      <c r="B74" s="911" t="str">
        <f>前年度登録!AE71</f>
        <v/>
      </c>
      <c r="E74" s="912">
        <f>前年度登録!T71</f>
        <v>0</v>
      </c>
      <c r="F74" s="661" t="str">
        <f>前年度登録!DB71</f>
        <v/>
      </c>
      <c r="G74" s="1131" t="str">
        <f>前年度登録!AO71</f>
        <v/>
      </c>
      <c r="H74" s="661" t="str">
        <f>前年度登録!DB71</f>
        <v/>
      </c>
      <c r="I74" s="187" t="str">
        <f>前年度登録!AN71</f>
        <v/>
      </c>
      <c r="J74" s="1088" t="str">
        <f>前年度登録!DC71</f>
        <v/>
      </c>
      <c r="K74" s="1032">
        <f>前年度登録!DE71</f>
        <v>0</v>
      </c>
      <c r="L74" s="1033" t="str">
        <f>前年度登録!DJ71</f>
        <v>00</v>
      </c>
      <c r="M74" s="911" t="str">
        <f>前年度登録!AF71</f>
        <v/>
      </c>
      <c r="N74" s="1240">
        <f>前年度登録!S71</f>
        <v>0</v>
      </c>
      <c r="O74" s="338"/>
      <c r="P74" s="292" t="str">
        <f t="shared" si="15"/>
        <v/>
      </c>
      <c r="Q74" s="1282" t="str">
        <f>IF(O74="","",HLOOKUP(O74,前年度登録!$AW$3:$CW$118,69,FALSE))</f>
        <v/>
      </c>
      <c r="R74" s="1282" t="str">
        <f t="shared" si="16"/>
        <v/>
      </c>
      <c r="S74" s="1282" t="str">
        <f t="shared" si="17"/>
        <v/>
      </c>
      <c r="T74" s="368"/>
      <c r="U74" s="292" t="str">
        <f t="shared" si="18"/>
        <v/>
      </c>
      <c r="V74" s="669" t="str">
        <f>IF(T74="","",HLOOKUP(T74,前年度登録!$AW$3:$CW$118,69,FALSE))</f>
        <v/>
      </c>
      <c r="W74" s="769" t="str">
        <f t="shared" si="19"/>
        <v/>
      </c>
      <c r="X74" s="774" t="str">
        <f t="shared" si="20"/>
        <v/>
      </c>
      <c r="Y74" s="160"/>
      <c r="Z74" s="165"/>
      <c r="AA74" s="163"/>
      <c r="AB74" s="166"/>
      <c r="AC74" s="167"/>
      <c r="AD74" s="159"/>
      <c r="AE74" s="160"/>
      <c r="AF74" s="161"/>
      <c r="AG74" s="164"/>
      <c r="AH74" s="802"/>
      <c r="AI74" s="802"/>
      <c r="AK74" s="143"/>
      <c r="AL74" s="907" t="str">
        <f t="shared" si="12"/>
        <v/>
      </c>
      <c r="AM74" s="859">
        <f t="shared" si="13"/>
        <v>0</v>
      </c>
      <c r="AN74" s="859">
        <f t="shared" si="14"/>
        <v>0</v>
      </c>
      <c r="AP74" s="886"/>
      <c r="AQ74" s="886"/>
      <c r="AV74" s="143"/>
      <c r="AW74" s="143"/>
      <c r="AX74" s="886"/>
      <c r="AY74" s="886"/>
      <c r="AZ74" s="886"/>
    </row>
    <row r="75" spans="2:52">
      <c r="B75" s="911" t="str">
        <f>前年度登録!AE72</f>
        <v/>
      </c>
      <c r="E75" s="912">
        <f>前年度登録!T72</f>
        <v>0</v>
      </c>
      <c r="F75" s="661" t="str">
        <f>前年度登録!DB72</f>
        <v/>
      </c>
      <c r="G75" s="1131" t="str">
        <f>前年度登録!AO72</f>
        <v/>
      </c>
      <c r="H75" s="661" t="str">
        <f>前年度登録!DB72</f>
        <v/>
      </c>
      <c r="I75" s="187" t="str">
        <f>前年度登録!AN72</f>
        <v/>
      </c>
      <c r="J75" s="1088" t="str">
        <f>前年度登録!DC72</f>
        <v/>
      </c>
      <c r="K75" s="1032">
        <f>前年度登録!DE72</f>
        <v>0</v>
      </c>
      <c r="L75" s="1033" t="str">
        <f>前年度登録!DJ72</f>
        <v>00</v>
      </c>
      <c r="M75" s="911" t="str">
        <f>前年度登録!AF72</f>
        <v/>
      </c>
      <c r="N75" s="1240">
        <f>前年度登録!S72</f>
        <v>0</v>
      </c>
      <c r="O75" s="338"/>
      <c r="P75" s="292" t="str">
        <f t="shared" si="15"/>
        <v/>
      </c>
      <c r="Q75" s="1282" t="str">
        <f>IF(O75="","",HLOOKUP(O75,前年度登録!$AW$3:$CW$118,70,FALSE))</f>
        <v/>
      </c>
      <c r="R75" s="1282" t="str">
        <f t="shared" si="16"/>
        <v/>
      </c>
      <c r="S75" s="1282" t="str">
        <f t="shared" si="17"/>
        <v/>
      </c>
      <c r="T75" s="368"/>
      <c r="U75" s="292" t="str">
        <f t="shared" si="18"/>
        <v/>
      </c>
      <c r="V75" s="669" t="str">
        <f>IF(T75="","",HLOOKUP(T75,前年度登録!$AW$3:$CW$118,70,FALSE))</f>
        <v/>
      </c>
      <c r="W75" s="769" t="str">
        <f t="shared" si="19"/>
        <v/>
      </c>
      <c r="X75" s="774" t="str">
        <f t="shared" si="20"/>
        <v/>
      </c>
      <c r="Y75" s="160"/>
      <c r="Z75" s="165"/>
      <c r="AA75" s="163"/>
      <c r="AB75" s="166"/>
      <c r="AC75" s="167"/>
      <c r="AD75" s="159"/>
      <c r="AE75" s="160"/>
      <c r="AF75" s="161"/>
      <c r="AG75" s="164"/>
      <c r="AH75" s="802"/>
      <c r="AI75" s="802"/>
      <c r="AK75" s="143"/>
      <c r="AL75" s="907" t="str">
        <f t="shared" si="12"/>
        <v/>
      </c>
      <c r="AM75" s="859">
        <f t="shared" si="13"/>
        <v>0</v>
      </c>
      <c r="AN75" s="859">
        <f t="shared" si="14"/>
        <v>0</v>
      </c>
      <c r="AP75" s="886"/>
      <c r="AQ75" s="886"/>
      <c r="AV75" s="143"/>
      <c r="AW75" s="143"/>
      <c r="AX75" s="886"/>
      <c r="AY75" s="886"/>
      <c r="AZ75" s="886"/>
    </row>
    <row r="76" spans="2:52">
      <c r="B76" s="911" t="str">
        <f>前年度登録!AE73</f>
        <v/>
      </c>
      <c r="E76" s="912">
        <f>前年度登録!T73</f>
        <v>0</v>
      </c>
      <c r="F76" s="661" t="str">
        <f>前年度登録!DB73</f>
        <v/>
      </c>
      <c r="G76" s="1131" t="str">
        <f>前年度登録!AO73</f>
        <v/>
      </c>
      <c r="H76" s="661" t="str">
        <f>前年度登録!DB73</f>
        <v/>
      </c>
      <c r="I76" s="187" t="str">
        <f>前年度登録!AN73</f>
        <v/>
      </c>
      <c r="J76" s="1088" t="str">
        <f>前年度登録!DC73</f>
        <v/>
      </c>
      <c r="K76" s="1032">
        <f>前年度登録!DE73</f>
        <v>0</v>
      </c>
      <c r="L76" s="1033" t="str">
        <f>前年度登録!DJ73</f>
        <v>00</v>
      </c>
      <c r="M76" s="911" t="str">
        <f>前年度登録!AF73</f>
        <v/>
      </c>
      <c r="N76" s="1240">
        <f>前年度登録!S73</f>
        <v>0</v>
      </c>
      <c r="O76" s="338"/>
      <c r="P76" s="292" t="str">
        <f t="shared" si="15"/>
        <v/>
      </c>
      <c r="Q76" s="1282" t="str">
        <f>IF(O76="","",HLOOKUP(O76,前年度登録!$AW$3:$CW$118,71,FALSE))</f>
        <v/>
      </c>
      <c r="R76" s="1282" t="str">
        <f t="shared" si="16"/>
        <v/>
      </c>
      <c r="S76" s="1282" t="str">
        <f t="shared" si="17"/>
        <v/>
      </c>
      <c r="T76" s="368"/>
      <c r="U76" s="292" t="str">
        <f t="shared" si="18"/>
        <v/>
      </c>
      <c r="V76" s="669" t="str">
        <f>IF(T76="","",HLOOKUP(T76,前年度登録!$AW$3:$CW$118,71,FALSE))</f>
        <v/>
      </c>
      <c r="W76" s="769" t="str">
        <f t="shared" si="19"/>
        <v/>
      </c>
      <c r="X76" s="774" t="str">
        <f t="shared" si="20"/>
        <v/>
      </c>
      <c r="Y76" s="160"/>
      <c r="Z76" s="165"/>
      <c r="AA76" s="163"/>
      <c r="AB76" s="166"/>
      <c r="AC76" s="167"/>
      <c r="AD76" s="159"/>
      <c r="AE76" s="160"/>
      <c r="AF76" s="161"/>
      <c r="AG76" s="164"/>
      <c r="AH76" s="802"/>
      <c r="AI76" s="802"/>
      <c r="AK76" s="143"/>
      <c r="AL76" s="907" t="str">
        <f t="shared" si="12"/>
        <v/>
      </c>
      <c r="AM76" s="859">
        <f t="shared" si="13"/>
        <v>0</v>
      </c>
      <c r="AN76" s="859">
        <f t="shared" si="14"/>
        <v>0</v>
      </c>
      <c r="AP76" s="886"/>
      <c r="AQ76" s="886"/>
      <c r="AV76" s="143"/>
      <c r="AW76" s="143"/>
      <c r="AX76" s="886"/>
      <c r="AY76" s="886"/>
      <c r="AZ76" s="886"/>
    </row>
    <row r="77" spans="2:52">
      <c r="B77" s="911" t="str">
        <f>前年度登録!AE74</f>
        <v/>
      </c>
      <c r="E77" s="912">
        <f>前年度登録!T74</f>
        <v>0</v>
      </c>
      <c r="F77" s="661" t="str">
        <f>前年度登録!DB74</f>
        <v/>
      </c>
      <c r="G77" s="1131" t="str">
        <f>前年度登録!AO74</f>
        <v/>
      </c>
      <c r="H77" s="661" t="str">
        <f>前年度登録!DB74</f>
        <v/>
      </c>
      <c r="I77" s="187" t="str">
        <f>前年度登録!AN74</f>
        <v/>
      </c>
      <c r="J77" s="1088" t="str">
        <f>前年度登録!DC74</f>
        <v/>
      </c>
      <c r="K77" s="1032">
        <f>前年度登録!DE74</f>
        <v>0</v>
      </c>
      <c r="L77" s="1033" t="str">
        <f>前年度登録!DJ74</f>
        <v>00</v>
      </c>
      <c r="M77" s="911" t="str">
        <f>前年度登録!AF74</f>
        <v/>
      </c>
      <c r="N77" s="1240">
        <f>前年度登録!S74</f>
        <v>0</v>
      </c>
      <c r="O77" s="338"/>
      <c r="P77" s="292" t="str">
        <f t="shared" si="15"/>
        <v/>
      </c>
      <c r="Q77" s="1282" t="str">
        <f>IF(O77="","",HLOOKUP(O77,前年度登録!$AW$3:$CW$118,72,FALSE))</f>
        <v/>
      </c>
      <c r="R77" s="1282" t="str">
        <f t="shared" si="16"/>
        <v/>
      </c>
      <c r="S77" s="1282" t="str">
        <f t="shared" si="17"/>
        <v/>
      </c>
      <c r="T77" s="368"/>
      <c r="U77" s="292" t="str">
        <f t="shared" si="18"/>
        <v/>
      </c>
      <c r="V77" s="669" t="str">
        <f>IF(T77="","",HLOOKUP(T77,前年度登録!$AW$3:$CW$118,72,FALSE))</f>
        <v/>
      </c>
      <c r="W77" s="769" t="str">
        <f t="shared" si="19"/>
        <v/>
      </c>
      <c r="X77" s="774" t="str">
        <f t="shared" si="20"/>
        <v/>
      </c>
      <c r="Y77" s="160"/>
      <c r="Z77" s="165"/>
      <c r="AA77" s="163"/>
      <c r="AB77" s="166"/>
      <c r="AC77" s="167"/>
      <c r="AD77" s="159"/>
      <c r="AE77" s="160"/>
      <c r="AF77" s="161"/>
      <c r="AG77" s="164"/>
      <c r="AH77" s="802"/>
      <c r="AI77" s="802"/>
      <c r="AK77" s="143"/>
      <c r="AL77" s="907" t="str">
        <f t="shared" si="12"/>
        <v/>
      </c>
      <c r="AM77" s="859">
        <f t="shared" si="13"/>
        <v>0</v>
      </c>
      <c r="AN77" s="859">
        <f t="shared" si="14"/>
        <v>0</v>
      </c>
      <c r="AP77" s="886"/>
      <c r="AQ77" s="886"/>
      <c r="AV77" s="143"/>
      <c r="AW77" s="143"/>
      <c r="AX77" s="886"/>
      <c r="AY77" s="886"/>
      <c r="AZ77" s="886"/>
    </row>
    <row r="78" spans="2:52">
      <c r="B78" s="911" t="str">
        <f>前年度登録!AE75</f>
        <v/>
      </c>
      <c r="E78" s="912">
        <f>前年度登録!T75</f>
        <v>0</v>
      </c>
      <c r="F78" s="661" t="str">
        <f>前年度登録!DB75</f>
        <v/>
      </c>
      <c r="G78" s="1131" t="str">
        <f>前年度登録!AO75</f>
        <v/>
      </c>
      <c r="H78" s="661" t="str">
        <f>前年度登録!DB75</f>
        <v/>
      </c>
      <c r="I78" s="187" t="str">
        <f>前年度登録!AN75</f>
        <v/>
      </c>
      <c r="J78" s="1088" t="str">
        <f>前年度登録!DC75</f>
        <v/>
      </c>
      <c r="K78" s="1032">
        <f>前年度登録!DE75</f>
        <v>0</v>
      </c>
      <c r="L78" s="1033" t="str">
        <f>前年度登録!DJ75</f>
        <v>00</v>
      </c>
      <c r="M78" s="911" t="str">
        <f>前年度登録!AF75</f>
        <v/>
      </c>
      <c r="N78" s="1240">
        <f>前年度登録!S75</f>
        <v>0</v>
      </c>
      <c r="O78" s="338"/>
      <c r="P78" s="292" t="str">
        <f t="shared" si="15"/>
        <v/>
      </c>
      <c r="Q78" s="1282" t="str">
        <f>IF(O78="","",HLOOKUP(O78,前年度登録!$AW$3:$CW$118,73,FALSE))</f>
        <v/>
      </c>
      <c r="R78" s="1282" t="str">
        <f t="shared" si="16"/>
        <v/>
      </c>
      <c r="S78" s="1282" t="str">
        <f t="shared" si="17"/>
        <v/>
      </c>
      <c r="T78" s="368"/>
      <c r="U78" s="292" t="str">
        <f t="shared" si="18"/>
        <v/>
      </c>
      <c r="V78" s="669" t="str">
        <f>IF(T78="","",HLOOKUP(T78,前年度登録!$AW$3:$CW$118,73,FALSE))</f>
        <v/>
      </c>
      <c r="W78" s="769" t="str">
        <f t="shared" si="19"/>
        <v/>
      </c>
      <c r="X78" s="774" t="str">
        <f t="shared" si="20"/>
        <v/>
      </c>
      <c r="Y78" s="160"/>
      <c r="Z78" s="165"/>
      <c r="AA78" s="163"/>
      <c r="AB78" s="166"/>
      <c r="AC78" s="167"/>
      <c r="AD78" s="159"/>
      <c r="AE78" s="160"/>
      <c r="AF78" s="161"/>
      <c r="AG78" s="164"/>
      <c r="AH78" s="802"/>
      <c r="AI78" s="802"/>
      <c r="AK78" s="143"/>
      <c r="AL78" s="907" t="str">
        <f t="shared" si="12"/>
        <v/>
      </c>
      <c r="AM78" s="859">
        <f t="shared" si="13"/>
        <v>0</v>
      </c>
      <c r="AN78" s="859">
        <f t="shared" si="14"/>
        <v>0</v>
      </c>
      <c r="AP78" s="886"/>
      <c r="AQ78" s="886"/>
      <c r="AV78" s="143"/>
      <c r="AW78" s="143"/>
      <c r="AX78" s="886"/>
      <c r="AY78" s="886"/>
      <c r="AZ78" s="886"/>
    </row>
    <row r="79" spans="2:52">
      <c r="B79" s="911" t="str">
        <f>前年度登録!AE76</f>
        <v/>
      </c>
      <c r="E79" s="912">
        <f>前年度登録!T76</f>
        <v>0</v>
      </c>
      <c r="F79" s="661" t="str">
        <f>前年度登録!DB76</f>
        <v/>
      </c>
      <c r="G79" s="1131" t="str">
        <f>前年度登録!AO76</f>
        <v/>
      </c>
      <c r="H79" s="661" t="str">
        <f>前年度登録!DB76</f>
        <v/>
      </c>
      <c r="I79" s="187" t="str">
        <f>前年度登録!AN76</f>
        <v/>
      </c>
      <c r="J79" s="1088" t="str">
        <f>前年度登録!DC76</f>
        <v/>
      </c>
      <c r="K79" s="1032">
        <f>前年度登録!DE76</f>
        <v>0</v>
      </c>
      <c r="L79" s="1033" t="str">
        <f>前年度登録!DJ76</f>
        <v>00</v>
      </c>
      <c r="M79" s="911" t="str">
        <f>前年度登録!AF76</f>
        <v/>
      </c>
      <c r="N79" s="1240">
        <f>前年度登録!S76</f>
        <v>0</v>
      </c>
      <c r="O79" s="338"/>
      <c r="P79" s="292" t="str">
        <f t="shared" si="15"/>
        <v/>
      </c>
      <c r="Q79" s="1282" t="str">
        <f>IF(O79="","",HLOOKUP(O79,前年度登録!$AW$3:$CW$118,74,FALSE))</f>
        <v/>
      </c>
      <c r="R79" s="1282" t="str">
        <f t="shared" si="16"/>
        <v/>
      </c>
      <c r="S79" s="1282" t="str">
        <f t="shared" si="17"/>
        <v/>
      </c>
      <c r="T79" s="368"/>
      <c r="U79" s="292" t="str">
        <f t="shared" si="18"/>
        <v/>
      </c>
      <c r="V79" s="669" t="str">
        <f>IF(T79="","",HLOOKUP(T79,前年度登録!$AW$3:$CW$118,74,FALSE))</f>
        <v/>
      </c>
      <c r="W79" s="769" t="str">
        <f t="shared" si="19"/>
        <v/>
      </c>
      <c r="X79" s="774" t="str">
        <f t="shared" si="20"/>
        <v/>
      </c>
      <c r="Y79" s="160"/>
      <c r="Z79" s="165"/>
      <c r="AA79" s="163"/>
      <c r="AB79" s="166"/>
      <c r="AC79" s="167"/>
      <c r="AD79" s="159"/>
      <c r="AE79" s="160"/>
      <c r="AF79" s="161"/>
      <c r="AG79" s="164"/>
      <c r="AH79" s="802"/>
      <c r="AI79" s="802"/>
      <c r="AK79" s="143"/>
      <c r="AL79" s="907" t="str">
        <f t="shared" si="12"/>
        <v/>
      </c>
      <c r="AM79" s="859">
        <f t="shared" si="13"/>
        <v>0</v>
      </c>
      <c r="AN79" s="859">
        <f t="shared" si="14"/>
        <v>0</v>
      </c>
      <c r="AP79" s="886"/>
      <c r="AQ79" s="886"/>
      <c r="AV79" s="143"/>
      <c r="AW79" s="143"/>
      <c r="AX79" s="886"/>
      <c r="AY79" s="886"/>
      <c r="AZ79" s="886"/>
    </row>
    <row r="80" spans="2:52">
      <c r="B80" s="911" t="str">
        <f>前年度登録!AE77</f>
        <v/>
      </c>
      <c r="E80" s="912">
        <f>前年度登録!T77</f>
        <v>0</v>
      </c>
      <c r="F80" s="661" t="str">
        <f>前年度登録!DB77</f>
        <v/>
      </c>
      <c r="G80" s="1131" t="str">
        <f>前年度登録!AO77</f>
        <v/>
      </c>
      <c r="H80" s="661" t="str">
        <f>前年度登録!DB77</f>
        <v/>
      </c>
      <c r="I80" s="187" t="str">
        <f>前年度登録!AN77</f>
        <v/>
      </c>
      <c r="J80" s="1088" t="str">
        <f>前年度登録!DC77</f>
        <v/>
      </c>
      <c r="K80" s="1032">
        <f>前年度登録!DE77</f>
        <v>0</v>
      </c>
      <c r="L80" s="1033" t="str">
        <f>前年度登録!DJ77</f>
        <v>00</v>
      </c>
      <c r="M80" s="911" t="str">
        <f>前年度登録!AF77</f>
        <v/>
      </c>
      <c r="N80" s="1240">
        <f>前年度登録!S77</f>
        <v>0</v>
      </c>
      <c r="O80" s="338"/>
      <c r="P80" s="292" t="str">
        <f t="shared" si="15"/>
        <v/>
      </c>
      <c r="Q80" s="1282" t="str">
        <f>IF(O80="","",HLOOKUP(O80,前年度登録!$AW$3:$CW$118,75,FALSE))</f>
        <v/>
      </c>
      <c r="R80" s="1282" t="str">
        <f t="shared" si="16"/>
        <v/>
      </c>
      <c r="S80" s="1282" t="str">
        <f t="shared" si="17"/>
        <v/>
      </c>
      <c r="T80" s="368"/>
      <c r="U80" s="292" t="str">
        <f t="shared" si="18"/>
        <v/>
      </c>
      <c r="V80" s="669" t="str">
        <f>IF(T80="","",HLOOKUP(T80,前年度登録!$AW$3:$CW$118,75,FALSE))</f>
        <v/>
      </c>
      <c r="W80" s="769" t="str">
        <f t="shared" si="19"/>
        <v/>
      </c>
      <c r="X80" s="774" t="str">
        <f t="shared" si="20"/>
        <v/>
      </c>
      <c r="Y80" s="160"/>
      <c r="Z80" s="165"/>
      <c r="AA80" s="163"/>
      <c r="AB80" s="166"/>
      <c r="AC80" s="167"/>
      <c r="AD80" s="159"/>
      <c r="AE80" s="160"/>
      <c r="AF80" s="161"/>
      <c r="AG80" s="164"/>
      <c r="AH80" s="802"/>
      <c r="AI80" s="802"/>
      <c r="AK80" s="143"/>
      <c r="AL80" s="907" t="str">
        <f t="shared" si="12"/>
        <v/>
      </c>
      <c r="AM80" s="859">
        <f t="shared" si="13"/>
        <v>0</v>
      </c>
      <c r="AN80" s="859">
        <f t="shared" si="14"/>
        <v>0</v>
      </c>
      <c r="AP80" s="886"/>
      <c r="AQ80" s="886"/>
      <c r="AV80" s="143"/>
      <c r="AW80" s="143"/>
      <c r="AX80" s="886"/>
      <c r="AY80" s="886"/>
      <c r="AZ80" s="886"/>
    </row>
    <row r="81" spans="2:52">
      <c r="B81" s="911" t="str">
        <f>前年度登録!AE78</f>
        <v/>
      </c>
      <c r="E81" s="912">
        <f>前年度登録!T78</f>
        <v>0</v>
      </c>
      <c r="F81" s="661" t="str">
        <f>前年度登録!DB78</f>
        <v/>
      </c>
      <c r="G81" s="1131" t="str">
        <f>前年度登録!AO78</f>
        <v/>
      </c>
      <c r="H81" s="661" t="str">
        <f>前年度登録!DB78</f>
        <v/>
      </c>
      <c r="I81" s="187" t="str">
        <f>前年度登録!AN78</f>
        <v/>
      </c>
      <c r="J81" s="1088" t="str">
        <f>前年度登録!DC78</f>
        <v/>
      </c>
      <c r="K81" s="1032">
        <f>前年度登録!DE78</f>
        <v>0</v>
      </c>
      <c r="L81" s="1033" t="str">
        <f>前年度登録!DJ78</f>
        <v>00</v>
      </c>
      <c r="M81" s="911" t="str">
        <f>前年度登録!AF78</f>
        <v/>
      </c>
      <c r="N81" s="1240">
        <f>前年度登録!S78</f>
        <v>0</v>
      </c>
      <c r="O81" s="338"/>
      <c r="P81" s="292" t="str">
        <f t="shared" si="15"/>
        <v/>
      </c>
      <c r="Q81" s="1282" t="str">
        <f>IF(O81="","",HLOOKUP(O81,前年度登録!$AW$3:$CW$118,76,FALSE))</f>
        <v/>
      </c>
      <c r="R81" s="1282" t="str">
        <f t="shared" si="16"/>
        <v/>
      </c>
      <c r="S81" s="1282" t="str">
        <f t="shared" si="17"/>
        <v/>
      </c>
      <c r="T81" s="368"/>
      <c r="U81" s="292" t="str">
        <f t="shared" si="18"/>
        <v/>
      </c>
      <c r="V81" s="669" t="str">
        <f>IF(T81="","",HLOOKUP(T81,前年度登録!$AW$3:$CW$118,76,FALSE))</f>
        <v/>
      </c>
      <c r="W81" s="769" t="str">
        <f t="shared" si="19"/>
        <v/>
      </c>
      <c r="X81" s="774" t="str">
        <f t="shared" si="20"/>
        <v/>
      </c>
      <c r="Y81" s="160"/>
      <c r="Z81" s="165"/>
      <c r="AA81" s="163"/>
      <c r="AB81" s="166"/>
      <c r="AC81" s="167"/>
      <c r="AD81" s="159"/>
      <c r="AE81" s="160"/>
      <c r="AF81" s="161"/>
      <c r="AG81" s="164"/>
      <c r="AH81" s="802"/>
      <c r="AI81" s="802"/>
      <c r="AK81" s="143"/>
      <c r="AL81" s="907" t="str">
        <f t="shared" si="12"/>
        <v/>
      </c>
      <c r="AM81" s="859">
        <f t="shared" si="13"/>
        <v>0</v>
      </c>
      <c r="AN81" s="859">
        <f t="shared" si="14"/>
        <v>0</v>
      </c>
      <c r="AP81" s="886"/>
      <c r="AQ81" s="886"/>
      <c r="AV81" s="143"/>
      <c r="AW81" s="143"/>
      <c r="AX81" s="886"/>
      <c r="AY81" s="886"/>
      <c r="AZ81" s="886"/>
    </row>
    <row r="82" spans="2:52">
      <c r="B82" s="911" t="str">
        <f>前年度登録!AE79</f>
        <v/>
      </c>
      <c r="E82" s="912">
        <f>前年度登録!T79</f>
        <v>0</v>
      </c>
      <c r="F82" s="661" t="str">
        <f>前年度登録!DB79</f>
        <v/>
      </c>
      <c r="G82" s="1131" t="str">
        <f>前年度登録!AO79</f>
        <v/>
      </c>
      <c r="H82" s="661" t="str">
        <f>前年度登録!DB79</f>
        <v/>
      </c>
      <c r="I82" s="187" t="str">
        <f>前年度登録!AN79</f>
        <v/>
      </c>
      <c r="J82" s="1088" t="str">
        <f>前年度登録!DC79</f>
        <v/>
      </c>
      <c r="K82" s="1032">
        <f>前年度登録!DE79</f>
        <v>0</v>
      </c>
      <c r="L82" s="1033" t="str">
        <f>前年度登録!DJ79</f>
        <v>00</v>
      </c>
      <c r="M82" s="911" t="str">
        <f>前年度登録!AF79</f>
        <v/>
      </c>
      <c r="N82" s="1240">
        <f>前年度登録!S79</f>
        <v>0</v>
      </c>
      <c r="O82" s="338"/>
      <c r="P82" s="292" t="str">
        <f t="shared" si="15"/>
        <v/>
      </c>
      <c r="Q82" s="1282" t="str">
        <f>IF(O82="","",HLOOKUP(O82,前年度登録!$AW$3:$CW$118,77,FALSE))</f>
        <v/>
      </c>
      <c r="R82" s="1282" t="str">
        <f t="shared" si="16"/>
        <v/>
      </c>
      <c r="S82" s="1282" t="str">
        <f t="shared" si="17"/>
        <v/>
      </c>
      <c r="T82" s="368"/>
      <c r="U82" s="292" t="str">
        <f t="shared" si="18"/>
        <v/>
      </c>
      <c r="V82" s="669" t="str">
        <f>IF(T82="","",HLOOKUP(T82,前年度登録!$AW$3:$CW$118,77,FALSE))</f>
        <v/>
      </c>
      <c r="W82" s="769" t="str">
        <f t="shared" si="19"/>
        <v/>
      </c>
      <c r="X82" s="774" t="str">
        <f t="shared" si="20"/>
        <v/>
      </c>
      <c r="Y82" s="160"/>
      <c r="Z82" s="165"/>
      <c r="AA82" s="163"/>
      <c r="AB82" s="166"/>
      <c r="AC82" s="167"/>
      <c r="AD82" s="159"/>
      <c r="AE82" s="160"/>
      <c r="AF82" s="161"/>
      <c r="AG82" s="164"/>
      <c r="AH82" s="802"/>
      <c r="AI82" s="802"/>
      <c r="AK82" s="143"/>
      <c r="AL82" s="907" t="str">
        <f t="shared" si="12"/>
        <v/>
      </c>
      <c r="AM82" s="859">
        <f t="shared" si="13"/>
        <v>0</v>
      </c>
      <c r="AN82" s="859">
        <f t="shared" si="14"/>
        <v>0</v>
      </c>
      <c r="AP82" s="886"/>
      <c r="AQ82" s="886"/>
      <c r="AV82" s="143"/>
      <c r="AW82" s="143"/>
      <c r="AX82" s="886"/>
      <c r="AY82" s="886"/>
      <c r="AZ82" s="886"/>
    </row>
    <row r="83" spans="2:52">
      <c r="B83" s="911" t="str">
        <f>前年度登録!AE80</f>
        <v/>
      </c>
      <c r="E83" s="912">
        <f>前年度登録!T80</f>
        <v>0</v>
      </c>
      <c r="F83" s="661" t="str">
        <f>前年度登録!DB80</f>
        <v/>
      </c>
      <c r="G83" s="1131" t="str">
        <f>前年度登録!AO80</f>
        <v/>
      </c>
      <c r="H83" s="661" t="str">
        <f>前年度登録!DB80</f>
        <v/>
      </c>
      <c r="I83" s="187" t="str">
        <f>前年度登録!AN80</f>
        <v/>
      </c>
      <c r="J83" s="1088" t="str">
        <f>前年度登録!DC80</f>
        <v/>
      </c>
      <c r="K83" s="1032">
        <f>前年度登録!DE80</f>
        <v>0</v>
      </c>
      <c r="L83" s="1033" t="str">
        <f>前年度登録!DJ80</f>
        <v>00</v>
      </c>
      <c r="M83" s="911" t="str">
        <f>前年度登録!AF80</f>
        <v/>
      </c>
      <c r="N83" s="1240">
        <f>前年度登録!S80</f>
        <v>0</v>
      </c>
      <c r="O83" s="338"/>
      <c r="P83" s="292" t="str">
        <f t="shared" si="15"/>
        <v/>
      </c>
      <c r="Q83" s="1282" t="str">
        <f>IF(O83="","",HLOOKUP(O83,前年度登録!$AW$3:$CW$118,78,FALSE))</f>
        <v/>
      </c>
      <c r="R83" s="1282" t="str">
        <f t="shared" si="16"/>
        <v/>
      </c>
      <c r="S83" s="1282" t="str">
        <f t="shared" si="17"/>
        <v/>
      </c>
      <c r="T83" s="368"/>
      <c r="U83" s="292" t="str">
        <f t="shared" si="18"/>
        <v/>
      </c>
      <c r="V83" s="669" t="str">
        <f>IF(T83="","",HLOOKUP(T83,前年度登録!$AW$3:$CW$118,78,FALSE))</f>
        <v/>
      </c>
      <c r="W83" s="769" t="str">
        <f t="shared" si="19"/>
        <v/>
      </c>
      <c r="X83" s="774" t="str">
        <f t="shared" si="20"/>
        <v/>
      </c>
      <c r="Y83" s="160"/>
      <c r="Z83" s="165"/>
      <c r="AA83" s="163"/>
      <c r="AB83" s="166"/>
      <c r="AC83" s="167"/>
      <c r="AD83" s="159"/>
      <c r="AE83" s="160"/>
      <c r="AF83" s="161"/>
      <c r="AG83" s="164"/>
      <c r="AH83" s="802"/>
      <c r="AI83" s="802"/>
      <c r="AK83" s="143"/>
      <c r="AL83" s="907" t="str">
        <f t="shared" si="12"/>
        <v/>
      </c>
      <c r="AM83" s="859">
        <f t="shared" si="13"/>
        <v>0</v>
      </c>
      <c r="AN83" s="859">
        <f t="shared" si="14"/>
        <v>0</v>
      </c>
      <c r="AP83" s="886"/>
      <c r="AQ83" s="886"/>
      <c r="AV83" s="143"/>
      <c r="AW83" s="143"/>
      <c r="AX83" s="886"/>
      <c r="AY83" s="886"/>
      <c r="AZ83" s="886"/>
    </row>
    <row r="84" spans="2:52">
      <c r="B84" s="911" t="str">
        <f>前年度登録!AE81</f>
        <v/>
      </c>
      <c r="E84" s="912">
        <f>前年度登録!T81</f>
        <v>0</v>
      </c>
      <c r="F84" s="661" t="str">
        <f>前年度登録!DB81</f>
        <v/>
      </c>
      <c r="G84" s="1131" t="str">
        <f>前年度登録!AO81</f>
        <v/>
      </c>
      <c r="H84" s="661" t="str">
        <f>前年度登録!DB81</f>
        <v/>
      </c>
      <c r="I84" s="187" t="str">
        <f>前年度登録!AN81</f>
        <v/>
      </c>
      <c r="J84" s="1088" t="str">
        <f>前年度登録!DC81</f>
        <v/>
      </c>
      <c r="K84" s="1032">
        <f>前年度登録!DE81</f>
        <v>0</v>
      </c>
      <c r="L84" s="1033" t="str">
        <f>前年度登録!DJ81</f>
        <v>00</v>
      </c>
      <c r="M84" s="911" t="str">
        <f>前年度登録!AF81</f>
        <v/>
      </c>
      <c r="N84" s="1240">
        <f>前年度登録!S81</f>
        <v>0</v>
      </c>
      <c r="O84" s="338"/>
      <c r="P84" s="292" t="str">
        <f t="shared" si="15"/>
        <v/>
      </c>
      <c r="Q84" s="1282" t="str">
        <f>IF(O84="","",HLOOKUP(O84,前年度登録!$AW$3:$CW$118,79,FALSE))</f>
        <v/>
      </c>
      <c r="R84" s="1282" t="str">
        <f t="shared" si="16"/>
        <v/>
      </c>
      <c r="S84" s="1282" t="str">
        <f t="shared" si="17"/>
        <v/>
      </c>
      <c r="T84" s="368"/>
      <c r="U84" s="292" t="str">
        <f t="shared" si="18"/>
        <v/>
      </c>
      <c r="V84" s="669" t="str">
        <f>IF(T84="","",HLOOKUP(T84,前年度登録!$AW$3:$CW$118,79,FALSE))</f>
        <v/>
      </c>
      <c r="W84" s="769" t="str">
        <f t="shared" si="19"/>
        <v/>
      </c>
      <c r="X84" s="774" t="str">
        <f t="shared" si="20"/>
        <v/>
      </c>
      <c r="Y84" s="160"/>
      <c r="Z84" s="165"/>
      <c r="AA84" s="163"/>
      <c r="AB84" s="166"/>
      <c r="AC84" s="167"/>
      <c r="AD84" s="159"/>
      <c r="AE84" s="160"/>
      <c r="AF84" s="161"/>
      <c r="AG84" s="164"/>
      <c r="AH84" s="802"/>
      <c r="AI84" s="802"/>
      <c r="AK84" s="143"/>
      <c r="AL84" s="907" t="str">
        <f t="shared" si="12"/>
        <v/>
      </c>
      <c r="AM84" s="859">
        <f t="shared" si="13"/>
        <v>0</v>
      </c>
      <c r="AN84" s="859">
        <f t="shared" si="14"/>
        <v>0</v>
      </c>
      <c r="AP84" s="886"/>
      <c r="AQ84" s="886"/>
      <c r="AV84" s="143"/>
      <c r="AW84" s="143"/>
      <c r="AX84" s="886"/>
      <c r="AY84" s="886"/>
      <c r="AZ84" s="886"/>
    </row>
    <row r="85" spans="2:52">
      <c r="B85" s="911" t="str">
        <f>前年度登録!AE82</f>
        <v/>
      </c>
      <c r="E85" s="912">
        <f>前年度登録!T82</f>
        <v>0</v>
      </c>
      <c r="F85" s="661" t="str">
        <f>前年度登録!DB82</f>
        <v/>
      </c>
      <c r="G85" s="1131" t="str">
        <f>前年度登録!AO82</f>
        <v/>
      </c>
      <c r="H85" s="661" t="str">
        <f>前年度登録!DB82</f>
        <v/>
      </c>
      <c r="I85" s="187" t="str">
        <f>前年度登録!AN82</f>
        <v/>
      </c>
      <c r="J85" s="1088" t="str">
        <f>前年度登録!DC82</f>
        <v/>
      </c>
      <c r="K85" s="1032">
        <f>前年度登録!DE82</f>
        <v>0</v>
      </c>
      <c r="L85" s="1033" t="str">
        <f>前年度登録!DJ82</f>
        <v>00</v>
      </c>
      <c r="M85" s="911" t="str">
        <f>前年度登録!AF82</f>
        <v/>
      </c>
      <c r="N85" s="1240">
        <f>前年度登録!S82</f>
        <v>0</v>
      </c>
      <c r="O85" s="338"/>
      <c r="P85" s="292" t="str">
        <f t="shared" si="15"/>
        <v/>
      </c>
      <c r="Q85" s="1282" t="str">
        <f>IF(O85="","",HLOOKUP(O85,前年度登録!$AW$3:$CW$118,80,FALSE))</f>
        <v/>
      </c>
      <c r="R85" s="1282" t="str">
        <f t="shared" si="16"/>
        <v/>
      </c>
      <c r="S85" s="1282" t="str">
        <f t="shared" si="17"/>
        <v/>
      </c>
      <c r="T85" s="368"/>
      <c r="U85" s="292" t="str">
        <f t="shared" si="18"/>
        <v/>
      </c>
      <c r="V85" s="669" t="str">
        <f>IF(T85="","",HLOOKUP(T85,前年度登録!$AW$3:$CW$118,80,FALSE))</f>
        <v/>
      </c>
      <c r="W85" s="769" t="str">
        <f t="shared" si="19"/>
        <v/>
      </c>
      <c r="X85" s="774" t="str">
        <f t="shared" si="20"/>
        <v/>
      </c>
      <c r="Y85" s="160"/>
      <c r="Z85" s="165"/>
      <c r="AA85" s="163"/>
      <c r="AB85" s="166"/>
      <c r="AC85" s="167"/>
      <c r="AD85" s="159"/>
      <c r="AE85" s="160"/>
      <c r="AF85" s="161"/>
      <c r="AG85" s="164"/>
      <c r="AH85" s="802"/>
      <c r="AI85" s="802"/>
      <c r="AK85" s="143"/>
      <c r="AL85" s="907" t="str">
        <f t="shared" si="12"/>
        <v/>
      </c>
      <c r="AM85" s="859">
        <f t="shared" si="13"/>
        <v>0</v>
      </c>
      <c r="AN85" s="859">
        <f t="shared" si="14"/>
        <v>0</v>
      </c>
      <c r="AP85" s="886"/>
      <c r="AQ85" s="886"/>
      <c r="AV85" s="143"/>
      <c r="AW85" s="143"/>
      <c r="AX85" s="886"/>
      <c r="AY85" s="886"/>
      <c r="AZ85" s="886"/>
    </row>
    <row r="86" spans="2:52">
      <c r="B86" s="911" t="str">
        <f>前年度登録!AE83</f>
        <v/>
      </c>
      <c r="E86" s="912">
        <f>前年度登録!T83</f>
        <v>0</v>
      </c>
      <c r="F86" s="661" t="str">
        <f>前年度登録!DB83</f>
        <v/>
      </c>
      <c r="G86" s="1131" t="str">
        <f>前年度登録!AO83</f>
        <v/>
      </c>
      <c r="H86" s="661" t="str">
        <f>前年度登録!DB83</f>
        <v/>
      </c>
      <c r="I86" s="187" t="str">
        <f>前年度登録!AN83</f>
        <v/>
      </c>
      <c r="J86" s="1088" t="str">
        <f>前年度登録!DC83</f>
        <v/>
      </c>
      <c r="K86" s="1032">
        <f>前年度登録!DE83</f>
        <v>0</v>
      </c>
      <c r="L86" s="1033" t="str">
        <f>前年度登録!DJ83</f>
        <v>00</v>
      </c>
      <c r="M86" s="911" t="str">
        <f>前年度登録!AF83</f>
        <v/>
      </c>
      <c r="N86" s="1240">
        <f>前年度登録!S83</f>
        <v>0</v>
      </c>
      <c r="O86" s="338"/>
      <c r="P86" s="292" t="str">
        <f t="shared" si="15"/>
        <v/>
      </c>
      <c r="Q86" s="1282" t="str">
        <f>IF(O86="","",HLOOKUP(O86,前年度登録!$AW$3:$CW$118,81,FALSE))</f>
        <v/>
      </c>
      <c r="R86" s="1282" t="str">
        <f t="shared" si="16"/>
        <v/>
      </c>
      <c r="S86" s="1282" t="str">
        <f t="shared" si="17"/>
        <v/>
      </c>
      <c r="T86" s="368"/>
      <c r="U86" s="292" t="str">
        <f t="shared" si="18"/>
        <v/>
      </c>
      <c r="V86" s="669" t="str">
        <f>IF(T86="","",HLOOKUP(T86,前年度登録!$AW$3:$CW$118,81,FALSE))</f>
        <v/>
      </c>
      <c r="W86" s="769" t="str">
        <f t="shared" si="19"/>
        <v/>
      </c>
      <c r="X86" s="774" t="str">
        <f t="shared" si="20"/>
        <v/>
      </c>
      <c r="Y86" s="160"/>
      <c r="Z86" s="165"/>
      <c r="AA86" s="163"/>
      <c r="AB86" s="166"/>
      <c r="AC86" s="167"/>
      <c r="AD86" s="159"/>
      <c r="AE86" s="160"/>
      <c r="AF86" s="161"/>
      <c r="AG86" s="164"/>
      <c r="AH86" s="802"/>
      <c r="AI86" s="802"/>
      <c r="AK86" s="143"/>
      <c r="AL86" s="907" t="str">
        <f t="shared" si="12"/>
        <v/>
      </c>
      <c r="AM86" s="859">
        <f t="shared" si="13"/>
        <v>0</v>
      </c>
      <c r="AN86" s="859">
        <f t="shared" si="14"/>
        <v>0</v>
      </c>
      <c r="AP86" s="886"/>
      <c r="AQ86" s="886"/>
      <c r="AV86" s="143"/>
      <c r="AW86" s="143"/>
      <c r="AX86" s="886"/>
      <c r="AY86" s="886"/>
      <c r="AZ86" s="886"/>
    </row>
    <row r="87" spans="2:52">
      <c r="B87" s="911" t="str">
        <f>前年度登録!AE84</f>
        <v/>
      </c>
      <c r="E87" s="912">
        <f>前年度登録!T84</f>
        <v>0</v>
      </c>
      <c r="F87" s="661" t="str">
        <f>前年度登録!DB84</f>
        <v/>
      </c>
      <c r="G87" s="1131" t="str">
        <f>前年度登録!AO84</f>
        <v/>
      </c>
      <c r="H87" s="661" t="str">
        <f>前年度登録!DB84</f>
        <v/>
      </c>
      <c r="I87" s="187" t="str">
        <f>前年度登録!AN84</f>
        <v/>
      </c>
      <c r="J87" s="1088" t="str">
        <f>前年度登録!DC84</f>
        <v/>
      </c>
      <c r="K87" s="1032">
        <f>前年度登録!DE84</f>
        <v>0</v>
      </c>
      <c r="L87" s="1033" t="str">
        <f>前年度登録!DJ84</f>
        <v>00</v>
      </c>
      <c r="M87" s="911" t="str">
        <f>前年度登録!AF84</f>
        <v/>
      </c>
      <c r="N87" s="1240">
        <f>前年度登録!S84</f>
        <v>0</v>
      </c>
      <c r="O87" s="338"/>
      <c r="P87" s="292" t="str">
        <f t="shared" si="15"/>
        <v/>
      </c>
      <c r="Q87" s="1282" t="str">
        <f>IF(O87="","",HLOOKUP(O87,前年度登録!$AW$3:$CW$118,82,FALSE))</f>
        <v/>
      </c>
      <c r="R87" s="1282" t="str">
        <f t="shared" si="16"/>
        <v/>
      </c>
      <c r="S87" s="1282" t="str">
        <f t="shared" si="17"/>
        <v/>
      </c>
      <c r="T87" s="368"/>
      <c r="U87" s="292" t="str">
        <f t="shared" si="18"/>
        <v/>
      </c>
      <c r="V87" s="669" t="str">
        <f>IF(T87="","",HLOOKUP(T87,前年度登録!$AW$3:$CW$118,82,FALSE))</f>
        <v/>
      </c>
      <c r="W87" s="769" t="str">
        <f t="shared" si="19"/>
        <v/>
      </c>
      <c r="X87" s="774" t="str">
        <f t="shared" si="20"/>
        <v/>
      </c>
      <c r="Y87" s="160"/>
      <c r="Z87" s="165"/>
      <c r="AA87" s="163"/>
      <c r="AB87" s="166"/>
      <c r="AC87" s="167"/>
      <c r="AD87" s="159"/>
      <c r="AE87" s="160"/>
      <c r="AF87" s="161"/>
      <c r="AG87" s="164"/>
      <c r="AH87" s="802"/>
      <c r="AI87" s="802"/>
      <c r="AK87" s="143"/>
      <c r="AL87" s="907" t="str">
        <f t="shared" si="12"/>
        <v/>
      </c>
      <c r="AM87" s="859">
        <f t="shared" si="13"/>
        <v>0</v>
      </c>
      <c r="AN87" s="859">
        <f t="shared" si="14"/>
        <v>0</v>
      </c>
      <c r="AP87" s="886"/>
      <c r="AQ87" s="886"/>
      <c r="AV87" s="143"/>
      <c r="AW87" s="143"/>
      <c r="AX87" s="886"/>
      <c r="AY87" s="886"/>
      <c r="AZ87" s="886"/>
    </row>
    <row r="88" spans="2:52">
      <c r="B88" s="911" t="str">
        <f>前年度登録!AE85</f>
        <v/>
      </c>
      <c r="E88" s="912">
        <f>前年度登録!T85</f>
        <v>0</v>
      </c>
      <c r="F88" s="661" t="str">
        <f>前年度登録!DB85</f>
        <v/>
      </c>
      <c r="G88" s="1131" t="str">
        <f>前年度登録!AO85</f>
        <v/>
      </c>
      <c r="H88" s="661" t="str">
        <f>前年度登録!DB85</f>
        <v/>
      </c>
      <c r="I88" s="187" t="str">
        <f>前年度登録!AN85</f>
        <v/>
      </c>
      <c r="J88" s="1088" t="str">
        <f>前年度登録!DC85</f>
        <v/>
      </c>
      <c r="K88" s="1032">
        <f>前年度登録!DE85</f>
        <v>0</v>
      </c>
      <c r="L88" s="1033" t="str">
        <f>前年度登録!DJ85</f>
        <v>00</v>
      </c>
      <c r="M88" s="911" t="str">
        <f>前年度登録!AF85</f>
        <v/>
      </c>
      <c r="N88" s="1240">
        <f>前年度登録!S85</f>
        <v>0</v>
      </c>
      <c r="O88" s="338"/>
      <c r="P88" s="292" t="str">
        <f t="shared" si="15"/>
        <v/>
      </c>
      <c r="Q88" s="1282" t="str">
        <f>IF(O88="","",HLOOKUP(O88,前年度登録!$AW$3:$CW$118,83,FALSE))</f>
        <v/>
      </c>
      <c r="R88" s="1282" t="str">
        <f t="shared" si="16"/>
        <v/>
      </c>
      <c r="S88" s="1282" t="str">
        <f t="shared" si="17"/>
        <v/>
      </c>
      <c r="T88" s="368"/>
      <c r="U88" s="292" t="str">
        <f t="shared" si="18"/>
        <v/>
      </c>
      <c r="V88" s="669" t="str">
        <f>IF(T88="","",HLOOKUP(T88,前年度登録!$AW$3:$CW$118,83,FALSE))</f>
        <v/>
      </c>
      <c r="W88" s="769" t="str">
        <f t="shared" si="19"/>
        <v/>
      </c>
      <c r="X88" s="774" t="str">
        <f t="shared" si="20"/>
        <v/>
      </c>
      <c r="Y88" s="160"/>
      <c r="Z88" s="165"/>
      <c r="AA88" s="163"/>
      <c r="AB88" s="166"/>
      <c r="AC88" s="167"/>
      <c r="AD88" s="159"/>
      <c r="AE88" s="160"/>
      <c r="AF88" s="161"/>
      <c r="AG88" s="164"/>
      <c r="AH88" s="802"/>
      <c r="AI88" s="802"/>
      <c r="AK88" s="143"/>
      <c r="AL88" s="907" t="str">
        <f t="shared" si="12"/>
        <v/>
      </c>
      <c r="AM88" s="859">
        <f t="shared" si="13"/>
        <v>0</v>
      </c>
      <c r="AN88" s="859">
        <f t="shared" si="14"/>
        <v>0</v>
      </c>
      <c r="AP88" s="886"/>
      <c r="AQ88" s="886"/>
      <c r="AV88" s="143"/>
      <c r="AW88" s="143"/>
      <c r="AX88" s="886"/>
      <c r="AY88" s="886"/>
      <c r="AZ88" s="886"/>
    </row>
    <row r="89" spans="2:52">
      <c r="B89" s="911" t="str">
        <f>前年度登録!AE86</f>
        <v/>
      </c>
      <c r="E89" s="912">
        <f>前年度登録!T86</f>
        <v>0</v>
      </c>
      <c r="F89" s="661" t="str">
        <f>前年度登録!DB86</f>
        <v/>
      </c>
      <c r="G89" s="1131" t="str">
        <f>前年度登録!AO86</f>
        <v/>
      </c>
      <c r="H89" s="661" t="str">
        <f>前年度登録!DB86</f>
        <v/>
      </c>
      <c r="I89" s="187" t="str">
        <f>前年度登録!AN86</f>
        <v/>
      </c>
      <c r="J89" s="1088" t="str">
        <f>前年度登録!DC86</f>
        <v/>
      </c>
      <c r="K89" s="1032">
        <f>前年度登録!DE86</f>
        <v>0</v>
      </c>
      <c r="L89" s="1033" t="str">
        <f>前年度登録!DJ86</f>
        <v>00</v>
      </c>
      <c r="M89" s="911" t="str">
        <f>前年度登録!AF86</f>
        <v/>
      </c>
      <c r="N89" s="1240">
        <f>前年度登録!S86</f>
        <v>0</v>
      </c>
      <c r="O89" s="338"/>
      <c r="P89" s="292" t="str">
        <f t="shared" si="15"/>
        <v/>
      </c>
      <c r="Q89" s="1282" t="str">
        <f>IF(O89="","",HLOOKUP(O89,前年度登録!$AW$3:$CW$118,84,FALSE))</f>
        <v/>
      </c>
      <c r="R89" s="1282" t="str">
        <f t="shared" si="16"/>
        <v/>
      </c>
      <c r="S89" s="1282" t="str">
        <f t="shared" si="17"/>
        <v/>
      </c>
      <c r="T89" s="368"/>
      <c r="U89" s="292" t="str">
        <f t="shared" si="18"/>
        <v/>
      </c>
      <c r="V89" s="669" t="str">
        <f>IF(T89="","",HLOOKUP(T89,前年度登録!$AW$3:$CW$118,84,FALSE))</f>
        <v/>
      </c>
      <c r="W89" s="769" t="str">
        <f t="shared" si="19"/>
        <v/>
      </c>
      <c r="X89" s="774" t="str">
        <f t="shared" si="20"/>
        <v/>
      </c>
      <c r="Y89" s="160"/>
      <c r="Z89" s="165"/>
      <c r="AA89" s="163"/>
      <c r="AB89" s="166"/>
      <c r="AC89" s="167"/>
      <c r="AD89" s="159"/>
      <c r="AE89" s="160"/>
      <c r="AF89" s="161"/>
      <c r="AG89" s="164"/>
      <c r="AH89" s="802"/>
      <c r="AI89" s="802"/>
      <c r="AK89" s="143"/>
      <c r="AL89" s="907" t="str">
        <f t="shared" si="12"/>
        <v/>
      </c>
      <c r="AM89" s="859">
        <f t="shared" si="13"/>
        <v>0</v>
      </c>
      <c r="AN89" s="859">
        <f t="shared" si="14"/>
        <v>0</v>
      </c>
      <c r="AP89" s="886"/>
      <c r="AQ89" s="886"/>
      <c r="AV89" s="143"/>
      <c r="AW89" s="143"/>
      <c r="AX89" s="886"/>
      <c r="AY89" s="886"/>
      <c r="AZ89" s="886"/>
    </row>
    <row r="90" spans="2:52">
      <c r="B90" s="911" t="str">
        <f>前年度登録!AE87</f>
        <v/>
      </c>
      <c r="E90" s="912">
        <f>前年度登録!T87</f>
        <v>0</v>
      </c>
      <c r="F90" s="661" t="str">
        <f>前年度登録!DB87</f>
        <v/>
      </c>
      <c r="G90" s="1131" t="str">
        <f>前年度登録!AO87</f>
        <v/>
      </c>
      <c r="H90" s="661" t="str">
        <f>前年度登録!DB87</f>
        <v/>
      </c>
      <c r="I90" s="187" t="str">
        <f>前年度登録!AN87</f>
        <v/>
      </c>
      <c r="J90" s="1088" t="str">
        <f>前年度登録!DC87</f>
        <v/>
      </c>
      <c r="K90" s="1032">
        <f>前年度登録!DE87</f>
        <v>0</v>
      </c>
      <c r="L90" s="1033" t="str">
        <f>前年度登録!DJ87</f>
        <v>00</v>
      </c>
      <c r="M90" s="911" t="str">
        <f>前年度登録!AF87</f>
        <v/>
      </c>
      <c r="N90" s="1240">
        <f>前年度登録!S87</f>
        <v>0</v>
      </c>
      <c r="O90" s="338"/>
      <c r="P90" s="292" t="str">
        <f t="shared" si="15"/>
        <v/>
      </c>
      <c r="Q90" s="1282" t="str">
        <f>IF(O90="","",HLOOKUP(O90,前年度登録!$AW$3:$CW$118,85,FALSE))</f>
        <v/>
      </c>
      <c r="R90" s="1282" t="str">
        <f t="shared" si="16"/>
        <v/>
      </c>
      <c r="S90" s="1282" t="str">
        <f t="shared" si="17"/>
        <v/>
      </c>
      <c r="T90" s="368"/>
      <c r="U90" s="292" t="str">
        <f t="shared" si="18"/>
        <v/>
      </c>
      <c r="V90" s="669" t="str">
        <f>IF(T90="","",HLOOKUP(T90,前年度登録!$AW$3:$CW$118,85,FALSE))</f>
        <v/>
      </c>
      <c r="W90" s="769" t="str">
        <f t="shared" si="19"/>
        <v/>
      </c>
      <c r="X90" s="774" t="str">
        <f t="shared" si="20"/>
        <v/>
      </c>
      <c r="Y90" s="160"/>
      <c r="Z90" s="165"/>
      <c r="AA90" s="163"/>
      <c r="AB90" s="166"/>
      <c r="AC90" s="167"/>
      <c r="AD90" s="159"/>
      <c r="AE90" s="160"/>
      <c r="AF90" s="161"/>
      <c r="AG90" s="164"/>
      <c r="AH90" s="802"/>
      <c r="AI90" s="802"/>
      <c r="AK90" s="143"/>
      <c r="AL90" s="907" t="str">
        <f t="shared" si="12"/>
        <v/>
      </c>
      <c r="AM90" s="859">
        <f t="shared" si="13"/>
        <v>0</v>
      </c>
      <c r="AN90" s="859">
        <f t="shared" si="14"/>
        <v>0</v>
      </c>
      <c r="AP90" s="886"/>
      <c r="AQ90" s="886"/>
      <c r="AV90" s="143"/>
      <c r="AW90" s="143"/>
      <c r="AX90" s="886"/>
      <c r="AY90" s="886"/>
      <c r="AZ90" s="886"/>
    </row>
    <row r="91" spans="2:52">
      <c r="B91" s="911" t="str">
        <f>前年度登録!AE88</f>
        <v/>
      </c>
      <c r="E91" s="912">
        <f>前年度登録!T88</f>
        <v>0</v>
      </c>
      <c r="F91" s="661" t="str">
        <f>前年度登録!DB88</f>
        <v/>
      </c>
      <c r="G91" s="1131" t="str">
        <f>前年度登録!AO88</f>
        <v/>
      </c>
      <c r="H91" s="661" t="str">
        <f>前年度登録!DB88</f>
        <v/>
      </c>
      <c r="I91" s="187" t="str">
        <f>前年度登録!AN88</f>
        <v/>
      </c>
      <c r="J91" s="1088" t="str">
        <f>前年度登録!DC88</f>
        <v/>
      </c>
      <c r="K91" s="1032">
        <f>前年度登録!DE88</f>
        <v>0</v>
      </c>
      <c r="L91" s="1033" t="str">
        <f>前年度登録!DJ88</f>
        <v>00</v>
      </c>
      <c r="M91" s="911" t="str">
        <f>前年度登録!AF88</f>
        <v/>
      </c>
      <c r="N91" s="1240">
        <f>前年度登録!S88</f>
        <v>0</v>
      </c>
      <c r="O91" s="338"/>
      <c r="P91" s="292" t="str">
        <f t="shared" si="15"/>
        <v/>
      </c>
      <c r="Q91" s="1282" t="str">
        <f>IF(O91="","",HLOOKUP(O91,前年度登録!$AW$3:$CW$118,86,FALSE))</f>
        <v/>
      </c>
      <c r="R91" s="1282" t="str">
        <f t="shared" si="16"/>
        <v/>
      </c>
      <c r="S91" s="1282" t="str">
        <f t="shared" si="17"/>
        <v/>
      </c>
      <c r="T91" s="368"/>
      <c r="U91" s="292" t="str">
        <f t="shared" si="18"/>
        <v/>
      </c>
      <c r="V91" s="669" t="str">
        <f>IF(T91="","",HLOOKUP(T91,前年度登録!$AW$3:$CW$118,86,FALSE))</f>
        <v/>
      </c>
      <c r="W91" s="769" t="str">
        <f t="shared" si="19"/>
        <v/>
      </c>
      <c r="X91" s="774" t="str">
        <f t="shared" si="20"/>
        <v/>
      </c>
      <c r="Y91" s="160"/>
      <c r="Z91" s="165"/>
      <c r="AA91" s="163"/>
      <c r="AB91" s="166"/>
      <c r="AC91" s="167"/>
      <c r="AD91" s="159"/>
      <c r="AE91" s="160"/>
      <c r="AF91" s="161"/>
      <c r="AG91" s="164"/>
      <c r="AH91" s="802"/>
      <c r="AI91" s="802"/>
      <c r="AK91" s="143"/>
      <c r="AL91" s="907" t="str">
        <f t="shared" si="12"/>
        <v/>
      </c>
      <c r="AM91" s="859">
        <f t="shared" si="13"/>
        <v>0</v>
      </c>
      <c r="AN91" s="859">
        <f t="shared" si="14"/>
        <v>0</v>
      </c>
      <c r="AP91" s="886"/>
      <c r="AQ91" s="886"/>
      <c r="AV91" s="143"/>
      <c r="AW91" s="143"/>
      <c r="AX91" s="886"/>
      <c r="AY91" s="886"/>
      <c r="AZ91" s="886"/>
    </row>
    <row r="92" spans="2:52">
      <c r="B92" s="911" t="str">
        <f>前年度登録!AE89</f>
        <v/>
      </c>
      <c r="E92" s="912">
        <f>前年度登録!T89</f>
        <v>0</v>
      </c>
      <c r="F92" s="661" t="str">
        <f>前年度登録!DB89</f>
        <v/>
      </c>
      <c r="G92" s="1131" t="str">
        <f>前年度登録!AO89</f>
        <v/>
      </c>
      <c r="H92" s="661" t="str">
        <f>前年度登録!DB89</f>
        <v/>
      </c>
      <c r="I92" s="187" t="str">
        <f>前年度登録!AN89</f>
        <v/>
      </c>
      <c r="J92" s="1088" t="str">
        <f>前年度登録!DC89</f>
        <v/>
      </c>
      <c r="K92" s="1032">
        <f>前年度登録!DE89</f>
        <v>0</v>
      </c>
      <c r="L92" s="1033" t="str">
        <f>前年度登録!DJ89</f>
        <v>00</v>
      </c>
      <c r="M92" s="911" t="str">
        <f>前年度登録!AF89</f>
        <v/>
      </c>
      <c r="N92" s="1240">
        <f>前年度登録!S89</f>
        <v>0</v>
      </c>
      <c r="O92" s="338"/>
      <c r="P92" s="292" t="str">
        <f t="shared" si="15"/>
        <v/>
      </c>
      <c r="Q92" s="1282" t="str">
        <f>IF(O92="","",HLOOKUP(O92,前年度登録!$AW$3:$CW$118,87,FALSE))</f>
        <v/>
      </c>
      <c r="R92" s="1282" t="str">
        <f t="shared" si="16"/>
        <v/>
      </c>
      <c r="S92" s="1282" t="str">
        <f t="shared" si="17"/>
        <v/>
      </c>
      <c r="T92" s="368"/>
      <c r="U92" s="292" t="str">
        <f t="shared" si="18"/>
        <v/>
      </c>
      <c r="V92" s="669" t="str">
        <f>IF(T92="","",HLOOKUP(T92,前年度登録!$AW$3:$CW$118,87,FALSE))</f>
        <v/>
      </c>
      <c r="W92" s="769" t="str">
        <f t="shared" si="19"/>
        <v/>
      </c>
      <c r="X92" s="774" t="str">
        <f t="shared" si="20"/>
        <v/>
      </c>
      <c r="Y92" s="160"/>
      <c r="Z92" s="165"/>
      <c r="AA92" s="163"/>
      <c r="AB92" s="166"/>
      <c r="AC92" s="167"/>
      <c r="AD92" s="159"/>
      <c r="AE92" s="160"/>
      <c r="AF92" s="161"/>
      <c r="AG92" s="164"/>
      <c r="AH92" s="802"/>
      <c r="AI92" s="802"/>
      <c r="AK92" s="143"/>
      <c r="AL92" s="907" t="str">
        <f t="shared" si="12"/>
        <v/>
      </c>
      <c r="AM92" s="859">
        <f t="shared" si="13"/>
        <v>0</v>
      </c>
      <c r="AN92" s="859">
        <f t="shared" si="14"/>
        <v>0</v>
      </c>
      <c r="AP92" s="886"/>
      <c r="AQ92" s="886"/>
      <c r="AV92" s="143"/>
      <c r="AW92" s="143"/>
      <c r="AX92" s="886"/>
      <c r="AY92" s="886"/>
      <c r="AZ92" s="886"/>
    </row>
    <row r="93" spans="2:52">
      <c r="B93" s="911" t="str">
        <f>前年度登録!AE90</f>
        <v/>
      </c>
      <c r="E93" s="912">
        <f>前年度登録!T90</f>
        <v>0</v>
      </c>
      <c r="F93" s="661" t="str">
        <f>前年度登録!DB90</f>
        <v/>
      </c>
      <c r="G93" s="1131" t="str">
        <f>前年度登録!AO90</f>
        <v/>
      </c>
      <c r="H93" s="661" t="str">
        <f>前年度登録!DB90</f>
        <v/>
      </c>
      <c r="I93" s="187" t="str">
        <f>前年度登録!AN90</f>
        <v/>
      </c>
      <c r="J93" s="1088" t="str">
        <f>前年度登録!DC90</f>
        <v/>
      </c>
      <c r="K93" s="1032">
        <f>前年度登録!DE90</f>
        <v>0</v>
      </c>
      <c r="L93" s="1033" t="str">
        <f>前年度登録!DJ90</f>
        <v>00</v>
      </c>
      <c r="M93" s="911" t="str">
        <f>前年度登録!AF90</f>
        <v/>
      </c>
      <c r="N93" s="1240">
        <f>前年度登録!S90</f>
        <v>0</v>
      </c>
      <c r="O93" s="338"/>
      <c r="P93" s="292" t="str">
        <f t="shared" si="15"/>
        <v/>
      </c>
      <c r="Q93" s="1282" t="str">
        <f>IF(O93="","",HLOOKUP(O93,前年度登録!$AW$3:$CW$118,88,FALSE))</f>
        <v/>
      </c>
      <c r="R93" s="1282" t="str">
        <f t="shared" si="16"/>
        <v/>
      </c>
      <c r="S93" s="1282" t="str">
        <f t="shared" si="17"/>
        <v/>
      </c>
      <c r="T93" s="368"/>
      <c r="U93" s="292" t="str">
        <f t="shared" si="18"/>
        <v/>
      </c>
      <c r="V93" s="669" t="str">
        <f>IF(T93="","",HLOOKUP(T93,前年度登録!$AW$3:$CW$118,88,FALSE))</f>
        <v/>
      </c>
      <c r="W93" s="769" t="str">
        <f t="shared" si="19"/>
        <v/>
      </c>
      <c r="X93" s="774" t="str">
        <f t="shared" si="20"/>
        <v/>
      </c>
      <c r="Y93" s="160"/>
      <c r="Z93" s="165"/>
      <c r="AA93" s="163"/>
      <c r="AB93" s="166"/>
      <c r="AC93" s="167"/>
      <c r="AD93" s="159"/>
      <c r="AE93" s="160"/>
      <c r="AF93" s="161"/>
      <c r="AG93" s="164"/>
      <c r="AH93" s="802"/>
      <c r="AI93" s="802"/>
      <c r="AK93" s="143"/>
      <c r="AL93" s="907" t="str">
        <f t="shared" si="12"/>
        <v/>
      </c>
      <c r="AM93" s="859">
        <f t="shared" si="13"/>
        <v>0</v>
      </c>
      <c r="AN93" s="859">
        <f t="shared" si="14"/>
        <v>0</v>
      </c>
      <c r="AP93" s="886"/>
      <c r="AQ93" s="886"/>
      <c r="AV93" s="143"/>
      <c r="AW93" s="143"/>
      <c r="AX93" s="886"/>
      <c r="AY93" s="886"/>
      <c r="AZ93" s="886"/>
    </row>
    <row r="94" spans="2:52">
      <c r="B94" s="911" t="str">
        <f>前年度登録!AE91</f>
        <v/>
      </c>
      <c r="E94" s="912">
        <f>前年度登録!T91</f>
        <v>0</v>
      </c>
      <c r="F94" s="661" t="str">
        <f>前年度登録!DB91</f>
        <v/>
      </c>
      <c r="G94" s="1131" t="str">
        <f>前年度登録!AO91</f>
        <v/>
      </c>
      <c r="H94" s="661" t="str">
        <f>前年度登録!DB91</f>
        <v/>
      </c>
      <c r="I94" s="187" t="str">
        <f>前年度登録!AN91</f>
        <v/>
      </c>
      <c r="J94" s="1088" t="str">
        <f>前年度登録!DC91</f>
        <v/>
      </c>
      <c r="K94" s="1032">
        <f>前年度登録!DE91</f>
        <v>0</v>
      </c>
      <c r="L94" s="1033" t="str">
        <f>前年度登録!DJ91</f>
        <v>00</v>
      </c>
      <c r="M94" s="911" t="str">
        <f>前年度登録!AF91</f>
        <v/>
      </c>
      <c r="N94" s="1240">
        <f>前年度登録!S91</f>
        <v>0</v>
      </c>
      <c r="O94" s="338"/>
      <c r="P94" s="292" t="str">
        <f t="shared" si="15"/>
        <v/>
      </c>
      <c r="Q94" s="1282" t="str">
        <f>IF(O94="","",HLOOKUP(O94,前年度登録!$AW$3:$CW$118,89,FALSE))</f>
        <v/>
      </c>
      <c r="R94" s="1282" t="str">
        <f t="shared" si="16"/>
        <v/>
      </c>
      <c r="S94" s="1282" t="str">
        <f t="shared" si="17"/>
        <v/>
      </c>
      <c r="T94" s="368"/>
      <c r="U94" s="292" t="str">
        <f t="shared" si="18"/>
        <v/>
      </c>
      <c r="V94" s="669" t="str">
        <f>IF(T94="","",HLOOKUP(T94,前年度登録!$AW$3:$CW$118,89,FALSE))</f>
        <v/>
      </c>
      <c r="W94" s="769" t="str">
        <f t="shared" si="19"/>
        <v/>
      </c>
      <c r="X94" s="774" t="str">
        <f t="shared" si="20"/>
        <v/>
      </c>
      <c r="Y94" s="160"/>
      <c r="Z94" s="165"/>
      <c r="AA94" s="163"/>
      <c r="AB94" s="166"/>
      <c r="AC94" s="167"/>
      <c r="AD94" s="159"/>
      <c r="AE94" s="160"/>
      <c r="AF94" s="161"/>
      <c r="AG94" s="164"/>
      <c r="AH94" s="802"/>
      <c r="AI94" s="802"/>
      <c r="AK94" s="143"/>
      <c r="AL94" s="907" t="str">
        <f t="shared" si="12"/>
        <v/>
      </c>
      <c r="AM94" s="859">
        <f t="shared" si="13"/>
        <v>0</v>
      </c>
      <c r="AN94" s="859">
        <f t="shared" si="14"/>
        <v>0</v>
      </c>
      <c r="AP94" s="886"/>
      <c r="AQ94" s="886"/>
      <c r="AV94" s="143"/>
      <c r="AW94" s="143"/>
      <c r="AX94" s="886"/>
      <c r="AY94" s="886"/>
      <c r="AZ94" s="886"/>
    </row>
    <row r="95" spans="2:52">
      <c r="B95" s="911" t="str">
        <f>前年度登録!AE92</f>
        <v/>
      </c>
      <c r="E95" s="912">
        <f>前年度登録!T92</f>
        <v>0</v>
      </c>
      <c r="F95" s="661" t="str">
        <f>前年度登録!DB92</f>
        <v/>
      </c>
      <c r="G95" s="1131" t="str">
        <f>前年度登録!AO92</f>
        <v/>
      </c>
      <c r="H95" s="661" t="str">
        <f>前年度登録!DB92</f>
        <v/>
      </c>
      <c r="I95" s="187" t="str">
        <f>前年度登録!AN92</f>
        <v/>
      </c>
      <c r="J95" s="1088" t="str">
        <f>前年度登録!DC92</f>
        <v/>
      </c>
      <c r="K95" s="1032">
        <f>前年度登録!DE92</f>
        <v>0</v>
      </c>
      <c r="L95" s="1033" t="str">
        <f>前年度登録!DJ92</f>
        <v>00</v>
      </c>
      <c r="M95" s="911" t="str">
        <f>前年度登録!AF92</f>
        <v/>
      </c>
      <c r="N95" s="1240">
        <f>前年度登録!S92</f>
        <v>0</v>
      </c>
      <c r="O95" s="338"/>
      <c r="P95" s="292" t="str">
        <f t="shared" si="15"/>
        <v/>
      </c>
      <c r="Q95" s="1282" t="str">
        <f>IF(O95="","",HLOOKUP(O95,前年度登録!$AW$3:$CW$118,90,FALSE))</f>
        <v/>
      </c>
      <c r="R95" s="1282" t="str">
        <f t="shared" si="16"/>
        <v/>
      </c>
      <c r="S95" s="1282" t="str">
        <f t="shared" si="17"/>
        <v/>
      </c>
      <c r="T95" s="368"/>
      <c r="U95" s="292" t="str">
        <f t="shared" si="18"/>
        <v/>
      </c>
      <c r="V95" s="669" t="str">
        <f>IF(T95="","",HLOOKUP(T95,前年度登録!$AW$3:$CW$118,90,FALSE))</f>
        <v/>
      </c>
      <c r="W95" s="769" t="str">
        <f t="shared" si="19"/>
        <v/>
      </c>
      <c r="X95" s="774" t="str">
        <f t="shared" si="20"/>
        <v/>
      </c>
      <c r="Y95" s="160"/>
      <c r="Z95" s="165"/>
      <c r="AA95" s="163"/>
      <c r="AB95" s="166"/>
      <c r="AC95" s="167"/>
      <c r="AD95" s="159"/>
      <c r="AE95" s="160"/>
      <c r="AF95" s="161"/>
      <c r="AG95" s="164"/>
      <c r="AH95" s="802"/>
      <c r="AI95" s="802"/>
      <c r="AK95" s="143"/>
      <c r="AL95" s="907" t="str">
        <f t="shared" si="12"/>
        <v/>
      </c>
      <c r="AM95" s="859">
        <f t="shared" si="13"/>
        <v>0</v>
      </c>
      <c r="AN95" s="859">
        <f t="shared" si="14"/>
        <v>0</v>
      </c>
      <c r="AP95" s="886"/>
      <c r="AQ95" s="886"/>
      <c r="AV95" s="143"/>
      <c r="AW95" s="143"/>
      <c r="AX95" s="886"/>
      <c r="AY95" s="886"/>
      <c r="AZ95" s="886"/>
    </row>
    <row r="96" spans="2:52">
      <c r="B96" s="911" t="str">
        <f>前年度登録!AE93</f>
        <v/>
      </c>
      <c r="E96" s="912">
        <f>前年度登録!T93</f>
        <v>0</v>
      </c>
      <c r="F96" s="661" t="str">
        <f>前年度登録!DB93</f>
        <v/>
      </c>
      <c r="G96" s="1131" t="str">
        <f>前年度登録!AO93</f>
        <v/>
      </c>
      <c r="H96" s="661" t="str">
        <f>前年度登録!DB93</f>
        <v/>
      </c>
      <c r="I96" s="187" t="str">
        <f>前年度登録!AN93</f>
        <v/>
      </c>
      <c r="J96" s="1088" t="str">
        <f>前年度登録!DC93</f>
        <v/>
      </c>
      <c r="K96" s="1032">
        <f>前年度登録!DE93</f>
        <v>0</v>
      </c>
      <c r="L96" s="1033" t="str">
        <f>前年度登録!DJ93</f>
        <v>00</v>
      </c>
      <c r="M96" s="911" t="str">
        <f>前年度登録!AF93</f>
        <v/>
      </c>
      <c r="N96" s="1240">
        <f>前年度登録!S93</f>
        <v>0</v>
      </c>
      <c r="O96" s="338"/>
      <c r="P96" s="292" t="str">
        <f t="shared" si="15"/>
        <v/>
      </c>
      <c r="Q96" s="1282" t="str">
        <f>IF(O96="","",HLOOKUP(O96,前年度登録!$AW$3:$CW$118,91,FALSE))</f>
        <v/>
      </c>
      <c r="R96" s="1282" t="str">
        <f t="shared" si="16"/>
        <v/>
      </c>
      <c r="S96" s="1282" t="str">
        <f t="shared" si="17"/>
        <v/>
      </c>
      <c r="T96" s="368"/>
      <c r="U96" s="292" t="str">
        <f t="shared" si="18"/>
        <v/>
      </c>
      <c r="V96" s="669" t="str">
        <f>IF(T96="","",HLOOKUP(T96,前年度登録!$AW$3:$CW$118,91,FALSE))</f>
        <v/>
      </c>
      <c r="W96" s="769" t="str">
        <f t="shared" si="19"/>
        <v/>
      </c>
      <c r="X96" s="774" t="str">
        <f t="shared" si="20"/>
        <v/>
      </c>
      <c r="Y96" s="160"/>
      <c r="Z96" s="165"/>
      <c r="AA96" s="163"/>
      <c r="AB96" s="166"/>
      <c r="AC96" s="167"/>
      <c r="AD96" s="159"/>
      <c r="AE96" s="160"/>
      <c r="AF96" s="161"/>
      <c r="AG96" s="164"/>
      <c r="AH96" s="802"/>
      <c r="AI96" s="802"/>
      <c r="AK96" s="143"/>
      <c r="AL96" s="907" t="str">
        <f t="shared" si="12"/>
        <v/>
      </c>
      <c r="AM96" s="859">
        <f t="shared" si="13"/>
        <v>0</v>
      </c>
      <c r="AN96" s="859">
        <f t="shared" si="14"/>
        <v>0</v>
      </c>
      <c r="AP96" s="886"/>
      <c r="AQ96" s="886"/>
      <c r="AV96" s="143"/>
      <c r="AW96" s="143"/>
      <c r="AX96" s="886"/>
      <c r="AY96" s="886"/>
      <c r="AZ96" s="886"/>
    </row>
    <row r="97" spans="2:52">
      <c r="B97" s="911" t="str">
        <f>前年度登録!AE94</f>
        <v/>
      </c>
      <c r="E97" s="912">
        <f>前年度登録!T94</f>
        <v>0</v>
      </c>
      <c r="F97" s="661" t="str">
        <f>前年度登録!DB94</f>
        <v/>
      </c>
      <c r="G97" s="1131" t="str">
        <f>前年度登録!AO94</f>
        <v/>
      </c>
      <c r="H97" s="661" t="str">
        <f>前年度登録!DB94</f>
        <v/>
      </c>
      <c r="I97" s="187" t="str">
        <f>前年度登録!AN94</f>
        <v/>
      </c>
      <c r="J97" s="1088" t="str">
        <f>前年度登録!DC94</f>
        <v/>
      </c>
      <c r="K97" s="1032">
        <f>前年度登録!DE94</f>
        <v>0</v>
      </c>
      <c r="L97" s="1033" t="str">
        <f>前年度登録!DJ94</f>
        <v>00</v>
      </c>
      <c r="M97" s="911" t="str">
        <f>前年度登録!AF94</f>
        <v/>
      </c>
      <c r="N97" s="1240">
        <f>前年度登録!S94</f>
        <v>0</v>
      </c>
      <c r="O97" s="338"/>
      <c r="P97" s="292" t="str">
        <f t="shared" si="15"/>
        <v/>
      </c>
      <c r="Q97" s="1282" t="str">
        <f>IF(O97="","",HLOOKUP(O97,前年度登録!$AW$3:$CW$118,92,FALSE))</f>
        <v/>
      </c>
      <c r="R97" s="1282" t="str">
        <f t="shared" si="16"/>
        <v/>
      </c>
      <c r="S97" s="1282" t="str">
        <f t="shared" si="17"/>
        <v/>
      </c>
      <c r="T97" s="368"/>
      <c r="U97" s="292" t="str">
        <f t="shared" si="18"/>
        <v/>
      </c>
      <c r="V97" s="669" t="str">
        <f>IF(T97="","",HLOOKUP(T97,前年度登録!$AW$3:$CW$118,92,FALSE))</f>
        <v/>
      </c>
      <c r="W97" s="769" t="str">
        <f t="shared" si="19"/>
        <v/>
      </c>
      <c r="X97" s="774" t="str">
        <f t="shared" si="20"/>
        <v/>
      </c>
      <c r="Y97" s="160"/>
      <c r="Z97" s="165"/>
      <c r="AA97" s="163"/>
      <c r="AB97" s="166"/>
      <c r="AC97" s="167"/>
      <c r="AD97" s="159"/>
      <c r="AE97" s="160"/>
      <c r="AF97" s="161"/>
      <c r="AG97" s="164"/>
      <c r="AH97" s="802"/>
      <c r="AI97" s="802"/>
      <c r="AK97" s="143"/>
      <c r="AL97" s="907" t="str">
        <f t="shared" si="12"/>
        <v/>
      </c>
      <c r="AM97" s="859">
        <f t="shared" si="13"/>
        <v>0</v>
      </c>
      <c r="AN97" s="859">
        <f t="shared" si="14"/>
        <v>0</v>
      </c>
      <c r="AP97" s="886"/>
      <c r="AQ97" s="886"/>
      <c r="AV97" s="143"/>
      <c r="AW97" s="143"/>
      <c r="AX97" s="886"/>
      <c r="AY97" s="886"/>
      <c r="AZ97" s="886"/>
    </row>
    <row r="98" spans="2:52">
      <c r="B98" s="911" t="str">
        <f>前年度登録!AE95</f>
        <v/>
      </c>
      <c r="E98" s="912">
        <f>前年度登録!T95</f>
        <v>0</v>
      </c>
      <c r="F98" s="661" t="str">
        <f>前年度登録!DB95</f>
        <v/>
      </c>
      <c r="G98" s="1131" t="str">
        <f>前年度登録!AO95</f>
        <v/>
      </c>
      <c r="H98" s="661" t="str">
        <f>前年度登録!DB95</f>
        <v/>
      </c>
      <c r="I98" s="187" t="str">
        <f>前年度登録!AN95</f>
        <v/>
      </c>
      <c r="J98" s="1088" t="str">
        <f>前年度登録!DC95</f>
        <v/>
      </c>
      <c r="K98" s="1032">
        <f>前年度登録!DE95</f>
        <v>0</v>
      </c>
      <c r="L98" s="1033" t="str">
        <f>前年度登録!DJ95</f>
        <v>00</v>
      </c>
      <c r="M98" s="911" t="str">
        <f>前年度登録!AF95</f>
        <v/>
      </c>
      <c r="N98" s="1240">
        <f>前年度登録!S95</f>
        <v>0</v>
      </c>
      <c r="O98" s="338"/>
      <c r="P98" s="292" t="str">
        <f t="shared" si="15"/>
        <v/>
      </c>
      <c r="Q98" s="1282" t="str">
        <f>IF(O98="","",HLOOKUP(O98,前年度登録!$AW$3:$CW$118,93,FALSE))</f>
        <v/>
      </c>
      <c r="R98" s="1282" t="str">
        <f t="shared" si="16"/>
        <v/>
      </c>
      <c r="S98" s="1282" t="str">
        <f t="shared" si="17"/>
        <v/>
      </c>
      <c r="T98" s="368"/>
      <c r="U98" s="292" t="str">
        <f t="shared" si="18"/>
        <v/>
      </c>
      <c r="V98" s="669" t="str">
        <f>IF(T98="","",HLOOKUP(T98,前年度登録!$AW$3:$CW$118,93,FALSE))</f>
        <v/>
      </c>
      <c r="W98" s="769" t="str">
        <f t="shared" si="19"/>
        <v/>
      </c>
      <c r="X98" s="774" t="str">
        <f t="shared" si="20"/>
        <v/>
      </c>
      <c r="Y98" s="160"/>
      <c r="Z98" s="165"/>
      <c r="AA98" s="163"/>
      <c r="AB98" s="166"/>
      <c r="AC98" s="167"/>
      <c r="AD98" s="159"/>
      <c r="AE98" s="160"/>
      <c r="AF98" s="161"/>
      <c r="AG98" s="164"/>
      <c r="AH98" s="802"/>
      <c r="AI98" s="802"/>
      <c r="AK98" s="143"/>
      <c r="AL98" s="907" t="str">
        <f t="shared" si="12"/>
        <v/>
      </c>
      <c r="AM98" s="859">
        <f t="shared" si="13"/>
        <v>0</v>
      </c>
      <c r="AN98" s="859">
        <f t="shared" si="14"/>
        <v>0</v>
      </c>
      <c r="AP98" s="886"/>
      <c r="AQ98" s="886"/>
      <c r="AV98" s="143"/>
      <c r="AW98" s="143"/>
      <c r="AX98" s="886"/>
      <c r="AY98" s="886"/>
      <c r="AZ98" s="886"/>
    </row>
    <row r="99" spans="2:52">
      <c r="B99" s="911" t="str">
        <f>前年度登録!AE96</f>
        <v/>
      </c>
      <c r="E99" s="912">
        <f>前年度登録!T96</f>
        <v>0</v>
      </c>
      <c r="F99" s="661" t="str">
        <f>前年度登録!DB96</f>
        <v/>
      </c>
      <c r="G99" s="1131" t="str">
        <f>前年度登録!AO96</f>
        <v/>
      </c>
      <c r="H99" s="661" t="str">
        <f>前年度登録!DB96</f>
        <v/>
      </c>
      <c r="I99" s="187" t="str">
        <f>前年度登録!AN96</f>
        <v/>
      </c>
      <c r="J99" s="1088" t="str">
        <f>前年度登録!DC96</f>
        <v/>
      </c>
      <c r="K99" s="1032">
        <f>前年度登録!DE96</f>
        <v>0</v>
      </c>
      <c r="L99" s="1033" t="str">
        <f>前年度登録!DJ96</f>
        <v>00</v>
      </c>
      <c r="M99" s="911" t="str">
        <f>前年度登録!AF96</f>
        <v/>
      </c>
      <c r="N99" s="1240">
        <f>前年度登録!S96</f>
        <v>0</v>
      </c>
      <c r="O99" s="338"/>
      <c r="P99" s="292" t="str">
        <f t="shared" si="15"/>
        <v/>
      </c>
      <c r="Q99" s="1282" t="str">
        <f>IF(O99="","",HLOOKUP(O99,前年度登録!$AW$3:$CW$118,94,FALSE))</f>
        <v/>
      </c>
      <c r="R99" s="1282" t="str">
        <f t="shared" si="16"/>
        <v/>
      </c>
      <c r="S99" s="1282" t="str">
        <f t="shared" si="17"/>
        <v/>
      </c>
      <c r="T99" s="368"/>
      <c r="U99" s="292" t="str">
        <f t="shared" si="18"/>
        <v/>
      </c>
      <c r="V99" s="669" t="str">
        <f>IF(T99="","",HLOOKUP(T99,前年度登録!$AW$3:$CW$118,94,FALSE))</f>
        <v/>
      </c>
      <c r="W99" s="769" t="str">
        <f t="shared" si="19"/>
        <v/>
      </c>
      <c r="X99" s="774" t="str">
        <f t="shared" si="20"/>
        <v/>
      </c>
      <c r="Y99" s="160"/>
      <c r="Z99" s="165"/>
      <c r="AA99" s="163"/>
      <c r="AB99" s="166"/>
      <c r="AC99" s="167"/>
      <c r="AD99" s="159"/>
      <c r="AE99" s="160"/>
      <c r="AF99" s="161"/>
      <c r="AG99" s="164"/>
      <c r="AH99" s="802"/>
      <c r="AI99" s="802"/>
      <c r="AK99" s="143"/>
      <c r="AL99" s="907" t="str">
        <f t="shared" si="12"/>
        <v/>
      </c>
      <c r="AM99" s="859">
        <f t="shared" si="13"/>
        <v>0</v>
      </c>
      <c r="AN99" s="859">
        <f t="shared" si="14"/>
        <v>0</v>
      </c>
      <c r="AP99" s="886"/>
      <c r="AQ99" s="886"/>
      <c r="AV99" s="143"/>
      <c r="AW99" s="143"/>
      <c r="AX99" s="886"/>
      <c r="AY99" s="886"/>
      <c r="AZ99" s="886"/>
    </row>
    <row r="100" spans="2:52">
      <c r="B100" s="911" t="str">
        <f>前年度登録!AE97</f>
        <v/>
      </c>
      <c r="E100" s="912">
        <f>前年度登録!T97</f>
        <v>0</v>
      </c>
      <c r="F100" s="661" t="str">
        <f>前年度登録!DB97</f>
        <v/>
      </c>
      <c r="G100" s="1131" t="str">
        <f>前年度登録!AO97</f>
        <v/>
      </c>
      <c r="H100" s="661" t="str">
        <f>前年度登録!DB97</f>
        <v/>
      </c>
      <c r="I100" s="187" t="str">
        <f>前年度登録!AN97</f>
        <v/>
      </c>
      <c r="J100" s="1088" t="str">
        <f>前年度登録!DC97</f>
        <v/>
      </c>
      <c r="K100" s="1032">
        <f>前年度登録!DE97</f>
        <v>0</v>
      </c>
      <c r="L100" s="1033" t="str">
        <f>前年度登録!DJ97</f>
        <v>00</v>
      </c>
      <c r="M100" s="911" t="str">
        <f>前年度登録!AF97</f>
        <v/>
      </c>
      <c r="N100" s="1240">
        <f>前年度登録!S97</f>
        <v>0</v>
      </c>
      <c r="O100" s="338"/>
      <c r="P100" s="292" t="str">
        <f t="shared" si="15"/>
        <v/>
      </c>
      <c r="Q100" s="1282" t="str">
        <f>IF(O100="","",HLOOKUP(O100,前年度登録!$AW$3:$CW$118,95,FALSE))</f>
        <v/>
      </c>
      <c r="R100" s="1282" t="str">
        <f t="shared" si="16"/>
        <v/>
      </c>
      <c r="S100" s="1282" t="str">
        <f t="shared" si="17"/>
        <v/>
      </c>
      <c r="T100" s="368"/>
      <c r="U100" s="292" t="str">
        <f t="shared" si="18"/>
        <v/>
      </c>
      <c r="V100" s="669" t="str">
        <f>IF(T100="","",HLOOKUP(T100,前年度登録!$AW$3:$CW$118,95,FALSE))</f>
        <v/>
      </c>
      <c r="W100" s="769" t="str">
        <f t="shared" si="19"/>
        <v/>
      </c>
      <c r="X100" s="774" t="str">
        <f t="shared" si="20"/>
        <v/>
      </c>
      <c r="Y100" s="160"/>
      <c r="Z100" s="165"/>
      <c r="AA100" s="163"/>
      <c r="AB100" s="166"/>
      <c r="AC100" s="167"/>
      <c r="AD100" s="159"/>
      <c r="AE100" s="160"/>
      <c r="AF100" s="161"/>
      <c r="AG100" s="164"/>
      <c r="AH100" s="802"/>
      <c r="AI100" s="802"/>
      <c r="AK100" s="143"/>
      <c r="AL100" s="907" t="str">
        <f t="shared" si="12"/>
        <v/>
      </c>
      <c r="AM100" s="859">
        <f t="shared" si="13"/>
        <v>0</v>
      </c>
      <c r="AN100" s="859">
        <f t="shared" si="14"/>
        <v>0</v>
      </c>
      <c r="AP100" s="886"/>
      <c r="AQ100" s="886"/>
      <c r="AV100" s="143"/>
      <c r="AW100" s="143"/>
      <c r="AX100" s="886"/>
      <c r="AY100" s="886"/>
      <c r="AZ100" s="886"/>
    </row>
    <row r="101" spans="2:52">
      <c r="B101" s="911" t="str">
        <f>前年度登録!AE98</f>
        <v/>
      </c>
      <c r="E101" s="912">
        <f>前年度登録!T98</f>
        <v>0</v>
      </c>
      <c r="F101" s="661" t="str">
        <f>前年度登録!DB98</f>
        <v/>
      </c>
      <c r="G101" s="1131" t="str">
        <f>前年度登録!AO98</f>
        <v/>
      </c>
      <c r="H101" s="661" t="str">
        <f>前年度登録!DB98</f>
        <v/>
      </c>
      <c r="I101" s="187" t="str">
        <f>前年度登録!AN98</f>
        <v/>
      </c>
      <c r="J101" s="1088" t="str">
        <f>前年度登録!DC98</f>
        <v/>
      </c>
      <c r="K101" s="1032">
        <f>前年度登録!DE98</f>
        <v>0</v>
      </c>
      <c r="L101" s="1033" t="str">
        <f>前年度登録!DJ98</f>
        <v>00</v>
      </c>
      <c r="M101" s="911" t="str">
        <f>前年度登録!AF98</f>
        <v/>
      </c>
      <c r="N101" s="1240">
        <f>前年度登録!S98</f>
        <v>0</v>
      </c>
      <c r="O101" s="338"/>
      <c r="P101" s="292" t="str">
        <f t="shared" si="15"/>
        <v/>
      </c>
      <c r="Q101" s="1282" t="str">
        <f>IF(O101="","",HLOOKUP(O101,前年度登録!$AW$3:$CW$118,96,FALSE))</f>
        <v/>
      </c>
      <c r="R101" s="1282" t="str">
        <f t="shared" si="16"/>
        <v/>
      </c>
      <c r="S101" s="1282" t="str">
        <f t="shared" si="17"/>
        <v/>
      </c>
      <c r="T101" s="368"/>
      <c r="U101" s="292" t="str">
        <f t="shared" si="18"/>
        <v/>
      </c>
      <c r="V101" s="669" t="str">
        <f>IF(T101="","",HLOOKUP(T101,前年度登録!$AW$3:$CW$118,96,FALSE))</f>
        <v/>
      </c>
      <c r="W101" s="769" t="str">
        <f t="shared" si="19"/>
        <v/>
      </c>
      <c r="X101" s="774" t="str">
        <f t="shared" si="20"/>
        <v/>
      </c>
      <c r="Y101" s="160"/>
      <c r="Z101" s="165"/>
      <c r="AA101" s="163"/>
      <c r="AB101" s="166"/>
      <c r="AC101" s="167"/>
      <c r="AD101" s="159"/>
      <c r="AE101" s="160"/>
      <c r="AF101" s="161"/>
      <c r="AG101" s="164"/>
      <c r="AH101" s="802"/>
      <c r="AI101" s="802"/>
      <c r="AK101" s="143"/>
      <c r="AL101" s="907" t="str">
        <f t="shared" si="12"/>
        <v/>
      </c>
      <c r="AM101" s="859">
        <f t="shared" si="13"/>
        <v>0</v>
      </c>
      <c r="AN101" s="859">
        <f t="shared" si="14"/>
        <v>0</v>
      </c>
      <c r="AP101" s="886"/>
      <c r="AQ101" s="886"/>
      <c r="AV101" s="143"/>
      <c r="AW101" s="143"/>
      <c r="AX101" s="886"/>
      <c r="AY101" s="886"/>
      <c r="AZ101" s="886"/>
    </row>
    <row r="102" spans="2:52">
      <c r="B102" s="911" t="str">
        <f>前年度登録!AE99</f>
        <v/>
      </c>
      <c r="E102" s="912">
        <f>前年度登録!T99</f>
        <v>0</v>
      </c>
      <c r="F102" s="661" t="str">
        <f>前年度登録!DB99</f>
        <v/>
      </c>
      <c r="G102" s="1131" t="str">
        <f>前年度登録!AO99</f>
        <v/>
      </c>
      <c r="H102" s="661" t="str">
        <f>前年度登録!DB99</f>
        <v/>
      </c>
      <c r="I102" s="187" t="str">
        <f>前年度登録!AN99</f>
        <v/>
      </c>
      <c r="J102" s="1088" t="str">
        <f>前年度登録!DC99</f>
        <v/>
      </c>
      <c r="K102" s="1032">
        <f>前年度登録!DE99</f>
        <v>0</v>
      </c>
      <c r="L102" s="1033" t="str">
        <f>前年度登録!DJ99</f>
        <v>00</v>
      </c>
      <c r="M102" s="911" t="str">
        <f>前年度登録!AF99</f>
        <v/>
      </c>
      <c r="N102" s="1240">
        <f>前年度登録!S99</f>
        <v>0</v>
      </c>
      <c r="O102" s="338"/>
      <c r="P102" s="292" t="str">
        <f t="shared" si="15"/>
        <v/>
      </c>
      <c r="Q102" s="1282" t="str">
        <f>IF(O102="","",HLOOKUP(O102,前年度登録!$AW$3:$CW$118,97,FALSE))</f>
        <v/>
      </c>
      <c r="R102" s="1282" t="str">
        <f t="shared" si="16"/>
        <v/>
      </c>
      <c r="S102" s="1282" t="str">
        <f t="shared" si="17"/>
        <v/>
      </c>
      <c r="T102" s="368"/>
      <c r="U102" s="292" t="str">
        <f t="shared" si="18"/>
        <v/>
      </c>
      <c r="V102" s="669" t="str">
        <f>IF(T102="","",HLOOKUP(T102,前年度登録!$AW$3:$CW$118,97,FALSE))</f>
        <v/>
      </c>
      <c r="W102" s="769" t="str">
        <f t="shared" si="19"/>
        <v/>
      </c>
      <c r="X102" s="774" t="str">
        <f t="shared" si="20"/>
        <v/>
      </c>
      <c r="Y102" s="160"/>
      <c r="Z102" s="165"/>
      <c r="AA102" s="163"/>
      <c r="AB102" s="166"/>
      <c r="AC102" s="167"/>
      <c r="AD102" s="159"/>
      <c r="AE102" s="160"/>
      <c r="AF102" s="161"/>
      <c r="AG102" s="164"/>
      <c r="AH102" s="802"/>
      <c r="AI102" s="802"/>
      <c r="AK102" s="143"/>
      <c r="AL102" s="907" t="str">
        <f t="shared" si="12"/>
        <v/>
      </c>
      <c r="AM102" s="859">
        <f t="shared" si="13"/>
        <v>0</v>
      </c>
      <c r="AN102" s="859">
        <f t="shared" si="14"/>
        <v>0</v>
      </c>
      <c r="AP102" s="886"/>
      <c r="AQ102" s="886"/>
      <c r="AV102" s="143"/>
      <c r="AW102" s="143"/>
      <c r="AX102" s="886"/>
      <c r="AY102" s="886"/>
      <c r="AZ102" s="886"/>
    </row>
    <row r="103" spans="2:52">
      <c r="B103" s="911" t="str">
        <f>前年度登録!AE100</f>
        <v/>
      </c>
      <c r="E103" s="912">
        <f>前年度登録!T100</f>
        <v>0</v>
      </c>
      <c r="F103" s="661" t="str">
        <f>前年度登録!DB100</f>
        <v/>
      </c>
      <c r="G103" s="1131" t="str">
        <f>前年度登録!AO100</f>
        <v/>
      </c>
      <c r="H103" s="661" t="str">
        <f>前年度登録!DB100</f>
        <v/>
      </c>
      <c r="I103" s="187" t="str">
        <f>前年度登録!AN100</f>
        <v/>
      </c>
      <c r="J103" s="1088" t="str">
        <f>前年度登録!DC100</f>
        <v/>
      </c>
      <c r="K103" s="1032">
        <f>前年度登録!DE100</f>
        <v>0</v>
      </c>
      <c r="L103" s="1033" t="str">
        <f>前年度登録!DJ100</f>
        <v>00</v>
      </c>
      <c r="M103" s="911" t="str">
        <f>前年度登録!AF100</f>
        <v/>
      </c>
      <c r="N103" s="1240">
        <f>前年度登録!S100</f>
        <v>0</v>
      </c>
      <c r="O103" s="338"/>
      <c r="P103" s="292" t="str">
        <f t="shared" si="15"/>
        <v/>
      </c>
      <c r="Q103" s="1282" t="str">
        <f>IF(O103="","",HLOOKUP(O103,前年度登録!$AW$3:$CW$118,98,FALSE))</f>
        <v/>
      </c>
      <c r="R103" s="1282" t="str">
        <f t="shared" si="16"/>
        <v/>
      </c>
      <c r="S103" s="1282" t="str">
        <f t="shared" si="17"/>
        <v/>
      </c>
      <c r="T103" s="368"/>
      <c r="U103" s="292" t="str">
        <f t="shared" si="18"/>
        <v/>
      </c>
      <c r="V103" s="669" t="str">
        <f>IF(T103="","",HLOOKUP(T103,前年度登録!$AW$3:$CW$118,98,FALSE))</f>
        <v/>
      </c>
      <c r="W103" s="769" t="str">
        <f t="shared" si="19"/>
        <v/>
      </c>
      <c r="X103" s="774" t="str">
        <f t="shared" si="20"/>
        <v/>
      </c>
      <c r="Y103" s="160"/>
      <c r="Z103" s="165"/>
      <c r="AA103" s="163"/>
      <c r="AB103" s="166"/>
      <c r="AC103" s="167"/>
      <c r="AD103" s="159"/>
      <c r="AE103" s="160"/>
      <c r="AF103" s="161"/>
      <c r="AG103" s="164"/>
      <c r="AH103" s="802"/>
      <c r="AI103" s="802"/>
      <c r="AK103" s="143"/>
      <c r="AL103" s="907" t="str">
        <f t="shared" ref="AL103:AL116" si="21">IF(O103="","",1)</f>
        <v/>
      </c>
      <c r="AM103" s="859">
        <f t="shared" ref="AM103:AM116" si="22">IF(OR(AL103=1,T103=""),0,1)</f>
        <v>0</v>
      </c>
      <c r="AN103" s="859">
        <f t="shared" ref="AN103:AN116" si="23">IF(OR(AL103=1,AM103=1,AB103=""),0,1)</f>
        <v>0</v>
      </c>
      <c r="AP103" s="886"/>
      <c r="AQ103" s="886"/>
      <c r="AV103" s="143"/>
      <c r="AW103" s="143"/>
      <c r="AX103" s="886"/>
      <c r="AY103" s="886"/>
      <c r="AZ103" s="886"/>
    </row>
    <row r="104" spans="2:52">
      <c r="B104" s="911" t="str">
        <f>前年度登録!AE101</f>
        <v/>
      </c>
      <c r="E104" s="912">
        <f>前年度登録!T101</f>
        <v>0</v>
      </c>
      <c r="F104" s="661" t="str">
        <f>前年度登録!DB101</f>
        <v/>
      </c>
      <c r="G104" s="1131" t="str">
        <f>前年度登録!AO101</f>
        <v/>
      </c>
      <c r="H104" s="661" t="str">
        <f>前年度登録!DB101</f>
        <v/>
      </c>
      <c r="I104" s="187" t="str">
        <f>前年度登録!AN101</f>
        <v/>
      </c>
      <c r="J104" s="1088" t="str">
        <f>前年度登録!DC101</f>
        <v/>
      </c>
      <c r="K104" s="1032">
        <f>前年度登録!DE101</f>
        <v>0</v>
      </c>
      <c r="L104" s="1033" t="str">
        <f>前年度登録!DJ101</f>
        <v>00</v>
      </c>
      <c r="M104" s="911" t="str">
        <f>前年度登録!AF101</f>
        <v/>
      </c>
      <c r="N104" s="1240">
        <f>前年度登録!S101</f>
        <v>0</v>
      </c>
      <c r="O104" s="338"/>
      <c r="P104" s="292" t="str">
        <f t="shared" si="15"/>
        <v/>
      </c>
      <c r="Q104" s="1282" t="str">
        <f>IF(O104="","",HLOOKUP(O104,前年度登録!$AW$3:$CW$118,99,FALSE))</f>
        <v/>
      </c>
      <c r="R104" s="1282" t="str">
        <f t="shared" si="16"/>
        <v/>
      </c>
      <c r="S104" s="1282" t="str">
        <f t="shared" si="17"/>
        <v/>
      </c>
      <c r="T104" s="368"/>
      <c r="U104" s="292" t="str">
        <f t="shared" si="18"/>
        <v/>
      </c>
      <c r="V104" s="669" t="str">
        <f>IF(T104="","",HLOOKUP(T104,前年度登録!$AW$3:$CW$118,99,FALSE))</f>
        <v/>
      </c>
      <c r="W104" s="769" t="str">
        <f t="shared" si="19"/>
        <v/>
      </c>
      <c r="X104" s="774" t="str">
        <f t="shared" si="20"/>
        <v/>
      </c>
      <c r="Y104" s="160"/>
      <c r="Z104" s="165"/>
      <c r="AA104" s="163"/>
      <c r="AB104" s="166"/>
      <c r="AC104" s="167"/>
      <c r="AD104" s="159"/>
      <c r="AE104" s="160"/>
      <c r="AF104" s="161"/>
      <c r="AG104" s="164"/>
      <c r="AH104" s="802"/>
      <c r="AI104" s="802"/>
      <c r="AK104" s="143"/>
      <c r="AL104" s="907" t="str">
        <f t="shared" si="21"/>
        <v/>
      </c>
      <c r="AM104" s="859">
        <f t="shared" si="22"/>
        <v>0</v>
      </c>
      <c r="AN104" s="859">
        <f t="shared" si="23"/>
        <v>0</v>
      </c>
      <c r="AP104" s="886"/>
      <c r="AQ104" s="886"/>
      <c r="AV104" s="143"/>
      <c r="AW104" s="143"/>
      <c r="AX104" s="886"/>
      <c r="AY104" s="886"/>
      <c r="AZ104" s="886"/>
    </row>
    <row r="105" spans="2:52">
      <c r="B105" s="911" t="str">
        <f>前年度登録!AE102</f>
        <v/>
      </c>
      <c r="E105" s="912">
        <f>前年度登録!T102</f>
        <v>0</v>
      </c>
      <c r="F105" s="661" t="str">
        <f>前年度登録!DB102</f>
        <v/>
      </c>
      <c r="G105" s="1131" t="str">
        <f>前年度登録!AO102</f>
        <v/>
      </c>
      <c r="H105" s="661" t="str">
        <f>前年度登録!DB102</f>
        <v/>
      </c>
      <c r="I105" s="187" t="str">
        <f>前年度登録!AN102</f>
        <v/>
      </c>
      <c r="J105" s="1088" t="str">
        <f>前年度登録!DC102</f>
        <v/>
      </c>
      <c r="K105" s="1032">
        <f>前年度登録!DE102</f>
        <v>0</v>
      </c>
      <c r="L105" s="1033" t="str">
        <f>前年度登録!DJ102</f>
        <v>00</v>
      </c>
      <c r="M105" s="911" t="str">
        <f>前年度登録!AF102</f>
        <v/>
      </c>
      <c r="N105" s="1240">
        <f>前年度登録!S102</f>
        <v>0</v>
      </c>
      <c r="O105" s="338"/>
      <c r="P105" s="292" t="str">
        <f t="shared" si="15"/>
        <v/>
      </c>
      <c r="Q105" s="1282" t="str">
        <f>IF(O105="","",HLOOKUP(O105,前年度登録!$AW$3:$CW$118,100,FALSE))</f>
        <v/>
      </c>
      <c r="R105" s="1282" t="str">
        <f t="shared" si="16"/>
        <v/>
      </c>
      <c r="S105" s="1282" t="str">
        <f t="shared" si="17"/>
        <v/>
      </c>
      <c r="T105" s="368"/>
      <c r="U105" s="292" t="str">
        <f t="shared" si="18"/>
        <v/>
      </c>
      <c r="V105" s="669" t="str">
        <f>IF(T105="","",HLOOKUP(T105,前年度登録!$AW$3:$CW$118,100,FALSE))</f>
        <v/>
      </c>
      <c r="W105" s="769" t="str">
        <f t="shared" si="19"/>
        <v/>
      </c>
      <c r="X105" s="774" t="str">
        <f t="shared" si="20"/>
        <v/>
      </c>
      <c r="Y105" s="160"/>
      <c r="Z105" s="165"/>
      <c r="AA105" s="163"/>
      <c r="AB105" s="166"/>
      <c r="AC105" s="167"/>
      <c r="AD105" s="159"/>
      <c r="AE105" s="160"/>
      <c r="AF105" s="161"/>
      <c r="AG105" s="164"/>
      <c r="AH105" s="802"/>
      <c r="AI105" s="802"/>
      <c r="AK105" s="143"/>
      <c r="AL105" s="907" t="str">
        <f t="shared" si="21"/>
        <v/>
      </c>
      <c r="AM105" s="859">
        <f t="shared" si="22"/>
        <v>0</v>
      </c>
      <c r="AN105" s="859">
        <f t="shared" si="23"/>
        <v>0</v>
      </c>
      <c r="AP105" s="886"/>
      <c r="AQ105" s="886"/>
      <c r="AV105" s="143"/>
      <c r="AW105" s="143"/>
      <c r="AX105" s="886"/>
      <c r="AY105" s="886"/>
      <c r="AZ105" s="886"/>
    </row>
    <row r="106" spans="2:52">
      <c r="B106" s="911" t="str">
        <f>前年度登録!AE103</f>
        <v/>
      </c>
      <c r="E106" s="912">
        <f>前年度登録!T103</f>
        <v>0</v>
      </c>
      <c r="F106" s="661" t="str">
        <f>前年度登録!DB103</f>
        <v/>
      </c>
      <c r="G106" s="1131" t="str">
        <f>前年度登録!AO103</f>
        <v/>
      </c>
      <c r="H106" s="661" t="str">
        <f>前年度登録!DB103</f>
        <v/>
      </c>
      <c r="I106" s="187" t="str">
        <f>前年度登録!AN103</f>
        <v/>
      </c>
      <c r="J106" s="1088" t="str">
        <f>前年度登録!DC103</f>
        <v/>
      </c>
      <c r="K106" s="1032">
        <f>前年度登録!DE103</f>
        <v>0</v>
      </c>
      <c r="L106" s="1033" t="str">
        <f>前年度登録!DJ103</f>
        <v>00</v>
      </c>
      <c r="M106" s="911" t="str">
        <f>前年度登録!AF103</f>
        <v/>
      </c>
      <c r="N106" s="1240">
        <f>前年度登録!S103</f>
        <v>0</v>
      </c>
      <c r="O106" s="338"/>
      <c r="P106" s="292" t="str">
        <f t="shared" si="15"/>
        <v/>
      </c>
      <c r="Q106" s="1282" t="str">
        <f>IF(O106="","",HLOOKUP(O106,前年度登録!$AW$3:$CW$118,101,FALSE))</f>
        <v/>
      </c>
      <c r="R106" s="1282" t="str">
        <f t="shared" si="16"/>
        <v/>
      </c>
      <c r="S106" s="1282" t="str">
        <f t="shared" si="17"/>
        <v/>
      </c>
      <c r="T106" s="368"/>
      <c r="U106" s="292" t="str">
        <f t="shared" si="18"/>
        <v/>
      </c>
      <c r="V106" s="669" t="str">
        <f>IF(T106="","",HLOOKUP(T106,前年度登録!$AW$3:$CW$118,101,FALSE))</f>
        <v/>
      </c>
      <c r="W106" s="769" t="str">
        <f t="shared" si="19"/>
        <v/>
      </c>
      <c r="X106" s="774" t="str">
        <f t="shared" si="20"/>
        <v/>
      </c>
      <c r="Y106" s="160"/>
      <c r="Z106" s="165"/>
      <c r="AA106" s="163"/>
      <c r="AB106" s="166"/>
      <c r="AC106" s="167"/>
      <c r="AD106" s="159"/>
      <c r="AE106" s="160"/>
      <c r="AF106" s="161"/>
      <c r="AG106" s="164"/>
      <c r="AH106" s="802"/>
      <c r="AI106" s="802"/>
      <c r="AK106" s="143"/>
      <c r="AL106" s="907" t="str">
        <f t="shared" si="21"/>
        <v/>
      </c>
      <c r="AM106" s="859">
        <f t="shared" si="22"/>
        <v>0</v>
      </c>
      <c r="AN106" s="859">
        <f t="shared" si="23"/>
        <v>0</v>
      </c>
      <c r="AP106" s="886"/>
      <c r="AQ106" s="886"/>
      <c r="AV106" s="143"/>
      <c r="AW106" s="143"/>
      <c r="AX106" s="886"/>
      <c r="AY106" s="886"/>
      <c r="AZ106" s="886"/>
    </row>
    <row r="107" spans="2:52">
      <c r="B107" s="911" t="str">
        <f>前年度登録!AE104</f>
        <v/>
      </c>
      <c r="E107" s="912">
        <f>前年度登録!T104</f>
        <v>0</v>
      </c>
      <c r="F107" s="661" t="str">
        <f>前年度登録!DB104</f>
        <v/>
      </c>
      <c r="G107" s="1131" t="str">
        <f>前年度登録!AO104</f>
        <v/>
      </c>
      <c r="H107" s="661" t="str">
        <f>前年度登録!DB104</f>
        <v/>
      </c>
      <c r="I107" s="187" t="str">
        <f>前年度登録!AN104</f>
        <v/>
      </c>
      <c r="J107" s="1088" t="str">
        <f>前年度登録!DC104</f>
        <v/>
      </c>
      <c r="K107" s="1032">
        <f>前年度登録!DE104</f>
        <v>0</v>
      </c>
      <c r="L107" s="1033" t="str">
        <f>前年度登録!DJ104</f>
        <v>00</v>
      </c>
      <c r="M107" s="911" t="str">
        <f>前年度登録!AF104</f>
        <v/>
      </c>
      <c r="N107" s="1240">
        <f>前年度登録!S104</f>
        <v>0</v>
      </c>
      <c r="O107" s="338"/>
      <c r="P107" s="292" t="str">
        <f t="shared" si="15"/>
        <v/>
      </c>
      <c r="Q107" s="1282" t="str">
        <f>IF(O107="","",HLOOKUP(O107,前年度登録!$AW$3:$CW$118,102,FALSE))</f>
        <v/>
      </c>
      <c r="R107" s="1282" t="str">
        <f t="shared" si="16"/>
        <v/>
      </c>
      <c r="S107" s="1282" t="str">
        <f t="shared" si="17"/>
        <v/>
      </c>
      <c r="T107" s="368"/>
      <c r="U107" s="292" t="str">
        <f t="shared" si="18"/>
        <v/>
      </c>
      <c r="V107" s="669" t="str">
        <f>IF(T107="","",HLOOKUP(T107,前年度登録!$AW$3:$CW$118,102,FALSE))</f>
        <v/>
      </c>
      <c r="W107" s="769" t="str">
        <f t="shared" si="19"/>
        <v/>
      </c>
      <c r="X107" s="774" t="str">
        <f t="shared" si="20"/>
        <v/>
      </c>
      <c r="Y107" s="160"/>
      <c r="Z107" s="165"/>
      <c r="AA107" s="163"/>
      <c r="AB107" s="166"/>
      <c r="AC107" s="167"/>
      <c r="AD107" s="159"/>
      <c r="AE107" s="160"/>
      <c r="AF107" s="161"/>
      <c r="AG107" s="164"/>
      <c r="AH107" s="802"/>
      <c r="AI107" s="802"/>
      <c r="AK107" s="143"/>
      <c r="AL107" s="907" t="str">
        <f t="shared" si="21"/>
        <v/>
      </c>
      <c r="AM107" s="859">
        <f t="shared" si="22"/>
        <v>0</v>
      </c>
      <c r="AN107" s="859">
        <f t="shared" si="23"/>
        <v>0</v>
      </c>
      <c r="AP107" s="886"/>
      <c r="AQ107" s="886"/>
      <c r="AV107" s="143"/>
      <c r="AW107" s="143"/>
      <c r="AX107" s="886"/>
      <c r="AY107" s="886"/>
      <c r="AZ107" s="886"/>
    </row>
    <row r="108" spans="2:52">
      <c r="B108" s="911" t="str">
        <f>前年度登録!AE105</f>
        <v/>
      </c>
      <c r="E108" s="912">
        <f>前年度登録!T105</f>
        <v>0</v>
      </c>
      <c r="F108" s="661" t="str">
        <f>前年度登録!DB105</f>
        <v/>
      </c>
      <c r="G108" s="1131" t="str">
        <f>前年度登録!AO105</f>
        <v/>
      </c>
      <c r="H108" s="661" t="str">
        <f>前年度登録!DB105</f>
        <v/>
      </c>
      <c r="I108" s="187" t="str">
        <f>前年度登録!AN105</f>
        <v/>
      </c>
      <c r="J108" s="1088" t="str">
        <f>前年度登録!DC105</f>
        <v/>
      </c>
      <c r="K108" s="1032">
        <f>前年度登録!DE105</f>
        <v>0</v>
      </c>
      <c r="L108" s="1033" t="str">
        <f>前年度登録!DJ105</f>
        <v>00</v>
      </c>
      <c r="M108" s="911" t="str">
        <f>前年度登録!AF105</f>
        <v/>
      </c>
      <c r="N108" s="1240">
        <f>前年度登録!S105</f>
        <v>0</v>
      </c>
      <c r="O108" s="338"/>
      <c r="P108" s="292" t="str">
        <f t="shared" si="15"/>
        <v/>
      </c>
      <c r="Q108" s="1282" t="str">
        <f>IF(O108="","",HLOOKUP(O108,前年度登録!$AW$3:$CW$118,103,FALSE))</f>
        <v/>
      </c>
      <c r="R108" s="1282" t="str">
        <f t="shared" si="16"/>
        <v/>
      </c>
      <c r="S108" s="1282" t="str">
        <f t="shared" si="17"/>
        <v/>
      </c>
      <c r="T108" s="368"/>
      <c r="U108" s="292" t="str">
        <f t="shared" si="18"/>
        <v/>
      </c>
      <c r="V108" s="669" t="str">
        <f>IF(T108="","",HLOOKUP(T108,前年度登録!$AW$3:$CW$118,103,FALSE))</f>
        <v/>
      </c>
      <c r="W108" s="769" t="str">
        <f t="shared" si="19"/>
        <v/>
      </c>
      <c r="X108" s="774" t="str">
        <f t="shared" si="20"/>
        <v/>
      </c>
      <c r="Y108" s="160"/>
      <c r="Z108" s="165"/>
      <c r="AA108" s="163"/>
      <c r="AB108" s="166"/>
      <c r="AC108" s="167"/>
      <c r="AD108" s="159"/>
      <c r="AE108" s="160"/>
      <c r="AF108" s="161"/>
      <c r="AG108" s="164"/>
      <c r="AH108" s="802"/>
      <c r="AI108" s="802"/>
      <c r="AK108" s="143"/>
      <c r="AL108" s="907" t="str">
        <f t="shared" si="21"/>
        <v/>
      </c>
      <c r="AM108" s="859">
        <f t="shared" si="22"/>
        <v>0</v>
      </c>
      <c r="AN108" s="859">
        <f t="shared" si="23"/>
        <v>0</v>
      </c>
      <c r="AP108" s="886"/>
      <c r="AQ108" s="886"/>
      <c r="AV108" s="143"/>
      <c r="AW108" s="143"/>
      <c r="AX108" s="886"/>
      <c r="AY108" s="886"/>
      <c r="AZ108" s="886"/>
    </row>
    <row r="109" spans="2:52">
      <c r="B109" s="911" t="str">
        <f>前年度登録!AE106</f>
        <v/>
      </c>
      <c r="E109" s="912">
        <f>前年度登録!T106</f>
        <v>0</v>
      </c>
      <c r="F109" s="661" t="str">
        <f>前年度登録!DB106</f>
        <v/>
      </c>
      <c r="G109" s="1131" t="str">
        <f>前年度登録!AO106</f>
        <v/>
      </c>
      <c r="H109" s="661" t="str">
        <f>前年度登録!DB106</f>
        <v/>
      </c>
      <c r="I109" s="187" t="str">
        <f>前年度登録!AN106</f>
        <v/>
      </c>
      <c r="J109" s="1088" t="str">
        <f>前年度登録!DC106</f>
        <v/>
      </c>
      <c r="K109" s="1032">
        <f>前年度登録!DE106</f>
        <v>0</v>
      </c>
      <c r="L109" s="1033" t="str">
        <f>前年度登録!DJ106</f>
        <v>00</v>
      </c>
      <c r="M109" s="911" t="str">
        <f>前年度登録!AF106</f>
        <v/>
      </c>
      <c r="N109" s="1240">
        <f>前年度登録!S106</f>
        <v>0</v>
      </c>
      <c r="O109" s="338"/>
      <c r="P109" s="292" t="str">
        <f t="shared" si="15"/>
        <v/>
      </c>
      <c r="Q109" s="1282" t="str">
        <f>IF(O109="","",HLOOKUP(O109,前年度登録!$AW$3:$CW$118,104,FALSE))</f>
        <v/>
      </c>
      <c r="R109" s="1282" t="str">
        <f t="shared" si="16"/>
        <v/>
      </c>
      <c r="S109" s="1282" t="str">
        <f t="shared" si="17"/>
        <v/>
      </c>
      <c r="T109" s="368"/>
      <c r="U109" s="292" t="str">
        <f t="shared" si="18"/>
        <v/>
      </c>
      <c r="V109" s="669" t="str">
        <f>IF(T109="","",HLOOKUP(T109,前年度登録!$AW$3:$CW$118,104,FALSE))</f>
        <v/>
      </c>
      <c r="W109" s="769" t="str">
        <f t="shared" si="19"/>
        <v/>
      </c>
      <c r="X109" s="774" t="str">
        <f t="shared" si="20"/>
        <v/>
      </c>
      <c r="Y109" s="160"/>
      <c r="Z109" s="165"/>
      <c r="AA109" s="163"/>
      <c r="AB109" s="166"/>
      <c r="AC109" s="167"/>
      <c r="AD109" s="159"/>
      <c r="AE109" s="160"/>
      <c r="AF109" s="161"/>
      <c r="AG109" s="164"/>
      <c r="AH109" s="802"/>
      <c r="AI109" s="802"/>
      <c r="AK109" s="143"/>
      <c r="AL109" s="907" t="str">
        <f t="shared" si="21"/>
        <v/>
      </c>
      <c r="AM109" s="859">
        <f t="shared" si="22"/>
        <v>0</v>
      </c>
      <c r="AN109" s="859">
        <f t="shared" si="23"/>
        <v>0</v>
      </c>
      <c r="AP109" s="886"/>
      <c r="AQ109" s="886"/>
      <c r="AV109" s="143"/>
      <c r="AW109" s="143"/>
      <c r="AX109" s="886"/>
      <c r="AY109" s="886"/>
      <c r="AZ109" s="886"/>
    </row>
    <row r="110" spans="2:52">
      <c r="B110" s="911" t="str">
        <f>前年度登録!AE107</f>
        <v/>
      </c>
      <c r="E110" s="912">
        <f>前年度登録!T107</f>
        <v>0</v>
      </c>
      <c r="F110" s="661" t="str">
        <f>前年度登録!DB107</f>
        <v/>
      </c>
      <c r="G110" s="1131" t="str">
        <f>前年度登録!AO107</f>
        <v/>
      </c>
      <c r="H110" s="661" t="str">
        <f>前年度登録!DB107</f>
        <v/>
      </c>
      <c r="I110" s="187" t="str">
        <f>前年度登録!AN107</f>
        <v/>
      </c>
      <c r="J110" s="1088" t="str">
        <f>前年度登録!DC107</f>
        <v/>
      </c>
      <c r="K110" s="1032">
        <f>前年度登録!DE107</f>
        <v>0</v>
      </c>
      <c r="L110" s="1033" t="str">
        <f>前年度登録!DJ107</f>
        <v>00</v>
      </c>
      <c r="M110" s="911" t="str">
        <f>前年度登録!AF107</f>
        <v/>
      </c>
      <c r="N110" s="1240">
        <f>前年度登録!S107</f>
        <v>0</v>
      </c>
      <c r="O110" s="338"/>
      <c r="P110" s="292" t="str">
        <f t="shared" si="15"/>
        <v/>
      </c>
      <c r="Q110" s="1282" t="str">
        <f>IF(O110="","",HLOOKUP(O110,前年度登録!$AW$3:$CW$118,105,FALSE))</f>
        <v/>
      </c>
      <c r="R110" s="1282" t="str">
        <f t="shared" si="16"/>
        <v/>
      </c>
      <c r="S110" s="1282" t="str">
        <f t="shared" si="17"/>
        <v/>
      </c>
      <c r="T110" s="368"/>
      <c r="U110" s="292" t="str">
        <f t="shared" si="18"/>
        <v/>
      </c>
      <c r="V110" s="669" t="str">
        <f>IF(T110="","",HLOOKUP(T110,前年度登録!$AW$3:$CW$118,105,FALSE))</f>
        <v/>
      </c>
      <c r="W110" s="769" t="str">
        <f t="shared" si="19"/>
        <v/>
      </c>
      <c r="X110" s="774" t="str">
        <f t="shared" si="20"/>
        <v/>
      </c>
      <c r="Y110" s="160"/>
      <c r="Z110" s="165"/>
      <c r="AA110" s="163"/>
      <c r="AB110" s="166"/>
      <c r="AC110" s="167"/>
      <c r="AD110" s="159"/>
      <c r="AE110" s="160"/>
      <c r="AF110" s="161"/>
      <c r="AG110" s="164"/>
      <c r="AH110" s="802"/>
      <c r="AI110" s="802"/>
      <c r="AK110" s="143"/>
      <c r="AL110" s="907" t="str">
        <f t="shared" si="21"/>
        <v/>
      </c>
      <c r="AM110" s="859">
        <f t="shared" si="22"/>
        <v>0</v>
      </c>
      <c r="AN110" s="859">
        <f t="shared" si="23"/>
        <v>0</v>
      </c>
      <c r="AP110" s="886"/>
      <c r="AQ110" s="886"/>
      <c r="AV110" s="143"/>
      <c r="AW110" s="143"/>
      <c r="AX110" s="886"/>
      <c r="AY110" s="886"/>
      <c r="AZ110" s="886"/>
    </row>
    <row r="111" spans="2:52">
      <c r="B111" s="911" t="str">
        <f>前年度登録!AE108</f>
        <v/>
      </c>
      <c r="E111" s="912">
        <f>前年度登録!T108</f>
        <v>0</v>
      </c>
      <c r="F111" s="661" t="str">
        <f>前年度登録!DB108</f>
        <v/>
      </c>
      <c r="G111" s="1131" t="str">
        <f>前年度登録!AO108</f>
        <v/>
      </c>
      <c r="H111" s="661" t="str">
        <f>前年度登録!DB108</f>
        <v/>
      </c>
      <c r="I111" s="187" t="str">
        <f>前年度登録!AN108</f>
        <v/>
      </c>
      <c r="J111" s="1088" t="str">
        <f>前年度登録!DC108</f>
        <v/>
      </c>
      <c r="K111" s="1032">
        <f>前年度登録!DE108</f>
        <v>0</v>
      </c>
      <c r="L111" s="1033" t="str">
        <f>前年度登録!DJ108</f>
        <v>00</v>
      </c>
      <c r="M111" s="911" t="str">
        <f>前年度登録!AF108</f>
        <v/>
      </c>
      <c r="N111" s="1240">
        <f>前年度登録!S108</f>
        <v>0</v>
      </c>
      <c r="O111" s="338"/>
      <c r="P111" s="292" t="str">
        <f t="shared" si="15"/>
        <v/>
      </c>
      <c r="Q111" s="1282" t="str">
        <f>IF(O111="","",HLOOKUP(O111,前年度登録!$AW$3:$CW$118,106,FALSE))</f>
        <v/>
      </c>
      <c r="R111" s="1282" t="str">
        <f t="shared" si="16"/>
        <v/>
      </c>
      <c r="S111" s="1282" t="str">
        <f t="shared" si="17"/>
        <v/>
      </c>
      <c r="T111" s="368"/>
      <c r="U111" s="292" t="str">
        <f t="shared" si="18"/>
        <v/>
      </c>
      <c r="V111" s="669" t="str">
        <f>IF(T111="","",HLOOKUP(T111,前年度登録!$AW$3:$CW$118,106,FALSE))</f>
        <v/>
      </c>
      <c r="W111" s="769" t="str">
        <f t="shared" si="19"/>
        <v/>
      </c>
      <c r="X111" s="774" t="str">
        <f t="shared" si="20"/>
        <v/>
      </c>
      <c r="Y111" s="160"/>
      <c r="Z111" s="165"/>
      <c r="AA111" s="163"/>
      <c r="AB111" s="166"/>
      <c r="AC111" s="167"/>
      <c r="AD111" s="159"/>
      <c r="AE111" s="160"/>
      <c r="AF111" s="161"/>
      <c r="AG111" s="164"/>
      <c r="AH111" s="802"/>
      <c r="AI111" s="802"/>
      <c r="AK111" s="143"/>
      <c r="AL111" s="907" t="str">
        <f t="shared" si="21"/>
        <v/>
      </c>
      <c r="AM111" s="859">
        <f t="shared" si="22"/>
        <v>0</v>
      </c>
      <c r="AN111" s="859">
        <f t="shared" si="23"/>
        <v>0</v>
      </c>
      <c r="AP111" s="886"/>
      <c r="AQ111" s="886"/>
      <c r="AV111" s="143"/>
      <c r="AW111" s="143"/>
      <c r="AX111" s="886"/>
      <c r="AY111" s="886"/>
      <c r="AZ111" s="886"/>
    </row>
    <row r="112" spans="2:52">
      <c r="B112" s="911" t="str">
        <f>前年度登録!AE109</f>
        <v/>
      </c>
      <c r="E112" s="912">
        <f>前年度登録!T109</f>
        <v>0</v>
      </c>
      <c r="F112" s="661" t="str">
        <f>前年度登録!DB109</f>
        <v/>
      </c>
      <c r="G112" s="1131" t="str">
        <f>前年度登録!AO109</f>
        <v/>
      </c>
      <c r="H112" s="661" t="str">
        <f>前年度登録!DB109</f>
        <v/>
      </c>
      <c r="I112" s="187" t="str">
        <f>前年度登録!AN109</f>
        <v/>
      </c>
      <c r="J112" s="1088" t="str">
        <f>前年度登録!DC109</f>
        <v/>
      </c>
      <c r="K112" s="1032">
        <f>前年度登録!DE109</f>
        <v>0</v>
      </c>
      <c r="L112" s="1033" t="str">
        <f>前年度登録!DJ109</f>
        <v>00</v>
      </c>
      <c r="M112" s="911" t="str">
        <f>前年度登録!AF109</f>
        <v/>
      </c>
      <c r="N112" s="1240">
        <f>前年度登録!S109</f>
        <v>0</v>
      </c>
      <c r="O112" s="338"/>
      <c r="P112" s="292" t="str">
        <f t="shared" si="15"/>
        <v/>
      </c>
      <c r="Q112" s="1282" t="str">
        <f>IF(O112="","",HLOOKUP(O112,前年度登録!$AW$3:$CW$118,107,FALSE))</f>
        <v/>
      </c>
      <c r="R112" s="1282" t="str">
        <f t="shared" si="16"/>
        <v/>
      </c>
      <c r="S112" s="1282" t="str">
        <f t="shared" si="17"/>
        <v/>
      </c>
      <c r="T112" s="368"/>
      <c r="U112" s="292" t="str">
        <f t="shared" si="18"/>
        <v/>
      </c>
      <c r="V112" s="669" t="str">
        <f>IF(T112="","",HLOOKUP(T112,前年度登録!$AW$3:$CW$118,107,FALSE))</f>
        <v/>
      </c>
      <c r="W112" s="769" t="str">
        <f t="shared" si="19"/>
        <v/>
      </c>
      <c r="X112" s="774" t="str">
        <f t="shared" si="20"/>
        <v/>
      </c>
      <c r="Y112" s="160"/>
      <c r="Z112" s="165"/>
      <c r="AA112" s="163"/>
      <c r="AB112" s="166"/>
      <c r="AC112" s="167"/>
      <c r="AD112" s="159"/>
      <c r="AE112" s="160"/>
      <c r="AF112" s="161"/>
      <c r="AG112" s="164"/>
      <c r="AH112" s="802"/>
      <c r="AI112" s="802"/>
      <c r="AK112" s="143"/>
      <c r="AL112" s="907" t="str">
        <f t="shared" si="21"/>
        <v/>
      </c>
      <c r="AM112" s="859">
        <f t="shared" si="22"/>
        <v>0</v>
      </c>
      <c r="AN112" s="859">
        <f t="shared" si="23"/>
        <v>0</v>
      </c>
      <c r="AP112" s="886"/>
      <c r="AQ112" s="886"/>
      <c r="AV112" s="143"/>
      <c r="AW112" s="143"/>
      <c r="AX112" s="886"/>
      <c r="AY112" s="886"/>
      <c r="AZ112" s="886"/>
    </row>
    <row r="113" spans="2:52">
      <c r="B113" s="911" t="str">
        <f>前年度登録!AE110</f>
        <v/>
      </c>
      <c r="E113" s="912">
        <f>前年度登録!T110</f>
        <v>0</v>
      </c>
      <c r="F113" s="661" t="str">
        <f>前年度登録!DB110</f>
        <v/>
      </c>
      <c r="G113" s="1131" t="str">
        <f>前年度登録!AO110</f>
        <v/>
      </c>
      <c r="H113" s="661" t="str">
        <f>前年度登録!DB110</f>
        <v/>
      </c>
      <c r="I113" s="187" t="str">
        <f>前年度登録!AN110</f>
        <v/>
      </c>
      <c r="J113" s="1088" t="str">
        <f>前年度登録!DC110</f>
        <v/>
      </c>
      <c r="K113" s="1032">
        <f>前年度登録!DE110</f>
        <v>0</v>
      </c>
      <c r="L113" s="1033" t="str">
        <f>前年度登録!DJ110</f>
        <v>00</v>
      </c>
      <c r="M113" s="911" t="str">
        <f>前年度登録!AF110</f>
        <v/>
      </c>
      <c r="N113" s="1240">
        <f>前年度登録!S110</f>
        <v>0</v>
      </c>
      <c r="O113" s="338"/>
      <c r="P113" s="292" t="str">
        <f t="shared" si="15"/>
        <v/>
      </c>
      <c r="Q113" s="1282" t="str">
        <f>IF(O113="","",HLOOKUP(O113,前年度登録!$AW$3:$CW$118,108,FALSE))</f>
        <v/>
      </c>
      <c r="R113" s="1282" t="str">
        <f t="shared" si="16"/>
        <v/>
      </c>
      <c r="S113" s="1282" t="str">
        <f t="shared" si="17"/>
        <v/>
      </c>
      <c r="T113" s="368"/>
      <c r="U113" s="292" t="str">
        <f t="shared" si="18"/>
        <v/>
      </c>
      <c r="V113" s="669" t="str">
        <f>IF(T113="","",HLOOKUP(T113,前年度登録!$AW$3:$CW$118,108,FALSE))</f>
        <v/>
      </c>
      <c r="W113" s="769" t="str">
        <f t="shared" si="19"/>
        <v/>
      </c>
      <c r="X113" s="774" t="str">
        <f t="shared" si="20"/>
        <v/>
      </c>
      <c r="Y113" s="160"/>
      <c r="Z113" s="165"/>
      <c r="AA113" s="163"/>
      <c r="AB113" s="166"/>
      <c r="AC113" s="167"/>
      <c r="AD113" s="159"/>
      <c r="AE113" s="160"/>
      <c r="AF113" s="161"/>
      <c r="AG113" s="164"/>
      <c r="AH113" s="802"/>
      <c r="AI113" s="802"/>
      <c r="AK113" s="143"/>
      <c r="AL113" s="907" t="str">
        <f t="shared" si="21"/>
        <v/>
      </c>
      <c r="AM113" s="859">
        <f t="shared" si="22"/>
        <v>0</v>
      </c>
      <c r="AN113" s="859">
        <f t="shared" si="23"/>
        <v>0</v>
      </c>
      <c r="AP113" s="886"/>
      <c r="AQ113" s="886"/>
      <c r="AV113" s="143"/>
      <c r="AW113" s="143"/>
      <c r="AX113" s="886"/>
      <c r="AY113" s="886"/>
      <c r="AZ113" s="886"/>
    </row>
    <row r="114" spans="2:52">
      <c r="B114" s="911" t="str">
        <f>前年度登録!AE111</f>
        <v/>
      </c>
      <c r="E114" s="912">
        <f>前年度登録!T111</f>
        <v>0</v>
      </c>
      <c r="F114" s="661" t="str">
        <f>前年度登録!DB111</f>
        <v/>
      </c>
      <c r="G114" s="1131" t="str">
        <f>前年度登録!AO111</f>
        <v/>
      </c>
      <c r="H114" s="661" t="str">
        <f>前年度登録!DB111</f>
        <v/>
      </c>
      <c r="I114" s="187" t="str">
        <f>前年度登録!AN111</f>
        <v/>
      </c>
      <c r="J114" s="1088" t="str">
        <f>前年度登録!DC111</f>
        <v/>
      </c>
      <c r="K114" s="1032">
        <f>前年度登録!DE111</f>
        <v>0</v>
      </c>
      <c r="L114" s="1033" t="str">
        <f>前年度登録!DJ111</f>
        <v>00</v>
      </c>
      <c r="M114" s="911" t="str">
        <f>前年度登録!AF111</f>
        <v/>
      </c>
      <c r="N114" s="1240">
        <f>前年度登録!S111</f>
        <v>0</v>
      </c>
      <c r="O114" s="338"/>
      <c r="P114" s="292" t="str">
        <f t="shared" si="15"/>
        <v/>
      </c>
      <c r="Q114" s="1282" t="str">
        <f>IF(O114="","",HLOOKUP(O114,前年度登録!$AW$3:$CW$118,109,FALSE))</f>
        <v/>
      </c>
      <c r="R114" s="1282" t="str">
        <f t="shared" si="16"/>
        <v/>
      </c>
      <c r="S114" s="1282" t="str">
        <f t="shared" si="17"/>
        <v/>
      </c>
      <c r="T114" s="368"/>
      <c r="U114" s="292" t="str">
        <f t="shared" si="18"/>
        <v/>
      </c>
      <c r="V114" s="669" t="str">
        <f>IF(T114="","",HLOOKUP(T114,前年度登録!$AW$3:$CW$118,109,FALSE))</f>
        <v/>
      </c>
      <c r="W114" s="769" t="str">
        <f t="shared" si="19"/>
        <v/>
      </c>
      <c r="X114" s="774" t="str">
        <f t="shared" si="20"/>
        <v/>
      </c>
      <c r="Y114" s="160"/>
      <c r="Z114" s="165"/>
      <c r="AA114" s="163"/>
      <c r="AB114" s="166"/>
      <c r="AC114" s="167"/>
      <c r="AD114" s="159"/>
      <c r="AE114" s="160"/>
      <c r="AF114" s="161"/>
      <c r="AG114" s="164"/>
      <c r="AH114" s="802"/>
      <c r="AI114" s="802"/>
      <c r="AK114" s="143"/>
      <c r="AL114" s="907" t="str">
        <f t="shared" si="21"/>
        <v/>
      </c>
      <c r="AM114" s="859">
        <f t="shared" si="22"/>
        <v>0</v>
      </c>
      <c r="AN114" s="859">
        <f t="shared" si="23"/>
        <v>0</v>
      </c>
      <c r="AP114" s="886"/>
      <c r="AQ114" s="886"/>
      <c r="AV114" s="143"/>
      <c r="AW114" s="143"/>
      <c r="AX114" s="886"/>
      <c r="AY114" s="886"/>
      <c r="AZ114" s="886"/>
    </row>
    <row r="115" spans="2:52">
      <c r="B115" s="911" t="str">
        <f>前年度登録!AE112</f>
        <v/>
      </c>
      <c r="E115" s="912">
        <f>前年度登録!T112</f>
        <v>0</v>
      </c>
      <c r="F115" s="661" t="str">
        <f>前年度登録!DB112</f>
        <v/>
      </c>
      <c r="G115" s="1131" t="str">
        <f>前年度登録!AO112</f>
        <v/>
      </c>
      <c r="H115" s="661" t="str">
        <f>前年度登録!DB112</f>
        <v/>
      </c>
      <c r="I115" s="187" t="str">
        <f>前年度登録!AN112</f>
        <v/>
      </c>
      <c r="J115" s="1088" t="str">
        <f>前年度登録!DC112</f>
        <v/>
      </c>
      <c r="K115" s="1032">
        <f>前年度登録!DE112</f>
        <v>0</v>
      </c>
      <c r="L115" s="1033" t="str">
        <f>前年度登録!DJ112</f>
        <v>00</v>
      </c>
      <c r="M115" s="911" t="str">
        <f>前年度登録!AF112</f>
        <v/>
      </c>
      <c r="N115" s="1240">
        <f>前年度登録!S112</f>
        <v>0</v>
      </c>
      <c r="O115" s="338"/>
      <c r="P115" s="292" t="str">
        <f t="shared" si="15"/>
        <v/>
      </c>
      <c r="Q115" s="1282" t="str">
        <f>IF(O115="","",HLOOKUP(O115,前年度登録!$AW$3:$CW$118,110,FALSE))</f>
        <v/>
      </c>
      <c r="R115" s="1282" t="str">
        <f t="shared" si="16"/>
        <v/>
      </c>
      <c r="S115" s="1282" t="str">
        <f t="shared" si="17"/>
        <v/>
      </c>
      <c r="T115" s="368"/>
      <c r="U115" s="292" t="str">
        <f t="shared" si="18"/>
        <v/>
      </c>
      <c r="V115" s="669" t="str">
        <f>IF(T115="","",HLOOKUP(T115,前年度登録!$AW$3:$CW$118,110,FALSE))</f>
        <v/>
      </c>
      <c r="W115" s="769" t="str">
        <f t="shared" si="19"/>
        <v/>
      </c>
      <c r="X115" s="774" t="str">
        <f t="shared" si="20"/>
        <v/>
      </c>
      <c r="Y115" s="160"/>
      <c r="Z115" s="165"/>
      <c r="AA115" s="163"/>
      <c r="AB115" s="166"/>
      <c r="AC115" s="167"/>
      <c r="AD115" s="159"/>
      <c r="AE115" s="160"/>
      <c r="AF115" s="161"/>
      <c r="AG115" s="164"/>
      <c r="AH115" s="802"/>
      <c r="AI115" s="802"/>
      <c r="AK115" s="143"/>
      <c r="AL115" s="907" t="str">
        <f t="shared" si="21"/>
        <v/>
      </c>
      <c r="AM115" s="859">
        <f t="shared" si="22"/>
        <v>0</v>
      </c>
      <c r="AN115" s="859">
        <f t="shared" si="23"/>
        <v>0</v>
      </c>
      <c r="AP115" s="886"/>
      <c r="AQ115" s="886"/>
      <c r="AV115" s="306"/>
      <c r="AW115" s="143"/>
      <c r="AX115" s="886"/>
      <c r="AY115" s="886"/>
      <c r="AZ115" s="886"/>
    </row>
    <row r="116" spans="2:52" ht="14.25" thickBot="1">
      <c r="B116" s="921" t="str">
        <f>前年度登録!AE113</f>
        <v/>
      </c>
      <c r="E116" s="922">
        <f>前年度登録!T113</f>
        <v>0</v>
      </c>
      <c r="F116" s="662" t="str">
        <f>前年度登録!DB113</f>
        <v/>
      </c>
      <c r="G116" s="1132" t="str">
        <f>前年度登録!AO113</f>
        <v/>
      </c>
      <c r="H116" s="662" t="str">
        <f>前年度登録!DB113</f>
        <v/>
      </c>
      <c r="I116" s="188" t="str">
        <f>前年度登録!AN113</f>
        <v/>
      </c>
      <c r="J116" s="1089" t="str">
        <f>前年度登録!DC113</f>
        <v/>
      </c>
      <c r="K116" s="1034">
        <f>前年度登録!DE113</f>
        <v>0</v>
      </c>
      <c r="L116" s="1035" t="str">
        <f>前年度登録!DJ113</f>
        <v>00</v>
      </c>
      <c r="M116" s="921" t="str">
        <f>前年度登録!AF113</f>
        <v/>
      </c>
      <c r="N116" s="1284">
        <f>前年度登録!S113</f>
        <v>0</v>
      </c>
      <c r="O116" s="340"/>
      <c r="P116" s="295" t="str">
        <f t="shared" si="15"/>
        <v/>
      </c>
      <c r="Q116" s="1283" t="str">
        <f>IF(O116="","",HLOOKUP(O116,前年度登録!$AW$3:$CW$118,111,FALSE))</f>
        <v/>
      </c>
      <c r="R116" s="1283" t="str">
        <f t="shared" si="16"/>
        <v/>
      </c>
      <c r="S116" s="1283" t="str">
        <f t="shared" si="17"/>
        <v/>
      </c>
      <c r="T116" s="369"/>
      <c r="U116" s="295" t="str">
        <f t="shared" si="18"/>
        <v/>
      </c>
      <c r="V116" s="670" t="str">
        <f>IF(T116="","",HLOOKUP(T116,前年度登録!$AW$3:$CW$118,111,FALSE))</f>
        <v/>
      </c>
      <c r="W116" s="770" t="str">
        <f t="shared" si="19"/>
        <v/>
      </c>
      <c r="X116" s="776" t="str">
        <f t="shared" si="20"/>
        <v/>
      </c>
      <c r="Y116" s="172"/>
      <c r="Z116" s="173"/>
      <c r="AA116" s="171"/>
      <c r="AB116" s="174"/>
      <c r="AC116" s="175"/>
      <c r="AD116" s="159"/>
      <c r="AE116" s="160"/>
      <c r="AF116" s="161"/>
      <c r="AG116" s="164"/>
      <c r="AH116" s="802"/>
      <c r="AI116" s="802"/>
      <c r="AK116" s="143"/>
      <c r="AL116" s="907" t="str">
        <f t="shared" si="21"/>
        <v/>
      </c>
      <c r="AM116" s="859">
        <f t="shared" si="22"/>
        <v>0</v>
      </c>
      <c r="AN116" s="859">
        <f t="shared" si="23"/>
        <v>0</v>
      </c>
      <c r="AP116" s="886"/>
      <c r="AQ116" s="886"/>
      <c r="AV116" s="306"/>
      <c r="AW116" s="306"/>
      <c r="AX116" s="886"/>
      <c r="AY116" s="886"/>
      <c r="AZ116" s="886"/>
    </row>
    <row r="117" spans="2:52">
      <c r="B117" s="886"/>
      <c r="C117" s="886"/>
      <c r="D117" s="886"/>
      <c r="E117" s="886"/>
      <c r="F117" s="886"/>
      <c r="G117" s="923"/>
      <c r="H117" s="333"/>
      <c r="I117" s="333"/>
      <c r="J117" s="800"/>
      <c r="K117" s="800"/>
      <c r="L117" s="886"/>
      <c r="M117" s="302"/>
      <c r="N117" s="334"/>
      <c r="O117" s="304"/>
      <c r="P117" s="302"/>
      <c r="Q117" s="334"/>
      <c r="R117" s="304"/>
      <c r="S117" s="302"/>
      <c r="T117" s="303"/>
      <c r="U117" s="304"/>
      <c r="V117" s="305"/>
      <c r="W117" s="303"/>
      <c r="X117" s="304"/>
      <c r="Y117" s="302"/>
      <c r="Z117" s="303"/>
      <c r="AA117" s="304"/>
      <c r="AB117" s="800"/>
      <c r="AC117" s="800"/>
      <c r="AD117" s="886"/>
      <c r="AE117" s="306"/>
      <c r="AF117" s="924">
        <f>SUM(AL7:AL116)</f>
        <v>0</v>
      </c>
      <c r="AG117" s="924">
        <f>SUM(AM7:AM116)</f>
        <v>0</v>
      </c>
      <c r="AH117" s="924">
        <f>SUM(AN7:AN116)</f>
        <v>0</v>
      </c>
      <c r="AI117" s="886"/>
      <c r="AJ117" s="886"/>
      <c r="AK117" s="886"/>
      <c r="AL117" s="886"/>
      <c r="AM117" s="886"/>
      <c r="AN117" s="886"/>
      <c r="AO117" s="886"/>
      <c r="AP117" s="306"/>
      <c r="AQ117" s="306"/>
      <c r="AR117" s="886"/>
      <c r="AS117" s="886"/>
      <c r="AT117" s="886"/>
      <c r="AU117" s="886"/>
      <c r="AV117" s="886"/>
      <c r="AW117" s="886"/>
      <c r="AX117" s="886"/>
      <c r="AY117" s="886"/>
      <c r="AZ117" s="886"/>
    </row>
    <row r="118" spans="2:52">
      <c r="B118" s="886"/>
      <c r="C118" s="886"/>
      <c r="D118" s="886"/>
      <c r="E118" s="886"/>
      <c r="F118" s="886"/>
      <c r="G118" s="923"/>
      <c r="H118" s="333"/>
      <c r="I118" s="333"/>
      <c r="J118" s="800"/>
      <c r="K118" s="800"/>
      <c r="L118" s="886"/>
      <c r="M118" s="302"/>
      <c r="N118" s="334"/>
      <c r="O118" s="304"/>
      <c r="P118" s="302"/>
      <c r="Q118" s="334"/>
      <c r="R118" s="304"/>
      <c r="S118" s="302"/>
      <c r="T118" s="303"/>
      <c r="U118" s="304"/>
      <c r="V118" s="305"/>
      <c r="W118" s="303"/>
      <c r="X118" s="304"/>
      <c r="Y118" s="302"/>
      <c r="Z118" s="303"/>
      <c r="AA118" s="304"/>
      <c r="AB118" s="800"/>
      <c r="AC118" s="800"/>
      <c r="AD118" s="886"/>
      <c r="AE118" s="306"/>
      <c r="AF118" s="924">
        <f>SUM(AF117:AH117)</f>
        <v>0</v>
      </c>
      <c r="AG118" s="924"/>
      <c r="AH118" s="924"/>
      <c r="AI118" s="886"/>
      <c r="AJ118" s="886"/>
      <c r="AK118" s="886"/>
      <c r="AL118" s="886"/>
      <c r="AM118" s="886"/>
      <c r="AN118" s="886"/>
      <c r="AO118" s="886"/>
      <c r="AP118" s="306"/>
      <c r="AQ118" s="306"/>
      <c r="AR118" s="886"/>
      <c r="AS118" s="886"/>
      <c r="AT118" s="886"/>
      <c r="AU118" s="886"/>
      <c r="AV118" s="886"/>
      <c r="AW118" s="886"/>
      <c r="AX118" s="886"/>
      <c r="AY118" s="886"/>
      <c r="AZ118" s="886"/>
    </row>
    <row r="119" spans="2:52">
      <c r="B119" s="886"/>
      <c r="C119" s="886"/>
      <c r="D119" s="886"/>
      <c r="E119" s="886"/>
      <c r="F119" s="886"/>
      <c r="G119" s="923"/>
      <c r="H119" s="333"/>
      <c r="I119" s="333"/>
      <c r="J119" s="800"/>
      <c r="K119" s="800"/>
      <c r="L119" s="886"/>
      <c r="M119" s="302"/>
      <c r="N119" s="334"/>
      <c r="O119" s="304"/>
      <c r="P119" s="302"/>
      <c r="Q119" s="334"/>
      <c r="R119" s="304"/>
      <c r="S119" s="302"/>
      <c r="T119" s="303"/>
      <c r="U119" s="304"/>
      <c r="V119" s="305"/>
      <c r="W119" s="303"/>
      <c r="X119" s="304"/>
      <c r="Y119" s="302"/>
      <c r="Z119" s="303"/>
      <c r="AA119" s="304"/>
      <c r="AB119" s="800"/>
      <c r="AC119" s="800"/>
      <c r="AD119" s="886"/>
      <c r="AE119" s="306"/>
      <c r="AF119" s="924"/>
      <c r="AG119" s="924"/>
      <c r="AH119" s="924"/>
      <c r="AI119" s="886"/>
      <c r="AJ119" s="886"/>
      <c r="AK119" s="886"/>
      <c r="AL119" s="886"/>
      <c r="AM119" s="886"/>
      <c r="AN119" s="886"/>
      <c r="AO119" s="886"/>
      <c r="AP119" s="306"/>
      <c r="AQ119" s="306"/>
      <c r="AR119" s="886"/>
      <c r="AS119" s="886"/>
      <c r="AT119" s="886"/>
      <c r="AU119" s="886"/>
      <c r="AV119" s="886"/>
      <c r="AW119" s="886"/>
      <c r="AX119" s="886"/>
      <c r="AY119" s="886"/>
      <c r="AZ119" s="886"/>
    </row>
    <row r="120" spans="2:52">
      <c r="B120" s="886"/>
      <c r="C120" s="886"/>
      <c r="D120" s="886"/>
      <c r="E120" s="886"/>
      <c r="F120" s="886"/>
      <c r="G120" s="923"/>
      <c r="H120" s="333"/>
      <c r="I120" s="333"/>
      <c r="J120" s="800"/>
      <c r="K120" s="800"/>
      <c r="L120" s="886"/>
      <c r="M120" s="302"/>
      <c r="N120" s="334"/>
      <c r="O120" s="304"/>
      <c r="P120" s="302"/>
      <c r="Q120" s="334"/>
      <c r="R120" s="304"/>
      <c r="S120" s="302"/>
      <c r="T120" s="303"/>
      <c r="U120" s="304"/>
      <c r="V120" s="305"/>
      <c r="W120" s="303"/>
      <c r="X120" s="304"/>
      <c r="Y120" s="302"/>
      <c r="Z120" s="303"/>
      <c r="AA120" s="304"/>
      <c r="AB120" s="800"/>
      <c r="AC120" s="800"/>
      <c r="AD120" s="886"/>
      <c r="AE120" s="306"/>
      <c r="AF120" s="924"/>
      <c r="AG120" s="924"/>
      <c r="AH120" s="924"/>
      <c r="AI120" s="886"/>
      <c r="AJ120" s="886"/>
      <c r="AK120" s="886"/>
      <c r="AL120" s="886"/>
      <c r="AM120" s="886"/>
      <c r="AN120" s="886"/>
      <c r="AO120" s="886"/>
      <c r="AP120" s="306"/>
      <c r="AQ120" s="306"/>
      <c r="AR120" s="886"/>
      <c r="AS120" s="886"/>
      <c r="AT120" s="886"/>
      <c r="AU120" s="886"/>
      <c r="AV120" s="886"/>
      <c r="AW120" s="886"/>
      <c r="AX120" s="886"/>
      <c r="AY120" s="886"/>
      <c r="AZ120" s="886"/>
    </row>
    <row r="121" spans="2:52">
      <c r="B121" s="886"/>
      <c r="C121" s="886"/>
      <c r="D121" s="886"/>
      <c r="E121" s="886"/>
      <c r="F121" s="886"/>
      <c r="G121" s="923"/>
      <c r="H121" s="333"/>
      <c r="I121" s="333"/>
      <c r="J121" s="800"/>
      <c r="K121" s="800"/>
      <c r="L121" s="886"/>
      <c r="M121" s="302"/>
      <c r="N121" s="334"/>
      <c r="O121" s="304"/>
      <c r="P121" s="302"/>
      <c r="Q121" s="334"/>
      <c r="R121" s="304"/>
      <c r="S121" s="302"/>
      <c r="T121" s="303"/>
      <c r="U121" s="304"/>
      <c r="V121" s="305"/>
      <c r="W121" s="303"/>
      <c r="X121" s="304"/>
      <c r="Y121" s="302"/>
      <c r="Z121" s="303"/>
      <c r="AA121" s="304"/>
      <c r="AB121" s="800"/>
      <c r="AC121" s="800"/>
      <c r="AD121" s="886"/>
      <c r="AE121" s="306"/>
      <c r="AF121" s="924"/>
      <c r="AG121" s="924"/>
      <c r="AH121" s="924"/>
      <c r="AI121" s="886"/>
      <c r="AJ121" s="886"/>
      <c r="AK121" s="886"/>
      <c r="AL121" s="886"/>
      <c r="AM121" s="886"/>
      <c r="AN121" s="886"/>
      <c r="AO121" s="886"/>
      <c r="AP121" s="306"/>
      <c r="AQ121" s="306"/>
      <c r="AR121" s="886"/>
      <c r="AS121" s="886"/>
      <c r="AT121" s="886"/>
      <c r="AU121" s="886"/>
      <c r="AV121" s="886"/>
      <c r="AW121" s="886"/>
      <c r="AX121" s="886"/>
      <c r="AY121" s="886"/>
      <c r="AZ121" s="886"/>
    </row>
    <row r="122" spans="2:52">
      <c r="B122" s="886"/>
      <c r="C122" s="886"/>
      <c r="D122" s="886"/>
      <c r="E122" s="886"/>
      <c r="F122" s="886"/>
      <c r="G122" s="923"/>
      <c r="H122" s="333"/>
      <c r="I122" s="333"/>
      <c r="J122" s="800"/>
      <c r="K122" s="800"/>
      <c r="L122" s="886"/>
      <c r="M122" s="302"/>
      <c r="N122" s="334"/>
      <c r="O122" s="304"/>
      <c r="P122" s="302"/>
      <c r="Q122" s="334"/>
      <c r="R122" s="304"/>
      <c r="S122" s="302"/>
      <c r="T122" s="303"/>
      <c r="U122" s="304"/>
      <c r="V122" s="305"/>
      <c r="W122" s="303"/>
      <c r="X122" s="304"/>
      <c r="Y122" s="302"/>
      <c r="Z122" s="303"/>
      <c r="AA122" s="304"/>
      <c r="AB122" s="800"/>
      <c r="AC122" s="800"/>
      <c r="AD122" s="886"/>
      <c r="AE122" s="306"/>
      <c r="AF122" s="924"/>
      <c r="AG122" s="924"/>
      <c r="AH122" s="924"/>
      <c r="AI122" s="886"/>
      <c r="AJ122" s="886"/>
      <c r="AK122" s="886"/>
      <c r="AL122" s="886"/>
      <c r="AM122" s="886"/>
      <c r="AN122" s="886"/>
      <c r="AO122" s="886"/>
      <c r="AP122" s="306"/>
      <c r="AQ122" s="306"/>
      <c r="AR122" s="886"/>
      <c r="AS122" s="886"/>
      <c r="AT122" s="886"/>
      <c r="AU122" s="886"/>
      <c r="AV122" s="886"/>
      <c r="AW122" s="886"/>
      <c r="AX122" s="886"/>
      <c r="AY122" s="886"/>
      <c r="AZ122" s="886"/>
    </row>
    <row r="123" spans="2:52">
      <c r="B123" s="886"/>
      <c r="C123" s="886"/>
      <c r="D123" s="886"/>
      <c r="E123" s="886"/>
      <c r="F123" s="886"/>
      <c r="G123" s="923"/>
      <c r="H123" s="333"/>
      <c r="I123" s="333"/>
      <c r="J123" s="800"/>
      <c r="K123" s="800"/>
      <c r="L123" s="886"/>
      <c r="M123" s="302"/>
      <c r="N123" s="334"/>
      <c r="O123" s="304"/>
      <c r="P123" s="302"/>
      <c r="Q123" s="334"/>
      <c r="R123" s="304"/>
      <c r="S123" s="302"/>
      <c r="T123" s="303"/>
      <c r="U123" s="304"/>
      <c r="V123" s="305"/>
      <c r="W123" s="303"/>
      <c r="X123" s="304"/>
      <c r="Y123" s="302"/>
      <c r="Z123" s="303"/>
      <c r="AA123" s="304"/>
      <c r="AB123" s="800"/>
      <c r="AC123" s="800"/>
      <c r="AD123" s="886"/>
      <c r="AE123" s="306"/>
      <c r="AF123" s="924"/>
      <c r="AG123" s="924"/>
      <c r="AH123" s="924"/>
      <c r="AI123" s="886"/>
      <c r="AJ123" s="886"/>
      <c r="AK123" s="886"/>
      <c r="AL123" s="886"/>
      <c r="AM123" s="886"/>
      <c r="AN123" s="886"/>
      <c r="AO123" s="886"/>
      <c r="AP123" s="306"/>
      <c r="AQ123" s="306"/>
      <c r="AR123" s="886"/>
      <c r="AS123" s="886"/>
      <c r="AT123" s="886"/>
      <c r="AU123" s="886"/>
      <c r="AV123" s="886"/>
      <c r="AW123" s="886"/>
      <c r="AX123" s="886"/>
      <c r="AY123" s="886"/>
      <c r="AZ123" s="886"/>
    </row>
    <row r="124" spans="2:52">
      <c r="B124" s="886"/>
      <c r="C124" s="886"/>
      <c r="D124" s="886"/>
      <c r="E124" s="886"/>
      <c r="F124" s="886"/>
      <c r="G124" s="923"/>
      <c r="H124" s="333"/>
      <c r="I124" s="333"/>
      <c r="J124" s="800"/>
      <c r="K124" s="800"/>
      <c r="L124" s="886"/>
      <c r="M124" s="302"/>
      <c r="N124" s="334"/>
      <c r="O124" s="304"/>
      <c r="P124" s="302"/>
      <c r="Q124" s="334"/>
      <c r="R124" s="304"/>
      <c r="S124" s="302"/>
      <c r="T124" s="303"/>
      <c r="U124" s="304"/>
      <c r="V124" s="305"/>
      <c r="W124" s="303"/>
      <c r="X124" s="304"/>
      <c r="Y124" s="302"/>
      <c r="Z124" s="303"/>
      <c r="AA124" s="304"/>
      <c r="AB124" s="800"/>
      <c r="AC124" s="800"/>
      <c r="AD124" s="886"/>
      <c r="AE124" s="306"/>
      <c r="AF124" s="924"/>
      <c r="AG124" s="924"/>
      <c r="AH124" s="924"/>
      <c r="AI124" s="886"/>
      <c r="AJ124" s="886"/>
      <c r="AK124" s="886"/>
      <c r="AL124" s="886"/>
      <c r="AM124" s="886"/>
      <c r="AN124" s="886"/>
      <c r="AO124" s="886"/>
      <c r="AP124" s="306"/>
      <c r="AQ124" s="306"/>
      <c r="AR124" s="886"/>
      <c r="AS124" s="886"/>
      <c r="AT124" s="886"/>
      <c r="AU124" s="886"/>
      <c r="AV124" s="886"/>
      <c r="AW124" s="886"/>
      <c r="AX124" s="886"/>
      <c r="AY124" s="886"/>
      <c r="AZ124" s="886"/>
    </row>
    <row r="125" spans="2:52">
      <c r="B125" s="886"/>
      <c r="C125" s="886"/>
      <c r="D125" s="886"/>
      <c r="E125" s="886"/>
      <c r="F125" s="886"/>
      <c r="G125" s="923"/>
      <c r="H125" s="333"/>
      <c r="I125" s="333"/>
      <c r="J125" s="800"/>
      <c r="K125" s="800"/>
      <c r="L125" s="886"/>
      <c r="M125" s="302"/>
      <c r="N125" s="334"/>
      <c r="O125" s="304"/>
      <c r="P125" s="302"/>
      <c r="Q125" s="334"/>
      <c r="R125" s="304"/>
      <c r="S125" s="302"/>
      <c r="T125" s="303"/>
      <c r="U125" s="304"/>
      <c r="V125" s="305"/>
      <c r="W125" s="303"/>
      <c r="X125" s="304"/>
      <c r="Y125" s="302"/>
      <c r="Z125" s="303"/>
      <c r="AA125" s="304"/>
      <c r="AB125" s="800"/>
      <c r="AC125" s="800"/>
      <c r="AD125" s="886"/>
      <c r="AE125" s="306"/>
      <c r="AF125" s="924"/>
      <c r="AG125" s="924"/>
      <c r="AH125" s="924"/>
      <c r="AI125" s="886"/>
      <c r="AJ125" s="886"/>
      <c r="AK125" s="886"/>
      <c r="AL125" s="886"/>
      <c r="AM125" s="886"/>
      <c r="AN125" s="886"/>
      <c r="AO125" s="886"/>
      <c r="AP125" s="306"/>
      <c r="AQ125" s="306"/>
      <c r="AR125" s="886"/>
      <c r="AS125" s="886"/>
      <c r="AT125" s="886"/>
      <c r="AU125" s="886"/>
      <c r="AV125" s="886"/>
      <c r="AW125" s="886"/>
      <c r="AX125" s="886"/>
      <c r="AY125" s="886"/>
      <c r="AZ125" s="886"/>
    </row>
    <row r="126" spans="2:52">
      <c r="B126" s="886"/>
      <c r="C126" s="886"/>
      <c r="D126" s="886"/>
      <c r="E126" s="886"/>
      <c r="F126" s="886"/>
      <c r="G126" s="923"/>
      <c r="H126" s="333"/>
      <c r="I126" s="333"/>
      <c r="J126" s="800"/>
      <c r="K126" s="800"/>
      <c r="L126" s="886"/>
      <c r="M126" s="302"/>
      <c r="N126" s="334"/>
      <c r="O126" s="304"/>
      <c r="P126" s="302"/>
      <c r="Q126" s="334"/>
      <c r="R126" s="304"/>
      <c r="S126" s="302"/>
      <c r="T126" s="303"/>
      <c r="U126" s="304"/>
      <c r="V126" s="305"/>
      <c r="W126" s="303"/>
      <c r="X126" s="304"/>
      <c r="Y126" s="302"/>
      <c r="Z126" s="303"/>
      <c r="AA126" s="304"/>
      <c r="AB126" s="800"/>
      <c r="AC126" s="800"/>
      <c r="AD126" s="886"/>
      <c r="AE126" s="306"/>
      <c r="AF126" s="924"/>
      <c r="AG126" s="924"/>
      <c r="AH126" s="924"/>
      <c r="AI126" s="886"/>
      <c r="AJ126" s="886"/>
      <c r="AK126" s="886"/>
      <c r="AL126" s="886"/>
      <c r="AM126" s="886"/>
      <c r="AN126" s="886"/>
      <c r="AO126" s="886"/>
      <c r="AP126" s="306"/>
      <c r="AQ126" s="306"/>
      <c r="AR126" s="886"/>
      <c r="AS126" s="886"/>
      <c r="AT126" s="886"/>
      <c r="AU126" s="886"/>
      <c r="AV126" s="886"/>
      <c r="AW126" s="886"/>
      <c r="AX126" s="886"/>
      <c r="AY126" s="886"/>
      <c r="AZ126" s="886"/>
    </row>
    <row r="127" spans="2:52" s="918" customFormat="1">
      <c r="G127" s="925"/>
      <c r="H127" s="677"/>
      <c r="I127" s="677"/>
      <c r="J127" s="926"/>
      <c r="K127" s="926"/>
      <c r="M127" s="140"/>
      <c r="N127" s="678"/>
      <c r="O127" s="679"/>
      <c r="P127" s="140"/>
      <c r="Q127" s="678"/>
      <c r="R127" s="679"/>
      <c r="S127" s="140"/>
      <c r="T127" s="655"/>
      <c r="U127" s="679"/>
      <c r="V127" s="142"/>
      <c r="W127" s="655"/>
      <c r="X127" s="679"/>
      <c r="Y127" s="140"/>
      <c r="Z127" s="655"/>
      <c r="AA127" s="679"/>
      <c r="AB127" s="926"/>
      <c r="AC127" s="926"/>
      <c r="AE127" s="680"/>
      <c r="AF127" s="927"/>
      <c r="AG127" s="927"/>
      <c r="AH127" s="927"/>
      <c r="AJ127" s="886"/>
      <c r="AK127" s="886"/>
      <c r="AP127" s="143"/>
      <c r="AQ127" s="143"/>
    </row>
    <row r="128" spans="2:52">
      <c r="AJ128" s="918"/>
      <c r="AK128" s="918"/>
    </row>
  </sheetData>
  <sheetProtection password="83D4" sheet="1" objects="1" scenarios="1"/>
  <mergeCells count="6">
    <mergeCell ref="G2:R2"/>
    <mergeCell ref="AP7:AQ7"/>
    <mergeCell ref="AP34:AQ34"/>
    <mergeCell ref="AP6:AQ6"/>
    <mergeCell ref="V2:W2"/>
    <mergeCell ref="AJ2:AM2"/>
  </mergeCells>
  <phoneticPr fontId="5"/>
  <conditionalFormatting sqref="H7:H116">
    <cfRule type="expression" dxfId="638" priority="3" stopIfTrue="1">
      <formula>J7=2</formula>
    </cfRule>
  </conditionalFormatting>
  <conditionalFormatting sqref="AB7:AB116">
    <cfRule type="expression" dxfId="637" priority="4" stopIfTrue="1">
      <formula>ISNA(AC7)</formula>
    </cfRule>
  </conditionalFormatting>
  <conditionalFormatting sqref="G7:G116">
    <cfRule type="expression" dxfId="636" priority="5" stopIfTrue="1">
      <formula>I7=2</formula>
    </cfRule>
  </conditionalFormatting>
  <conditionalFormatting sqref="I7:I116 N7:N116">
    <cfRule type="cellIs" dxfId="635" priority="10" stopIfTrue="1" operator="equal">
      <formula>2</formula>
    </cfRule>
  </conditionalFormatting>
  <conditionalFormatting sqref="Q7 V7">
    <cfRule type="expression" dxfId="634" priority="11" stopIfTrue="1">
      <formula>$I$7=""</formula>
    </cfRule>
  </conditionalFormatting>
  <conditionalFormatting sqref="Q8 V8">
    <cfRule type="expression" dxfId="633" priority="12" stopIfTrue="1">
      <formula>$I$8=""</formula>
    </cfRule>
  </conditionalFormatting>
  <conditionalFormatting sqref="Q9 V9">
    <cfRule type="expression" dxfId="632" priority="13" stopIfTrue="1">
      <formula>$I$9=""</formula>
    </cfRule>
  </conditionalFormatting>
  <conditionalFormatting sqref="Q10 V10">
    <cfRule type="expression" dxfId="631" priority="14" stopIfTrue="1">
      <formula>$I$10=""</formula>
    </cfRule>
  </conditionalFormatting>
  <conditionalFormatting sqref="Q11 V11">
    <cfRule type="expression" dxfId="630" priority="15" stopIfTrue="1">
      <formula>$I$11=""</formula>
    </cfRule>
  </conditionalFormatting>
  <conditionalFormatting sqref="Q12 V12">
    <cfRule type="expression" dxfId="629" priority="16" stopIfTrue="1">
      <formula>$I$12=""</formula>
    </cfRule>
  </conditionalFormatting>
  <conditionalFormatting sqref="Q13 V13">
    <cfRule type="expression" dxfId="628" priority="17" stopIfTrue="1">
      <formula>$I$13=""</formula>
    </cfRule>
  </conditionalFormatting>
  <conditionalFormatting sqref="Q14 V14">
    <cfRule type="expression" dxfId="627" priority="18" stopIfTrue="1">
      <formula>$I$14=""</formula>
    </cfRule>
  </conditionalFormatting>
  <conditionalFormatting sqref="Q15 V15">
    <cfRule type="expression" dxfId="626" priority="19" stopIfTrue="1">
      <formula>$I$15=""</formula>
    </cfRule>
  </conditionalFormatting>
  <conditionalFormatting sqref="Q16 V16">
    <cfRule type="expression" dxfId="625" priority="20" stopIfTrue="1">
      <formula>$I$16=""</formula>
    </cfRule>
  </conditionalFormatting>
  <conditionalFormatting sqref="Q17 V17">
    <cfRule type="expression" dxfId="624" priority="21" stopIfTrue="1">
      <formula>$I$17=""</formula>
    </cfRule>
  </conditionalFormatting>
  <conditionalFormatting sqref="Q18 V18">
    <cfRule type="expression" dxfId="623" priority="22" stopIfTrue="1">
      <formula>$I$18=""</formula>
    </cfRule>
  </conditionalFormatting>
  <conditionalFormatting sqref="Q19 V19">
    <cfRule type="expression" dxfId="622" priority="23" stopIfTrue="1">
      <formula>$I$19=""</formula>
    </cfRule>
  </conditionalFormatting>
  <conditionalFormatting sqref="Q20 V20">
    <cfRule type="expression" dxfId="621" priority="24" stopIfTrue="1">
      <formula>$I$20=""</formula>
    </cfRule>
  </conditionalFormatting>
  <conditionalFormatting sqref="Q21 V21">
    <cfRule type="expression" dxfId="620" priority="25" stopIfTrue="1">
      <formula>$I$21=""</formula>
    </cfRule>
  </conditionalFormatting>
  <conditionalFormatting sqref="Q22 V22">
    <cfRule type="expression" dxfId="619" priority="26" stopIfTrue="1">
      <formula>$I$22=""</formula>
    </cfRule>
  </conditionalFormatting>
  <conditionalFormatting sqref="Q23 V23">
    <cfRule type="expression" dxfId="618" priority="27" stopIfTrue="1">
      <formula>$I$23=""</formula>
    </cfRule>
  </conditionalFormatting>
  <conditionalFormatting sqref="Q24 V24">
    <cfRule type="expression" dxfId="617" priority="28" stopIfTrue="1">
      <formula>$I$24=""</formula>
    </cfRule>
  </conditionalFormatting>
  <conditionalFormatting sqref="Q25 V25">
    <cfRule type="expression" dxfId="616" priority="29" stopIfTrue="1">
      <formula>$I$25=""</formula>
    </cfRule>
  </conditionalFormatting>
  <conditionalFormatting sqref="Q26 V26">
    <cfRule type="expression" dxfId="615" priority="30" stopIfTrue="1">
      <formula>$I$26=""</formula>
    </cfRule>
  </conditionalFormatting>
  <conditionalFormatting sqref="Q27 V27">
    <cfRule type="expression" dxfId="614" priority="31" stopIfTrue="1">
      <formula>$I$27=""</formula>
    </cfRule>
  </conditionalFormatting>
  <conditionalFormatting sqref="Q28 V28">
    <cfRule type="expression" dxfId="613" priority="32" stopIfTrue="1">
      <formula>$I$28=""</formula>
    </cfRule>
  </conditionalFormatting>
  <conditionalFormatting sqref="Q29 V29">
    <cfRule type="expression" dxfId="612" priority="33" stopIfTrue="1">
      <formula>$I$29=""</formula>
    </cfRule>
  </conditionalFormatting>
  <conditionalFormatting sqref="Q30 V30">
    <cfRule type="expression" dxfId="611" priority="34" stopIfTrue="1">
      <formula>$I$30=""</formula>
    </cfRule>
  </conditionalFormatting>
  <conditionalFormatting sqref="Q31 V31">
    <cfRule type="expression" dxfId="610" priority="35" stopIfTrue="1">
      <formula>$I$31=""</formula>
    </cfRule>
  </conditionalFormatting>
  <conditionalFormatting sqref="Q32 V32">
    <cfRule type="expression" dxfId="609" priority="36" stopIfTrue="1">
      <formula>$I$32=""</formula>
    </cfRule>
  </conditionalFormatting>
  <conditionalFormatting sqref="Q33 V33">
    <cfRule type="expression" dxfId="608" priority="37" stopIfTrue="1">
      <formula>$I$33=""</formula>
    </cfRule>
  </conditionalFormatting>
  <conditionalFormatting sqref="Q34 V34">
    <cfRule type="expression" dxfId="607" priority="38" stopIfTrue="1">
      <formula>$I$34=""</formula>
    </cfRule>
  </conditionalFormatting>
  <conditionalFormatting sqref="Q35 V35">
    <cfRule type="expression" dxfId="606" priority="39" stopIfTrue="1">
      <formula>$I$35=""</formula>
    </cfRule>
  </conditionalFormatting>
  <conditionalFormatting sqref="Q36 V36">
    <cfRule type="expression" dxfId="605" priority="40" stopIfTrue="1">
      <formula>$I$36=""</formula>
    </cfRule>
  </conditionalFormatting>
  <conditionalFormatting sqref="Q47 V47">
    <cfRule type="expression" dxfId="604" priority="41" stopIfTrue="1">
      <formula>$I$47=""</formula>
    </cfRule>
  </conditionalFormatting>
  <conditionalFormatting sqref="Q48 V48">
    <cfRule type="expression" dxfId="603" priority="42" stopIfTrue="1">
      <formula>$I$48=""</formula>
    </cfRule>
  </conditionalFormatting>
  <conditionalFormatting sqref="Q49 V49">
    <cfRule type="expression" dxfId="602" priority="43" stopIfTrue="1">
      <formula>$I$49=""</formula>
    </cfRule>
  </conditionalFormatting>
  <conditionalFormatting sqref="Q50 V50">
    <cfRule type="expression" dxfId="601" priority="44" stopIfTrue="1">
      <formula>$I$50=""</formula>
    </cfRule>
  </conditionalFormatting>
  <conditionalFormatting sqref="Q51 V51">
    <cfRule type="expression" dxfId="600" priority="45" stopIfTrue="1">
      <formula>$I$51=""</formula>
    </cfRule>
  </conditionalFormatting>
  <conditionalFormatting sqref="Q52 V52">
    <cfRule type="expression" dxfId="599" priority="46" stopIfTrue="1">
      <formula>$I$52=""</formula>
    </cfRule>
  </conditionalFormatting>
  <conditionalFormatting sqref="Q53 V53">
    <cfRule type="expression" dxfId="598" priority="47" stopIfTrue="1">
      <formula>$I$53=""</formula>
    </cfRule>
  </conditionalFormatting>
  <conditionalFormatting sqref="Q54 V54">
    <cfRule type="expression" dxfId="597" priority="48" stopIfTrue="1">
      <formula>$I$54=""</formula>
    </cfRule>
  </conditionalFormatting>
  <conditionalFormatting sqref="Q55 V55">
    <cfRule type="expression" dxfId="596" priority="49" stopIfTrue="1">
      <formula>$I$55=""</formula>
    </cfRule>
  </conditionalFormatting>
  <conditionalFormatting sqref="Q56 V56">
    <cfRule type="expression" dxfId="595" priority="50" stopIfTrue="1">
      <formula>$I$56=""</formula>
    </cfRule>
  </conditionalFormatting>
  <conditionalFormatting sqref="Q57 V57">
    <cfRule type="expression" dxfId="594" priority="51" stopIfTrue="1">
      <formula>$I$57=""</formula>
    </cfRule>
  </conditionalFormatting>
  <conditionalFormatting sqref="Q58 V58">
    <cfRule type="expression" dxfId="593" priority="52" stopIfTrue="1">
      <formula>$I$58=""</formula>
    </cfRule>
  </conditionalFormatting>
  <conditionalFormatting sqref="Q59 V59">
    <cfRule type="expression" dxfId="592" priority="53" stopIfTrue="1">
      <formula>$I$59=""</formula>
    </cfRule>
  </conditionalFormatting>
  <conditionalFormatting sqref="Q60 V60">
    <cfRule type="expression" dxfId="591" priority="54" stopIfTrue="1">
      <formula>$I$60=""</formula>
    </cfRule>
  </conditionalFormatting>
  <conditionalFormatting sqref="Q61 V61">
    <cfRule type="expression" dxfId="590" priority="55" stopIfTrue="1">
      <formula>$I$61=""</formula>
    </cfRule>
  </conditionalFormatting>
  <conditionalFormatting sqref="Q62 V62">
    <cfRule type="expression" dxfId="589" priority="56" stopIfTrue="1">
      <formula>$I$62=""</formula>
    </cfRule>
  </conditionalFormatting>
  <conditionalFormatting sqref="Q63 V63">
    <cfRule type="expression" dxfId="588" priority="57" stopIfTrue="1">
      <formula>$I$63=""</formula>
    </cfRule>
  </conditionalFormatting>
  <conditionalFormatting sqref="Q64 V64">
    <cfRule type="expression" dxfId="587" priority="58" stopIfTrue="1">
      <formula>$I$64=""</formula>
    </cfRule>
  </conditionalFormatting>
  <conditionalFormatting sqref="Q65 V65">
    <cfRule type="expression" dxfId="586" priority="59" stopIfTrue="1">
      <formula>$I$65=""</formula>
    </cfRule>
  </conditionalFormatting>
  <conditionalFormatting sqref="Q66 V66">
    <cfRule type="expression" dxfId="585" priority="60" stopIfTrue="1">
      <formula>$I$66=""</formula>
    </cfRule>
  </conditionalFormatting>
  <conditionalFormatting sqref="Q67 V67">
    <cfRule type="expression" dxfId="584" priority="61" stopIfTrue="1">
      <formula>$I$67=""</formula>
    </cfRule>
  </conditionalFormatting>
  <conditionalFormatting sqref="Q68 V68">
    <cfRule type="expression" dxfId="583" priority="62" stopIfTrue="1">
      <formula>$I$68=""</formula>
    </cfRule>
  </conditionalFormatting>
  <conditionalFormatting sqref="Q69 V69">
    <cfRule type="expression" dxfId="582" priority="63" stopIfTrue="1">
      <formula>$I$69=""</formula>
    </cfRule>
  </conditionalFormatting>
  <conditionalFormatting sqref="Q71 V71">
    <cfRule type="expression" dxfId="581" priority="64" stopIfTrue="1">
      <formula>$I$71=""</formula>
    </cfRule>
  </conditionalFormatting>
  <conditionalFormatting sqref="Q72 V72">
    <cfRule type="expression" dxfId="580" priority="65" stopIfTrue="1">
      <formula>$I$72=""</formula>
    </cfRule>
  </conditionalFormatting>
  <conditionalFormatting sqref="Q73 V73">
    <cfRule type="expression" dxfId="579" priority="66" stopIfTrue="1">
      <formula>$I$73=""</formula>
    </cfRule>
  </conditionalFormatting>
  <conditionalFormatting sqref="Q74 V74">
    <cfRule type="expression" dxfId="578" priority="67" stopIfTrue="1">
      <formula>$I$74=""</formula>
    </cfRule>
  </conditionalFormatting>
  <conditionalFormatting sqref="Q75 V75">
    <cfRule type="expression" dxfId="577" priority="68" stopIfTrue="1">
      <formula>$I$75=""</formula>
    </cfRule>
  </conditionalFormatting>
  <conditionalFormatting sqref="Q76 V76">
    <cfRule type="expression" dxfId="576" priority="69" stopIfTrue="1">
      <formula>$I$76=""</formula>
    </cfRule>
  </conditionalFormatting>
  <conditionalFormatting sqref="Q77 V77">
    <cfRule type="expression" dxfId="575" priority="70" stopIfTrue="1">
      <formula>$I$77=""</formula>
    </cfRule>
  </conditionalFormatting>
  <conditionalFormatting sqref="Q78 V78">
    <cfRule type="expression" dxfId="574" priority="71" stopIfTrue="1">
      <formula>$I$78=""</formula>
    </cfRule>
  </conditionalFormatting>
  <conditionalFormatting sqref="Q79 V79">
    <cfRule type="expression" dxfId="573" priority="72" stopIfTrue="1">
      <formula>$I$79=""</formula>
    </cfRule>
  </conditionalFormatting>
  <conditionalFormatting sqref="Q80 V80">
    <cfRule type="expression" dxfId="572" priority="73" stopIfTrue="1">
      <formula>$I$80=""</formula>
    </cfRule>
  </conditionalFormatting>
  <conditionalFormatting sqref="Q81 V81">
    <cfRule type="expression" dxfId="571" priority="74" stopIfTrue="1">
      <formula>$I$81=""</formula>
    </cfRule>
  </conditionalFormatting>
  <conditionalFormatting sqref="Q82 V82">
    <cfRule type="expression" dxfId="570" priority="75" stopIfTrue="1">
      <formula>$I$82=""</formula>
    </cfRule>
  </conditionalFormatting>
  <conditionalFormatting sqref="Q83 V83">
    <cfRule type="expression" dxfId="569" priority="76" stopIfTrue="1">
      <formula>$I$83=""</formula>
    </cfRule>
  </conditionalFormatting>
  <conditionalFormatting sqref="Q84 V84">
    <cfRule type="expression" dxfId="568" priority="77" stopIfTrue="1">
      <formula>$I$84=""</formula>
    </cfRule>
  </conditionalFormatting>
  <conditionalFormatting sqref="Q85 V85">
    <cfRule type="expression" dxfId="567" priority="78" stopIfTrue="1">
      <formula>$I$85=""</formula>
    </cfRule>
  </conditionalFormatting>
  <conditionalFormatting sqref="Q86 V86">
    <cfRule type="expression" dxfId="566" priority="79" stopIfTrue="1">
      <formula>$I$86=""</formula>
    </cfRule>
  </conditionalFormatting>
  <conditionalFormatting sqref="Q87 V87">
    <cfRule type="expression" dxfId="565" priority="80" stopIfTrue="1">
      <formula>$I$87=""</formula>
    </cfRule>
  </conditionalFormatting>
  <conditionalFormatting sqref="Q88 V88">
    <cfRule type="expression" dxfId="564" priority="81" stopIfTrue="1">
      <formula>$I$88=""</formula>
    </cfRule>
  </conditionalFormatting>
  <conditionalFormatting sqref="Q89 V89">
    <cfRule type="expression" dxfId="563" priority="82" stopIfTrue="1">
      <formula>$I$89=""</formula>
    </cfRule>
  </conditionalFormatting>
  <conditionalFormatting sqref="Q90 V90">
    <cfRule type="expression" dxfId="562" priority="83" stopIfTrue="1">
      <formula>$I$90=""</formula>
    </cfRule>
  </conditionalFormatting>
  <conditionalFormatting sqref="Q91 V91">
    <cfRule type="expression" dxfId="561" priority="84" stopIfTrue="1">
      <formula>$I$91=""</formula>
    </cfRule>
  </conditionalFormatting>
  <conditionalFormatting sqref="Q92 V92">
    <cfRule type="expression" dxfId="560" priority="85" stopIfTrue="1">
      <formula>$I$92=""</formula>
    </cfRule>
  </conditionalFormatting>
  <conditionalFormatting sqref="Q93 V93">
    <cfRule type="expression" dxfId="559" priority="86" stopIfTrue="1">
      <formula>$I$93=""</formula>
    </cfRule>
  </conditionalFormatting>
  <conditionalFormatting sqref="Q94 V94">
    <cfRule type="expression" dxfId="558" priority="87" stopIfTrue="1">
      <formula>$I$94=""</formula>
    </cfRule>
  </conditionalFormatting>
  <conditionalFormatting sqref="Q95 V95">
    <cfRule type="expression" dxfId="557" priority="88" stopIfTrue="1">
      <formula>$I$95=""</formula>
    </cfRule>
  </conditionalFormatting>
  <conditionalFormatting sqref="Q96 V96">
    <cfRule type="expression" dxfId="556" priority="89" stopIfTrue="1">
      <formula>$I$96=""</formula>
    </cfRule>
  </conditionalFormatting>
  <conditionalFormatting sqref="Q97 V97">
    <cfRule type="expression" dxfId="555" priority="90" stopIfTrue="1">
      <formula>$I$97=""</formula>
    </cfRule>
  </conditionalFormatting>
  <conditionalFormatting sqref="Q98 V98">
    <cfRule type="expression" dxfId="554" priority="91" stopIfTrue="1">
      <formula>$I$98=""</formula>
    </cfRule>
  </conditionalFormatting>
  <conditionalFormatting sqref="Q99 V99">
    <cfRule type="expression" dxfId="553" priority="92" stopIfTrue="1">
      <formula>$I$99=""</formula>
    </cfRule>
  </conditionalFormatting>
  <conditionalFormatting sqref="Q100 V100">
    <cfRule type="expression" dxfId="552" priority="93" stopIfTrue="1">
      <formula>$I$100=""</formula>
    </cfRule>
  </conditionalFormatting>
  <conditionalFormatting sqref="Q101 V101">
    <cfRule type="expression" dxfId="551" priority="94" stopIfTrue="1">
      <formula>$I$101=""</formula>
    </cfRule>
  </conditionalFormatting>
  <conditionalFormatting sqref="Q102 V102">
    <cfRule type="expression" dxfId="550" priority="95" stopIfTrue="1">
      <formula>$I$102=""</formula>
    </cfRule>
  </conditionalFormatting>
  <conditionalFormatting sqref="Q103 V103">
    <cfRule type="expression" dxfId="549" priority="96" stopIfTrue="1">
      <formula>$I$103=""</formula>
    </cfRule>
  </conditionalFormatting>
  <conditionalFormatting sqref="Q104 V104">
    <cfRule type="expression" dxfId="548" priority="97" stopIfTrue="1">
      <formula>$I$104=""</formula>
    </cfRule>
  </conditionalFormatting>
  <conditionalFormatting sqref="Q105 V105">
    <cfRule type="expression" dxfId="547" priority="98" stopIfTrue="1">
      <formula>$I$105=""</formula>
    </cfRule>
  </conditionalFormatting>
  <conditionalFormatting sqref="Q106 V106">
    <cfRule type="expression" dxfId="546" priority="99" stopIfTrue="1">
      <formula>$I$106=""</formula>
    </cfRule>
  </conditionalFormatting>
  <conditionalFormatting sqref="Q107 V107">
    <cfRule type="expression" dxfId="545" priority="100" stopIfTrue="1">
      <formula>$I$107=""</formula>
    </cfRule>
  </conditionalFormatting>
  <conditionalFormatting sqref="Q108 V108">
    <cfRule type="expression" dxfId="544" priority="101" stopIfTrue="1">
      <formula>$I$108=""</formula>
    </cfRule>
  </conditionalFormatting>
  <conditionalFormatting sqref="Q109 V109">
    <cfRule type="expression" dxfId="543" priority="102" stopIfTrue="1">
      <formula>$I$109=""</formula>
    </cfRule>
  </conditionalFormatting>
  <conditionalFormatting sqref="Q110 V110">
    <cfRule type="expression" dxfId="542" priority="103" stopIfTrue="1">
      <formula>$I$110=""</formula>
    </cfRule>
  </conditionalFormatting>
  <conditionalFormatting sqref="Q111 V111">
    <cfRule type="expression" dxfId="541" priority="104" stopIfTrue="1">
      <formula>$I$111=""</formula>
    </cfRule>
  </conditionalFormatting>
  <conditionalFormatting sqref="Q112 V112">
    <cfRule type="expression" dxfId="540" priority="105" stopIfTrue="1">
      <formula>$I$112=""</formula>
    </cfRule>
  </conditionalFormatting>
  <conditionalFormatting sqref="Q113 V113">
    <cfRule type="expression" dxfId="539" priority="106" stopIfTrue="1">
      <formula>$I$113=""</formula>
    </cfRule>
  </conditionalFormatting>
  <conditionalFormatting sqref="Q114 V114">
    <cfRule type="expression" dxfId="538" priority="107" stopIfTrue="1">
      <formula>$I$114=""</formula>
    </cfRule>
  </conditionalFormatting>
  <conditionalFormatting sqref="Q115 V115">
    <cfRule type="expression" dxfId="537" priority="108" stopIfTrue="1">
      <formula>$I$115=""</formula>
    </cfRule>
  </conditionalFormatting>
  <conditionalFormatting sqref="Q116 V116">
    <cfRule type="expression" dxfId="536" priority="109" stopIfTrue="1">
      <formula>$I$116=""</formula>
    </cfRule>
  </conditionalFormatting>
  <conditionalFormatting sqref="Q37 V37">
    <cfRule type="expression" dxfId="535" priority="110" stopIfTrue="1">
      <formula>$I$37=""</formula>
    </cfRule>
  </conditionalFormatting>
  <conditionalFormatting sqref="Q38 V38">
    <cfRule type="expression" dxfId="534" priority="111" stopIfTrue="1">
      <formula>$I$38=""</formula>
    </cfRule>
  </conditionalFormatting>
  <conditionalFormatting sqref="Q39 V39">
    <cfRule type="expression" dxfId="533" priority="112" stopIfTrue="1">
      <formula>$I$39=""</formula>
    </cfRule>
  </conditionalFormatting>
  <conditionalFormatting sqref="Q40 V40">
    <cfRule type="expression" dxfId="532" priority="113" stopIfTrue="1">
      <formula>$I$40=""</formula>
    </cfRule>
  </conditionalFormatting>
  <conditionalFormatting sqref="Q41 V41">
    <cfRule type="expression" dxfId="531" priority="114" stopIfTrue="1">
      <formula>$I$41=""</formula>
    </cfRule>
  </conditionalFormatting>
  <conditionalFormatting sqref="Q42 V42">
    <cfRule type="expression" dxfId="530" priority="115" stopIfTrue="1">
      <formula>$I$42=""</formula>
    </cfRule>
  </conditionalFormatting>
  <conditionalFormatting sqref="Q43 V43">
    <cfRule type="expression" dxfId="529" priority="116" stopIfTrue="1">
      <formula>$I$43=""</formula>
    </cfRule>
  </conditionalFormatting>
  <conditionalFormatting sqref="Q44 V44">
    <cfRule type="expression" dxfId="528" priority="117" stopIfTrue="1">
      <formula>$I$44=""</formula>
    </cfRule>
  </conditionalFormatting>
  <conditionalFormatting sqref="Q45 V45">
    <cfRule type="expression" dxfId="527" priority="118" stopIfTrue="1">
      <formula>$I$45=""</formula>
    </cfRule>
  </conditionalFormatting>
  <conditionalFormatting sqref="Q46 V46">
    <cfRule type="expression" dxfId="526" priority="119" stopIfTrue="1">
      <formula>$I$46=""</formula>
    </cfRule>
  </conditionalFormatting>
  <conditionalFormatting sqref="Q70 V70">
    <cfRule type="expression" dxfId="525" priority="120" stopIfTrue="1">
      <formula>$I$70=""</formula>
    </cfRule>
  </conditionalFormatting>
  <conditionalFormatting sqref="F7:F116">
    <cfRule type="expression" dxfId="524" priority="121" stopIfTrue="1">
      <formula>I7=2</formula>
    </cfRule>
  </conditionalFormatting>
  <conditionalFormatting sqref="O7:O116">
    <cfRule type="expression" dxfId="523" priority="132" stopIfTrue="1">
      <formula>ISNA(P7)</formula>
    </cfRule>
    <cfRule type="expression" dxfId="522" priority="133" stopIfTrue="1">
      <formula>I7=""</formula>
    </cfRule>
  </conditionalFormatting>
  <conditionalFormatting sqref="T7:T116">
    <cfRule type="expression" dxfId="521" priority="468" stopIfTrue="1">
      <formula>ISNA(U7)</formula>
    </cfRule>
    <cfRule type="expression" dxfId="520" priority="469" stopIfTrue="1">
      <formula>I7=""</formula>
    </cfRule>
  </conditionalFormatting>
  <conditionalFormatting sqref="AR8:AR32">
    <cfRule type="duplicateValues" dxfId="519" priority="2"/>
  </conditionalFormatting>
  <conditionalFormatting sqref="AR35:AR52">
    <cfRule type="duplicateValues" dxfId="518" priority="1"/>
  </conditionalFormatting>
  <dataValidations xWindow="368" yWindow="242" count="6">
    <dataValidation imeMode="disabled" allowBlank="1" prompt="記録は半角英数字で_x000a_例_x000a_11秒11→11.11_x000a_1分50秒00→1.50.00_x000a_15m50→15m50_x000a__x000a_" sqref="Q6 O117:O65536 V6"/>
    <dataValidation allowBlank="1" showErrorMessage="1" prompt="#N/Aは種目選択ミスです" sqref="P7:P116 U7:U116"/>
    <dataValidation imeMode="disabled" allowBlank="1" showInputMessage="1" prompt="記録は半角英数字で_x000a_例_x000a_11秒11→11.11_x000a_1分50秒00→1.50.00_x000a_15m50→15m50_x000a__x000a_" sqref="Q7:Q116 V7:V116"/>
    <dataValidation imeMode="hiragana" allowBlank="1" prompt="記録は半角英数字で_x000a_例_x000a_11秒11→11.11_x000a_1分50秒00→1.50.00_x000a_15m50→15m50_x000a__x000a_" sqref="P3:P5 Q5"/>
    <dataValidation type="list" allowBlank="1" showErrorMessage="1" prompt="種目を選択して下さい_x000a_" sqref="O7:O116">
      <formula1>IF(I7=1,$AP$8:$AP$32,$AP$35:$AP$52)</formula1>
    </dataValidation>
    <dataValidation type="list" allowBlank="1" showErrorMessage="1" prompt="種目を選択して下さい" sqref="T7:T116">
      <formula1>IF(I7=1,$AP$8:$AP$32,$AP$35:$AP$52)</formula1>
    </dataValidation>
  </dataValidations>
  <printOptions horizontalCentered="1"/>
  <pageMargins left="0.52" right="0.2" top="0.98425196850393704" bottom="0.98425196850393704" header="0.51181102362204722" footer="0.51181102362204722"/>
  <pageSetup paperSize="9" scale="90" fitToHeight="2" orientation="portrait" verticalDpi="300" r:id="rId1"/>
  <headerFooter alignWithMargins="0">
    <oddHeader>&amp;L中学 申込&amp;R&amp;D　&amp;T</oddHeader>
    <oddFooter>&amp;L&amp;P&amp;R三重陸上競技協会</oddFooter>
  </headerFooter>
  <legacyDrawing r:id="rId2"/>
</worksheet>
</file>

<file path=xl/worksheets/sheet8.xml><?xml version="1.0" encoding="utf-8"?>
<worksheet xmlns="http://schemas.openxmlformats.org/spreadsheetml/2006/main" xmlns:r="http://schemas.openxmlformats.org/officeDocument/2006/relationships">
  <sheetPr codeName="Sheet2" enableFormatConditionsCalculation="0">
    <tabColor indexed="14"/>
    <pageSetUpPr fitToPage="1"/>
  </sheetPr>
  <dimension ref="A1:BT128"/>
  <sheetViews>
    <sheetView showGridLines="0" showZeros="0" topLeftCell="E1" zoomScale="90" zoomScaleNormal="90" workbookViewId="0">
      <selection activeCell="E1" sqref="E1:E4"/>
    </sheetView>
  </sheetViews>
  <sheetFormatPr defaultColWidth="8.625" defaultRowHeight="13.5"/>
  <cols>
    <col min="1" max="1" width="9.75" style="797" hidden="1" customWidth="1"/>
    <col min="2" max="2" width="7.875" style="797" hidden="1" customWidth="1"/>
    <col min="3" max="3" width="8.125" style="797" hidden="1" customWidth="1"/>
    <col min="4" max="4" width="10.25" style="797" hidden="1" customWidth="1"/>
    <col min="5" max="5" width="10.375" style="797" bestFit="1" customWidth="1"/>
    <col min="6" max="6" width="14.375" style="797" customWidth="1"/>
    <col min="7" max="7" width="15.875" style="882" customWidth="1"/>
    <col min="8" max="8" width="11.625" style="797" hidden="1" customWidth="1"/>
    <col min="9" max="9" width="5" style="797" bestFit="1" customWidth="1"/>
    <col min="10" max="10" width="4.875" style="802" customWidth="1"/>
    <col min="11" max="11" width="5.5" style="803" hidden="1" customWidth="1"/>
    <col min="12" max="12" width="6.125" style="797" hidden="1" customWidth="1"/>
    <col min="13" max="13" width="16.125" style="34" hidden="1" customWidth="1"/>
    <col min="14" max="14" width="9.875" style="91" customWidth="1"/>
    <col min="15" max="15" width="14.125" style="33" customWidth="1"/>
    <col min="16" max="16" width="5.5" style="34" hidden="1" customWidth="1"/>
    <col min="17" max="17" width="13" style="883" customWidth="1"/>
    <col min="18" max="18" width="4.5" style="33" hidden="1" customWidth="1"/>
    <col min="19" max="19" width="2.5" style="34" hidden="1" customWidth="1"/>
    <col min="20" max="20" width="12" style="883" customWidth="1"/>
    <col min="21" max="21" width="7.125" style="33" hidden="1" customWidth="1"/>
    <col min="22" max="22" width="8.25" style="24" hidden="1" customWidth="1"/>
    <col min="23" max="23" width="6.625" style="797" hidden="1" customWidth="1"/>
    <col min="24" max="24" width="7.75" style="884" hidden="1" customWidth="1"/>
    <col min="25" max="25" width="11.25" style="1294" bestFit="1" customWidth="1"/>
    <col min="26" max="26" width="6.75" style="797" hidden="1" customWidth="1"/>
    <col min="27" max="27" width="5.875" style="884" hidden="1" customWidth="1"/>
    <col min="28" max="28" width="5.875" style="802" hidden="1" customWidth="1"/>
    <col min="29" max="29" width="6.75" style="802" hidden="1" customWidth="1"/>
    <col min="30" max="30" width="9.375" style="797" hidden="1" customWidth="1"/>
    <col min="31" max="31" width="5.875" style="868" hidden="1" customWidth="1"/>
    <col min="32" max="32" width="6.75" style="797" hidden="1" customWidth="1"/>
    <col min="33" max="33" width="9.375" style="797" hidden="1" customWidth="1"/>
    <col min="34" max="34" width="5.75" style="797" hidden="1" customWidth="1"/>
    <col min="35" max="35" width="4.875" style="797" hidden="1" customWidth="1"/>
    <col min="36" max="36" width="5.375" style="797" hidden="1" customWidth="1"/>
    <col min="37" max="37" width="8.5" style="797" hidden="1" customWidth="1"/>
    <col min="38" max="38" width="5" style="797" hidden="1" customWidth="1"/>
    <col min="39" max="39" width="10" style="797" customWidth="1"/>
    <col min="40" max="40" width="7.25" style="797" customWidth="1"/>
    <col min="41" max="41" width="7.375" style="797" customWidth="1"/>
    <col min="42" max="42" width="7.375" style="797" hidden="1" customWidth="1"/>
    <col min="43" max="43" width="7.625" style="797" hidden="1" customWidth="1"/>
    <col min="44" max="44" width="8.125" style="797" hidden="1" customWidth="1"/>
    <col min="45" max="45" width="7.625" style="797" hidden="1" customWidth="1"/>
    <col min="46" max="46" width="4.375" style="797" hidden="1" customWidth="1"/>
    <col min="47" max="47" width="7.5" style="797" hidden="1" customWidth="1"/>
    <col min="48" max="48" width="5.375" style="797" hidden="1" customWidth="1"/>
    <col min="49" max="49" width="5.125" style="797" hidden="1" customWidth="1"/>
    <col min="50" max="50" width="10.625" style="797" hidden="1" customWidth="1"/>
    <col min="51" max="51" width="5.75" style="797" customWidth="1"/>
    <col min="52" max="52" width="13.125" style="797" customWidth="1"/>
    <col min="53" max="53" width="5.375" style="797" customWidth="1"/>
    <col min="54" max="54" width="13" style="797" customWidth="1"/>
    <col min="55" max="55" width="10.375" style="797" hidden="1" customWidth="1"/>
    <col min="56" max="56" width="9.125" style="797" hidden="1" customWidth="1"/>
    <col min="57" max="57" width="10.75" style="797" hidden="1" customWidth="1"/>
    <col min="58" max="58" width="9.625" style="797" hidden="1" customWidth="1"/>
    <col min="59" max="59" width="6.25" style="797" hidden="1" customWidth="1"/>
    <col min="60" max="61" width="8.625" style="797" hidden="1" customWidth="1"/>
    <col min="62" max="16384" width="8.625" style="797"/>
  </cols>
  <sheetData>
    <row r="1" spans="1:64" ht="21.75" customHeight="1">
      <c r="B1" s="782"/>
      <c r="C1" s="783"/>
      <c r="D1" s="804"/>
      <c r="E1" s="249" t="s">
        <v>610</v>
      </c>
      <c r="F1" s="251">
        <f>IF(前年度登録!$AD$4="","",前年度登録!$AD$4)</f>
        <v>0</v>
      </c>
      <c r="G1" s="805"/>
      <c r="H1" s="806"/>
      <c r="I1" s="806"/>
      <c r="J1" s="795"/>
      <c r="K1" s="796"/>
      <c r="L1" s="806"/>
      <c r="M1" s="806"/>
      <c r="N1" s="806"/>
      <c r="O1" s="806"/>
      <c r="P1" s="255"/>
      <c r="Q1" s="807"/>
      <c r="R1" s="257"/>
      <c r="S1" s="258"/>
      <c r="T1" s="807"/>
      <c r="U1" s="257"/>
      <c r="V1" s="258"/>
      <c r="W1" s="807"/>
      <c r="X1" s="808"/>
      <c r="Y1" s="1292"/>
      <c r="Z1" s="807"/>
      <c r="AA1" s="808"/>
      <c r="AB1" s="800"/>
      <c r="AC1" s="800"/>
      <c r="AD1" s="807"/>
      <c r="AE1" s="809"/>
      <c r="AF1" s="807"/>
      <c r="AG1" s="810"/>
      <c r="AH1" s="810"/>
      <c r="AI1" s="810"/>
      <c r="AJ1" s="810"/>
      <c r="AK1" s="807"/>
      <c r="AL1" s="807"/>
      <c r="AM1" s="807"/>
      <c r="AN1" s="807"/>
      <c r="AO1" s="807"/>
      <c r="AY1" s="807"/>
      <c r="AZ1" s="807"/>
      <c r="BA1" s="807"/>
      <c r="BB1" s="807"/>
      <c r="BC1" s="807"/>
      <c r="BD1" s="807"/>
      <c r="BE1" s="807"/>
      <c r="BF1" s="807"/>
      <c r="BG1" s="807"/>
      <c r="BH1" s="1169"/>
      <c r="BI1" s="1169"/>
      <c r="BJ1" s="1169"/>
      <c r="BK1" s="1169"/>
      <c r="BL1" s="1169"/>
    </row>
    <row r="2" spans="1:64" s="811" customFormat="1" ht="28.5" customHeight="1">
      <c r="B2" s="782"/>
      <c r="C2" s="785"/>
      <c r="D2" s="812"/>
      <c r="E2" s="249"/>
      <c r="F2" s="262"/>
      <c r="G2" s="1160" t="s">
        <v>254</v>
      </c>
      <c r="H2" s="813"/>
      <c r="I2" s="814"/>
      <c r="J2" s="814"/>
      <c r="K2" s="815"/>
      <c r="L2" s="815"/>
      <c r="M2" s="815"/>
      <c r="N2" s="266"/>
      <c r="O2" s="265"/>
      <c r="P2" s="267"/>
      <c r="Q2" s="268"/>
      <c r="R2" s="269"/>
      <c r="S2" s="270"/>
      <c r="T2" s="816"/>
      <c r="U2" s="271"/>
      <c r="V2" s="270"/>
      <c r="W2" s="816"/>
      <c r="X2" s="817"/>
      <c r="Y2" s="1293"/>
      <c r="Z2" s="816"/>
      <c r="AA2" s="817"/>
      <c r="AB2" s="818"/>
      <c r="AC2" s="818"/>
      <c r="AD2" s="816"/>
      <c r="AE2" s="819"/>
      <c r="AF2" s="816"/>
      <c r="AG2" s="820"/>
      <c r="AH2" s="820"/>
      <c r="AI2" s="820"/>
      <c r="AJ2" s="820"/>
      <c r="AK2" s="816"/>
      <c r="AL2" s="816"/>
      <c r="AM2" s="816"/>
      <c r="AN2" s="816"/>
      <c r="AO2" s="816"/>
      <c r="AP2" s="797"/>
      <c r="AQ2" s="797"/>
      <c r="AR2" s="797"/>
      <c r="AY2" s="816"/>
      <c r="AZ2" s="816"/>
      <c r="BA2" s="816"/>
      <c r="BB2" s="816"/>
      <c r="BC2" s="816"/>
      <c r="BD2" s="816"/>
      <c r="BE2" s="816"/>
      <c r="BF2" s="816"/>
      <c r="BG2" s="816"/>
      <c r="BH2" s="1170"/>
      <c r="BI2" s="1170"/>
      <c r="BJ2" s="1170"/>
      <c r="BK2" s="1170"/>
      <c r="BL2" s="1170"/>
    </row>
    <row r="3" spans="1:64" s="811" customFormat="1" ht="28.5" customHeight="1" thickBot="1">
      <c r="B3" s="786"/>
      <c r="C3" s="787"/>
      <c r="D3" s="787"/>
      <c r="E3" s="250" t="s">
        <v>1217</v>
      </c>
      <c r="F3" s="272" t="str">
        <f>IF(前年度登録!$S$1="","",前年度登録!$S$1)</f>
        <v/>
      </c>
      <c r="G3" s="264" t="s">
        <v>273</v>
      </c>
      <c r="H3" s="263"/>
      <c r="I3" s="264"/>
      <c r="J3" s="264"/>
      <c r="K3" s="821"/>
      <c r="L3" s="816"/>
      <c r="M3" s="273"/>
      <c r="N3" s="273"/>
      <c r="O3" s="273">
        <f>COUNTIF($I$7:$I$116,1)-COUNTIF($AW$7:$AW$116,0)</f>
        <v>0</v>
      </c>
      <c r="P3" s="267"/>
      <c r="Q3" s="268"/>
      <c r="R3" s="269"/>
      <c r="S3" s="270"/>
      <c r="T3" s="816"/>
      <c r="U3" s="271"/>
      <c r="V3" s="270"/>
      <c r="W3" s="816"/>
      <c r="X3" s="817"/>
      <c r="Y3" s="1293"/>
      <c r="Z3" s="816"/>
      <c r="AA3" s="817"/>
      <c r="AB3" s="818"/>
      <c r="AC3" s="818"/>
      <c r="AD3" s="816"/>
      <c r="AE3" s="819"/>
      <c r="AF3" s="816"/>
      <c r="AG3" s="820"/>
      <c r="AH3" s="820"/>
      <c r="AI3" s="820"/>
      <c r="AJ3" s="820"/>
      <c r="AK3" s="816"/>
      <c r="AL3" s="816"/>
      <c r="AM3" s="816"/>
      <c r="AN3" s="816"/>
      <c r="AO3" s="816"/>
      <c r="AP3" s="799"/>
      <c r="AQ3" s="799"/>
      <c r="AR3" s="799"/>
      <c r="AY3" s="816"/>
      <c r="AZ3" s="816"/>
      <c r="BA3" s="816"/>
      <c r="BB3" s="816"/>
      <c r="BC3" s="816"/>
      <c r="BD3" s="816"/>
      <c r="BE3" s="816"/>
      <c r="BF3" s="816"/>
      <c r="BG3" s="816"/>
      <c r="BH3" s="1170"/>
      <c r="BI3" s="1170"/>
      <c r="BJ3" s="1170"/>
      <c r="BK3" s="1170"/>
      <c r="BL3" s="1170"/>
    </row>
    <row r="4" spans="1:64" s="811" customFormat="1" ht="28.5" customHeight="1" thickBot="1">
      <c r="B4" s="786"/>
      <c r="C4" s="787"/>
      <c r="D4" s="787"/>
      <c r="E4" s="250" t="s">
        <v>1218</v>
      </c>
      <c r="F4" s="272" t="str">
        <f>IF(前年度登録!$X$1="","",前年度登録!$X$1)</f>
        <v/>
      </c>
      <c r="G4" s="264" t="s">
        <v>275</v>
      </c>
      <c r="H4" s="263"/>
      <c r="I4" s="264"/>
      <c r="J4" s="264"/>
      <c r="K4" s="821"/>
      <c r="L4" s="816"/>
      <c r="M4" s="273"/>
      <c r="N4" s="273"/>
      <c r="O4" s="273">
        <f>COUNTIF($I$7:$I$116,2)-COUNTIF($AX$7:$AX$116,0)</f>
        <v>0</v>
      </c>
      <c r="P4" s="266"/>
      <c r="Q4" s="762">
        <f>O3+O4</f>
        <v>0</v>
      </c>
      <c r="R4" s="269"/>
      <c r="S4" s="270"/>
      <c r="T4" s="816"/>
      <c r="U4" s="271"/>
      <c r="V4" s="270"/>
      <c r="W4" s="816"/>
      <c r="X4" s="817"/>
      <c r="Y4" s="1293"/>
      <c r="Z4" s="816"/>
      <c r="AA4" s="817"/>
      <c r="AB4" s="818"/>
      <c r="AC4" s="818"/>
      <c r="AD4" s="816"/>
      <c r="AE4" s="819"/>
      <c r="AF4" s="816"/>
      <c r="AG4" s="820"/>
      <c r="AH4" s="820"/>
      <c r="AI4" s="820"/>
      <c r="AJ4" s="820"/>
      <c r="AK4" s="816"/>
      <c r="AL4" s="816"/>
      <c r="AM4" s="816"/>
      <c r="AN4" s="816"/>
      <c r="AO4" s="816"/>
      <c r="AP4" s="799"/>
      <c r="AQ4" s="799"/>
      <c r="AR4" s="799"/>
      <c r="AY4" s="274"/>
      <c r="AZ4" s="1213" t="s">
        <v>849</v>
      </c>
      <c r="BA4" s="1214"/>
      <c r="BB4" s="1215" t="s">
        <v>850</v>
      </c>
      <c r="BC4" s="816"/>
      <c r="BD4" s="816"/>
      <c r="BE4" s="816"/>
      <c r="BF4" s="816"/>
      <c r="BG4" s="816"/>
      <c r="BH4" s="1170"/>
      <c r="BI4" s="1170"/>
      <c r="BJ4" s="1170"/>
      <c r="BK4" s="1170"/>
      <c r="BL4" s="1170"/>
    </row>
    <row r="5" spans="1:64" s="811" customFormat="1" ht="28.5" customHeight="1" thickBot="1">
      <c r="B5" s="788"/>
      <c r="C5" s="812"/>
      <c r="D5" s="812"/>
      <c r="E5" s="274"/>
      <c r="F5" s="816"/>
      <c r="G5" s="264" t="s">
        <v>419</v>
      </c>
      <c r="H5" s="275"/>
      <c r="I5" s="264"/>
      <c r="J5" s="264"/>
      <c r="K5" s="821"/>
      <c r="L5" s="816"/>
      <c r="M5" s="667"/>
      <c r="N5" s="667"/>
      <c r="O5" s="667">
        <f>($AF$117*1000)+(AQ48*2000)+BA4*800</f>
        <v>0</v>
      </c>
      <c r="P5" s="276"/>
      <c r="Q5" s="276"/>
      <c r="R5" s="269"/>
      <c r="S5" s="270"/>
      <c r="T5" s="1441" t="s">
        <v>1155</v>
      </c>
      <c r="U5" s="1441"/>
      <c r="V5" s="1441"/>
      <c r="W5" s="1441"/>
      <c r="X5" s="1441"/>
      <c r="Y5" s="1441"/>
      <c r="Z5" s="816"/>
      <c r="AA5" s="817"/>
      <c r="AB5" s="818"/>
      <c r="AC5" s="818"/>
      <c r="AD5" s="816"/>
      <c r="AE5" s="819"/>
      <c r="AF5" s="816"/>
      <c r="AG5" s="820"/>
      <c r="AH5" s="820"/>
      <c r="AI5" s="820"/>
      <c r="AJ5" s="820"/>
      <c r="AK5" s="816"/>
      <c r="AL5" s="816"/>
      <c r="AM5" s="816"/>
      <c r="AN5" s="816"/>
      <c r="AO5" s="816"/>
      <c r="AP5" s="799"/>
      <c r="AQ5" s="799"/>
      <c r="AR5" s="799"/>
      <c r="AY5" s="816"/>
      <c r="AZ5" s="816"/>
      <c r="BA5" s="816"/>
      <c r="BB5" s="816"/>
      <c r="BC5" s="816"/>
      <c r="BD5" s="816"/>
      <c r="BE5" s="816"/>
      <c r="BF5" s="816"/>
      <c r="BG5" s="816"/>
      <c r="BH5" s="1170"/>
      <c r="BI5" s="1170"/>
      <c r="BJ5" s="1170"/>
      <c r="BK5" s="1170"/>
      <c r="BL5" s="1170"/>
    </row>
    <row r="6" spans="1:64" s="837" customFormat="1" ht="14.25" thickBot="1">
      <c r="A6" s="822" t="s">
        <v>25</v>
      </c>
      <c r="B6" s="823" t="s">
        <v>16</v>
      </c>
      <c r="C6" s="823" t="s">
        <v>743</v>
      </c>
      <c r="D6" s="824" t="s">
        <v>742</v>
      </c>
      <c r="E6" s="825" t="s">
        <v>21</v>
      </c>
      <c r="F6" s="823" t="s">
        <v>237</v>
      </c>
      <c r="G6" s="823" t="s">
        <v>18</v>
      </c>
      <c r="H6" s="823" t="s">
        <v>26</v>
      </c>
      <c r="I6" s="823" t="s">
        <v>19</v>
      </c>
      <c r="J6" s="823" t="s">
        <v>17</v>
      </c>
      <c r="K6" s="1241" t="s">
        <v>740</v>
      </c>
      <c r="L6" s="1241" t="s">
        <v>741</v>
      </c>
      <c r="M6" s="826" t="s">
        <v>20</v>
      </c>
      <c r="N6" s="962" t="s">
        <v>1062</v>
      </c>
      <c r="O6" s="964" t="s">
        <v>30</v>
      </c>
      <c r="P6" s="823" t="s">
        <v>228</v>
      </c>
      <c r="Q6" s="827" t="s">
        <v>243</v>
      </c>
      <c r="R6" s="828"/>
      <c r="S6" s="828"/>
      <c r="T6" s="829" t="s">
        <v>261</v>
      </c>
      <c r="U6" s="830" t="s">
        <v>228</v>
      </c>
      <c r="V6" s="831" t="s">
        <v>236</v>
      </c>
      <c r="W6" s="828"/>
      <c r="X6" s="828"/>
      <c r="Y6" s="1309" t="s">
        <v>1123</v>
      </c>
      <c r="Z6" s="1307" t="s">
        <v>228</v>
      </c>
      <c r="AA6" s="832" t="s">
        <v>229</v>
      </c>
      <c r="AB6" s="833" t="s">
        <v>214</v>
      </c>
      <c r="AC6" s="834" t="s">
        <v>228</v>
      </c>
      <c r="AD6" s="835" t="s">
        <v>230</v>
      </c>
      <c r="AE6" s="833" t="s">
        <v>215</v>
      </c>
      <c r="AF6" s="834" t="s">
        <v>228</v>
      </c>
      <c r="AG6" s="836" t="s">
        <v>231</v>
      </c>
      <c r="AH6" s="801"/>
      <c r="AI6" s="801"/>
      <c r="AK6" s="791">
        <v>100</v>
      </c>
      <c r="AM6" s="1446" t="s">
        <v>393</v>
      </c>
      <c r="AN6" s="1447"/>
      <c r="AO6" s="1448"/>
      <c r="AR6" s="838"/>
      <c r="AS6" s="838"/>
      <c r="AT6" s="838"/>
      <c r="AU6" s="838"/>
      <c r="AV6" s="91" t="s">
        <v>706</v>
      </c>
      <c r="AW6" s="91" t="s">
        <v>273</v>
      </c>
      <c r="AX6" s="91" t="s">
        <v>275</v>
      </c>
      <c r="AY6" s="1457" t="s">
        <v>733</v>
      </c>
      <c r="AZ6" s="1458"/>
      <c r="BA6" s="1463" t="s">
        <v>737</v>
      </c>
      <c r="BB6" s="1464"/>
      <c r="BC6" s="797"/>
      <c r="BD6" s="797"/>
      <c r="BE6" s="797"/>
      <c r="BF6" s="797"/>
      <c r="BG6" s="838"/>
      <c r="BH6" s="1171"/>
      <c r="BI6" s="1171"/>
      <c r="BJ6" s="1171"/>
      <c r="BK6" s="1171"/>
      <c r="BL6" s="1171"/>
    </row>
    <row r="7" spans="1:64">
      <c r="A7" s="839">
        <f>T7</f>
        <v>0</v>
      </c>
      <c r="B7" s="840" t="e">
        <f>前年度登録!AE4</f>
        <v>#N/A</v>
      </c>
      <c r="C7" s="1285">
        <f>Y7</f>
        <v>0</v>
      </c>
      <c r="D7" s="841"/>
      <c r="E7" s="842">
        <f>前年度登録!T4</f>
        <v>0</v>
      </c>
      <c r="F7" s="693" t="str">
        <f>前年度登録!DB4</f>
        <v/>
      </c>
      <c r="G7" s="1133" t="str">
        <f>前年度登録!AO4</f>
        <v/>
      </c>
      <c r="H7" s="284" t="str">
        <f>前年度登録!DB4</f>
        <v/>
      </c>
      <c r="I7" s="285" t="str">
        <f>前年度登録!AN4</f>
        <v/>
      </c>
      <c r="J7" s="285" t="str">
        <f>前年度登録!DC4</f>
        <v/>
      </c>
      <c r="K7" s="1245">
        <f>前年度登録!DE4</f>
        <v>0</v>
      </c>
      <c r="L7" s="1036" t="str">
        <f>前年度登録!DJ4</f>
        <v>00</v>
      </c>
      <c r="M7" s="840" t="s">
        <v>1061</v>
      </c>
      <c r="N7" s="1246">
        <f>前年度登録!S4</f>
        <v>0</v>
      </c>
      <c r="O7" s="286"/>
      <c r="P7" s="287" t="str">
        <f>IF(O7="","",IF(I7=1,VLOOKUP(O7,$AM$19:$AO$24,3,FALSE),IF(I7=2,VLOOKUP(O7,$AM$27:$AO$32,3,FALSE))))</f>
        <v/>
      </c>
      <c r="Q7" s="622" t="str">
        <f>IF(O7="","",HLOOKUP(O7,前年度登録!$AW$3:$CW$118,2,FALSE))</f>
        <v/>
      </c>
      <c r="R7" s="771" t="str">
        <f>IF(O7="","",0)</f>
        <v/>
      </c>
      <c r="S7" s="772" t="str">
        <f>IF(O7="","",2)</f>
        <v/>
      </c>
      <c r="T7" s="288"/>
      <c r="U7" s="843" t="str">
        <f>IF(T7="","",IF(I7=1,VLOOKUP(T7,$AM$39:$AO$41,3,FALSE),IF(I7=2,VLOOKUP(T7,$AM$42:$AO$44,3,FALSE))))</f>
        <v/>
      </c>
      <c r="V7" s="1289"/>
      <c r="W7" s="771" t="str">
        <f>IF(T7="","",0)</f>
        <v/>
      </c>
      <c r="X7" s="772" t="str">
        <f>IF(T7="","",2)</f>
        <v/>
      </c>
      <c r="Y7" s="1310"/>
      <c r="Z7" s="1308" t="str">
        <f>IF(Y7="","",IF(I7=1,VLOOKUP(Y7,$AM$45:$AO$47,3,FALSE),IF(I7=2,VLOOKUP(Y7,$AM$45:$AO$47,3,FALSE))))</f>
        <v/>
      </c>
      <c r="AA7" s="777"/>
      <c r="AB7" s="778"/>
      <c r="AC7" s="844" t="str">
        <f>IF(AB7="","",IF(I7=1,VLOOKUP(AB7,男子種目コード!$D$2:$E$16,2,FALSE),IF(I7=2,VLOOKUP(AB7,女子種目コード!$D$2:$E$16,2,FALSE))))</f>
        <v/>
      </c>
      <c r="AD7" s="845"/>
      <c r="AE7" s="779"/>
      <c r="AF7" s="844"/>
      <c r="AG7" s="846"/>
      <c r="AH7" s="802"/>
      <c r="AI7" s="802"/>
      <c r="AK7" s="791">
        <v>1500</v>
      </c>
      <c r="AL7" s="797" t="str">
        <f>IF(O7="","",1)</f>
        <v/>
      </c>
      <c r="AM7" s="1451" t="s">
        <v>273</v>
      </c>
      <c r="AN7" s="1452"/>
      <c r="AO7" s="1453"/>
      <c r="AR7" s="807"/>
      <c r="AS7" s="807"/>
      <c r="AT7" s="847">
        <f t="shared" ref="AT7:AT38" si="0">IF(OR(AL7=1,T7=""),0,1)</f>
        <v>0</v>
      </c>
      <c r="AU7" s="807"/>
      <c r="AV7" s="797">
        <f>COUNT(P7,U7,Z7)</f>
        <v>0</v>
      </c>
      <c r="AW7" s="797" t="str">
        <f t="shared" ref="AW7:AW38" si="1">IF(I7=1,AV7,"")</f>
        <v/>
      </c>
      <c r="AX7" s="797" t="str">
        <f t="shared" ref="AX7:AX38" si="2">IF(I7=2,AV7,"")</f>
        <v/>
      </c>
      <c r="AY7" s="1439" t="s">
        <v>734</v>
      </c>
      <c r="AZ7" s="1465"/>
      <c r="BA7" s="1465" t="s">
        <v>734</v>
      </c>
      <c r="BB7" s="1440"/>
      <c r="BG7" s="807"/>
      <c r="BH7" s="1169"/>
      <c r="BI7" s="1169"/>
      <c r="BJ7" s="1169"/>
      <c r="BK7" s="1169"/>
      <c r="BL7" s="1169"/>
    </row>
    <row r="8" spans="1:64">
      <c r="A8" s="839">
        <f t="shared" ref="A8:A71" si="3">T8</f>
        <v>0</v>
      </c>
      <c r="B8" s="844" t="str">
        <f>前年度登録!AE5</f>
        <v/>
      </c>
      <c r="C8" s="1286">
        <f t="shared" ref="C8:C71" si="4">Y8</f>
        <v>0</v>
      </c>
      <c r="D8" s="848"/>
      <c r="E8" s="849">
        <f>前年度登録!T5</f>
        <v>0</v>
      </c>
      <c r="F8" s="694" t="str">
        <f>前年度登録!DB5</f>
        <v/>
      </c>
      <c r="G8" s="1134" t="str">
        <f>前年度登録!AO5</f>
        <v/>
      </c>
      <c r="H8" s="663" t="str">
        <f>前年度登録!DB5</f>
        <v/>
      </c>
      <c r="I8" s="290" t="str">
        <f>前年度登録!AN5</f>
        <v/>
      </c>
      <c r="J8" s="359" t="str">
        <f>前年度登録!DC5</f>
        <v/>
      </c>
      <c r="K8" s="1247">
        <f>前年度登録!DE5</f>
        <v>0</v>
      </c>
      <c r="L8" s="1037" t="str">
        <f>前年度登録!DJ5</f>
        <v>00</v>
      </c>
      <c r="M8" s="844" t="s">
        <v>1061</v>
      </c>
      <c r="N8" s="1248">
        <f>前年度登録!S5</f>
        <v>0</v>
      </c>
      <c r="O8" s="291"/>
      <c r="P8" s="292" t="str">
        <f t="shared" ref="P8:P71" si="5">IF(O8="","",IF(I8=1,VLOOKUP(O8,$AM$19:$AO$24,3,FALSE),IF(I8=2,VLOOKUP(O8,$AM$27:$AO$32,3,FALSE))))</f>
        <v/>
      </c>
      <c r="Q8" s="623" t="str">
        <f>IF(O8="","",HLOOKUP(O8,前年度登録!$AW$3:$CW$118,3,FALSE))</f>
        <v/>
      </c>
      <c r="R8" s="773" t="str">
        <f t="shared" ref="R8:R71" si="6">IF(O8="","",0)</f>
        <v/>
      </c>
      <c r="S8" s="774" t="str">
        <f t="shared" ref="S8:S71" si="7">IF(O8="","",2)</f>
        <v/>
      </c>
      <c r="T8" s="293"/>
      <c r="U8" s="850" t="str">
        <f t="shared" ref="U8:U71" si="8">IF(T8="","",IF(I8=1,VLOOKUP(T8,$AM$39:$AO$41,3,FALSE),IF(I8=2,VLOOKUP(T8,$AM$42:$AO$44,3,FALSE))))</f>
        <v/>
      </c>
      <c r="V8" s="1290"/>
      <c r="W8" s="773" t="str">
        <f t="shared" ref="W8:W71" si="9">IF(T8="","",0)</f>
        <v/>
      </c>
      <c r="X8" s="774" t="str">
        <f t="shared" ref="X8:X71" si="10">IF(T8="","",2)</f>
        <v/>
      </c>
      <c r="Y8" s="1311"/>
      <c r="Z8" s="1308" t="str">
        <f t="shared" ref="Z8:Z71" si="11">IF(Y8="","",IF(I8=1,VLOOKUP(Y8,$AM$45:$AO$47,3,FALSE),IF(I8=2,VLOOKUP(Y8,$AM$45:$AO$47,3,FALSE))))</f>
        <v/>
      </c>
      <c r="AA8" s="777"/>
      <c r="AB8" s="780"/>
      <c r="AC8" s="851" t="str">
        <f>IF(AB8="","",IF(I8=1,VLOOKUP(AB8,男子種目コード!$D$2:$E$16,2,FALSE),IF(I8=2,VLOOKUP(AB8,女子種目コード!$D$2:$E$16,2,FALSE))))</f>
        <v/>
      </c>
      <c r="AD8" s="845"/>
      <c r="AE8" s="781"/>
      <c r="AF8" s="851"/>
      <c r="AG8" s="846"/>
      <c r="AH8" s="802"/>
      <c r="AI8" s="802"/>
      <c r="AK8" s="791" t="s">
        <v>848</v>
      </c>
      <c r="AL8" s="797" t="str">
        <f t="shared" ref="AL8:AL71" si="12">IF(O8="","",1)</f>
        <v/>
      </c>
      <c r="AM8" s="1449" t="s">
        <v>387</v>
      </c>
      <c r="AN8" s="1450"/>
      <c r="AO8" s="852" t="s">
        <v>394</v>
      </c>
      <c r="AR8" s="807"/>
      <c r="AS8" s="807"/>
      <c r="AT8" s="847">
        <f t="shared" si="0"/>
        <v>0</v>
      </c>
      <c r="AU8" s="807"/>
      <c r="AV8" s="797">
        <f t="shared" ref="AV8:AV71" si="13">COUNT(P8,U8,Z8)</f>
        <v>0</v>
      </c>
      <c r="AW8" s="797" t="str">
        <f t="shared" si="1"/>
        <v/>
      </c>
      <c r="AX8" s="797" t="str">
        <f t="shared" si="2"/>
        <v/>
      </c>
      <c r="AY8" s="853" t="str">
        <f ca="1">IF(ISERROR(BC8),"",BC8)</f>
        <v/>
      </c>
      <c r="AZ8" s="854" t="str">
        <f ca="1">IF(ISERROR(BD8),"",BD8)</f>
        <v/>
      </c>
      <c r="BA8" s="855" t="str">
        <f ca="1">IF(ISERROR(BE8),"",BE8)</f>
        <v/>
      </c>
      <c r="BB8" s="856" t="str">
        <f ca="1">IF(ISERROR(BF8),"",BF8)</f>
        <v/>
      </c>
      <c r="BC8" s="372" t="e">
        <f ca="1">VLookUpX("男子A",$A$7:$F$116,1,5)</f>
        <v>#N/A</v>
      </c>
      <c r="BD8" s="372" t="e">
        <f ca="1">VLookUpX("男子A",$A$7:$F$116,1,6)</f>
        <v>#N/A</v>
      </c>
      <c r="BE8" s="372" t="e">
        <f ca="1">VLookUpX("女子A",$A$7:$F$116,1,5)</f>
        <v>#N/A</v>
      </c>
      <c r="BF8" s="372" t="e">
        <f ca="1">VLookUpX("女子A",$A$7:$F$116,1,6)</f>
        <v>#N/A</v>
      </c>
      <c r="BG8" s="807"/>
      <c r="BH8" s="1169"/>
      <c r="BI8" s="1169"/>
      <c r="BJ8" s="1169"/>
      <c r="BK8" s="1169"/>
      <c r="BL8" s="1169"/>
    </row>
    <row r="9" spans="1:64">
      <c r="A9" s="839">
        <f t="shared" si="3"/>
        <v>0</v>
      </c>
      <c r="B9" s="844" t="str">
        <f>前年度登録!AE6</f>
        <v/>
      </c>
      <c r="C9" s="1286">
        <f t="shared" si="4"/>
        <v>0</v>
      </c>
      <c r="D9" s="848"/>
      <c r="E9" s="849">
        <f>前年度登録!T6</f>
        <v>0</v>
      </c>
      <c r="F9" s="694" t="str">
        <f>前年度登録!DB6</f>
        <v/>
      </c>
      <c r="G9" s="1134" t="str">
        <f>前年度登録!AO6</f>
        <v/>
      </c>
      <c r="H9" s="663" t="str">
        <f>前年度登録!DB6</f>
        <v/>
      </c>
      <c r="I9" s="290" t="str">
        <f>前年度登録!AN6</f>
        <v/>
      </c>
      <c r="J9" s="359" t="str">
        <f>前年度登録!DC6</f>
        <v/>
      </c>
      <c r="K9" s="1247">
        <f>前年度登録!DE6</f>
        <v>0</v>
      </c>
      <c r="L9" s="1037" t="str">
        <f>前年度登録!DJ6</f>
        <v>00</v>
      </c>
      <c r="M9" s="844" t="s">
        <v>1061</v>
      </c>
      <c r="N9" s="1248">
        <f>前年度登録!S6</f>
        <v>0</v>
      </c>
      <c r="O9" s="291"/>
      <c r="P9" s="292" t="str">
        <f t="shared" si="5"/>
        <v/>
      </c>
      <c r="Q9" s="623" t="str">
        <f>IF(O9="","",HLOOKUP(O9,前年度登録!$AW$3:$CW$118,4,FALSE))</f>
        <v/>
      </c>
      <c r="R9" s="773" t="str">
        <f t="shared" si="6"/>
        <v/>
      </c>
      <c r="S9" s="774" t="str">
        <f t="shared" si="7"/>
        <v/>
      </c>
      <c r="T9" s="293"/>
      <c r="U9" s="850" t="str">
        <f t="shared" si="8"/>
        <v/>
      </c>
      <c r="V9" s="1290"/>
      <c r="W9" s="773" t="str">
        <f t="shared" si="9"/>
        <v/>
      </c>
      <c r="X9" s="774" t="str">
        <f t="shared" si="10"/>
        <v/>
      </c>
      <c r="Y9" s="1311"/>
      <c r="Z9" s="1308" t="str">
        <f t="shared" si="11"/>
        <v/>
      </c>
      <c r="AA9" s="777"/>
      <c r="AB9" s="780"/>
      <c r="AC9" s="851" t="str">
        <f>IF(AB9="","",IF(I9=1,VLOOKUP(AB9,男子種目コード!$D$2:$E$16,2,FALSE),IF(I9=2,VLOOKUP(AB9,女子種目コード!$D$2:$E$16,2,FALSE))))</f>
        <v/>
      </c>
      <c r="AD9" s="845"/>
      <c r="AE9" s="781"/>
      <c r="AF9" s="851"/>
      <c r="AG9" s="846"/>
      <c r="AH9" s="802"/>
      <c r="AI9" s="802"/>
      <c r="AK9" s="791" t="s">
        <v>405</v>
      </c>
      <c r="AL9" s="797" t="str">
        <f t="shared" si="12"/>
        <v/>
      </c>
      <c r="AM9" s="857" t="s">
        <v>232</v>
      </c>
      <c r="AN9" s="862"/>
      <c r="AO9" s="858">
        <f>COUNTIF($T$7:$T$116,"男子A")</f>
        <v>0</v>
      </c>
      <c r="AP9" s="859">
        <f>IF(AO9&gt;0,1,0)</f>
        <v>0</v>
      </c>
      <c r="AR9" s="807"/>
      <c r="AS9" s="807"/>
      <c r="AT9" s="847">
        <f t="shared" si="0"/>
        <v>0</v>
      </c>
      <c r="AU9" s="807"/>
      <c r="AV9" s="797">
        <f t="shared" si="13"/>
        <v>0</v>
      </c>
      <c r="AW9" s="797" t="str">
        <f t="shared" si="1"/>
        <v/>
      </c>
      <c r="AX9" s="797" t="str">
        <f t="shared" si="2"/>
        <v/>
      </c>
      <c r="AY9" s="853" t="str">
        <f t="shared" ref="AY9:AZ13" ca="1" si="14">IF(ISERROR(BC9),"",BC9)</f>
        <v/>
      </c>
      <c r="AZ9" s="854" t="str">
        <f t="shared" ca="1" si="14"/>
        <v/>
      </c>
      <c r="BA9" s="855" t="str">
        <f t="shared" ref="BA9:BB13" ca="1" si="15">IF(ISERROR(BE9),"",BE9)</f>
        <v/>
      </c>
      <c r="BB9" s="856" t="str">
        <f t="shared" ca="1" si="15"/>
        <v/>
      </c>
      <c r="BC9" s="372" t="e">
        <f ca="1">VLookUpX("男子A",$A$7:$F$116,2,5)</f>
        <v>#N/A</v>
      </c>
      <c r="BD9" s="372" t="e">
        <f ca="1">VLookUpX("男子A",$A$7:$F$116,2,6)</f>
        <v>#N/A</v>
      </c>
      <c r="BE9" s="372" t="e">
        <f ca="1">VLookUpX("女子A",$A$7:$F$116,2,5)</f>
        <v>#N/A</v>
      </c>
      <c r="BF9" s="372" t="e">
        <f ca="1">VLookUpX("女子A",$A$7:$F$116,2,6)</f>
        <v>#N/A</v>
      </c>
      <c r="BG9" s="807"/>
      <c r="BH9" s="1169"/>
      <c r="BI9" s="1169"/>
      <c r="BJ9" s="1169"/>
      <c r="BK9" s="1169"/>
      <c r="BL9" s="1169"/>
    </row>
    <row r="10" spans="1:64">
      <c r="A10" s="839">
        <f t="shared" si="3"/>
        <v>0</v>
      </c>
      <c r="B10" s="844" t="str">
        <f>前年度登録!AE7</f>
        <v/>
      </c>
      <c r="C10" s="1286">
        <f t="shared" si="4"/>
        <v>0</v>
      </c>
      <c r="D10" s="848"/>
      <c r="E10" s="849">
        <f>前年度登録!T7</f>
        <v>0</v>
      </c>
      <c r="F10" s="694" t="str">
        <f>前年度登録!DB7</f>
        <v/>
      </c>
      <c r="G10" s="1134" t="str">
        <f>前年度登録!AO7</f>
        <v/>
      </c>
      <c r="H10" s="663" t="str">
        <f>前年度登録!DB7</f>
        <v/>
      </c>
      <c r="I10" s="290" t="str">
        <f>前年度登録!AN7</f>
        <v/>
      </c>
      <c r="J10" s="359" t="str">
        <f>前年度登録!DC7</f>
        <v/>
      </c>
      <c r="K10" s="1247">
        <f>前年度登録!DE7</f>
        <v>0</v>
      </c>
      <c r="L10" s="1037" t="str">
        <f>前年度登録!DJ7</f>
        <v>00</v>
      </c>
      <c r="M10" s="844" t="s">
        <v>1061</v>
      </c>
      <c r="N10" s="1248">
        <f>前年度登録!S7</f>
        <v>0</v>
      </c>
      <c r="O10" s="291"/>
      <c r="P10" s="292" t="str">
        <f t="shared" si="5"/>
        <v/>
      </c>
      <c r="Q10" s="623" t="str">
        <f>IF(O10="","",HLOOKUP(O10,前年度登録!$AW$3:$CW$118,5,FALSE))</f>
        <v/>
      </c>
      <c r="R10" s="773" t="str">
        <f t="shared" si="6"/>
        <v/>
      </c>
      <c r="S10" s="774" t="str">
        <f t="shared" si="7"/>
        <v/>
      </c>
      <c r="T10" s="293"/>
      <c r="U10" s="850" t="str">
        <f t="shared" si="8"/>
        <v/>
      </c>
      <c r="V10" s="1290"/>
      <c r="W10" s="773" t="str">
        <f t="shared" si="9"/>
        <v/>
      </c>
      <c r="X10" s="774" t="str">
        <f t="shared" si="10"/>
        <v/>
      </c>
      <c r="Y10" s="1311"/>
      <c r="Z10" s="1308" t="str">
        <f t="shared" si="11"/>
        <v/>
      </c>
      <c r="AA10" s="777"/>
      <c r="AB10" s="780"/>
      <c r="AC10" s="851" t="str">
        <f>IF(AB10="","",IF(I10=1,VLOOKUP(AB10,男子種目コード!$D$2:$E$16,2,FALSE),IF(I10=2,VLOOKUP(AB10,女子種目コード!$D$2:$E$16,2,FALSE))))</f>
        <v/>
      </c>
      <c r="AD10" s="845"/>
      <c r="AE10" s="781"/>
      <c r="AF10" s="851"/>
      <c r="AG10" s="846"/>
      <c r="AH10" s="802"/>
      <c r="AI10" s="802"/>
      <c r="AK10" s="791" t="s">
        <v>185</v>
      </c>
      <c r="AL10" s="797" t="str">
        <f t="shared" si="12"/>
        <v/>
      </c>
      <c r="AM10" s="857" t="s">
        <v>233</v>
      </c>
      <c r="AN10" s="862"/>
      <c r="AO10" s="858">
        <f>COUNTIF($T$7:$T$116,"男子B")</f>
        <v>0</v>
      </c>
      <c r="AP10" s="859">
        <f t="shared" ref="AP10:AP16" si="16">IF(AO10&gt;0,1,0)</f>
        <v>0</v>
      </c>
      <c r="AR10" s="807"/>
      <c r="AS10" s="807"/>
      <c r="AT10" s="847">
        <f t="shared" si="0"/>
        <v>0</v>
      </c>
      <c r="AU10" s="807"/>
      <c r="AV10" s="797">
        <f t="shared" si="13"/>
        <v>0</v>
      </c>
      <c r="AW10" s="797" t="str">
        <f t="shared" si="1"/>
        <v/>
      </c>
      <c r="AX10" s="797" t="str">
        <f t="shared" si="2"/>
        <v/>
      </c>
      <c r="AY10" s="853" t="str">
        <f t="shared" ca="1" si="14"/>
        <v/>
      </c>
      <c r="AZ10" s="854" t="str">
        <f t="shared" ca="1" si="14"/>
        <v/>
      </c>
      <c r="BA10" s="855" t="str">
        <f t="shared" ca="1" si="15"/>
        <v/>
      </c>
      <c r="BB10" s="856" t="str">
        <f t="shared" ca="1" si="15"/>
        <v/>
      </c>
      <c r="BC10" s="372" t="e">
        <f ca="1">VLookUpX("男子A",$A$7:$F$116,3,5)</f>
        <v>#N/A</v>
      </c>
      <c r="BD10" s="372" t="e">
        <f ca="1">VLookUpX("男子A",$A$7:$F$116,3,6)</f>
        <v>#N/A</v>
      </c>
      <c r="BE10" s="372" t="e">
        <f ca="1">VLookUpX("女子A",$A$7:$F$116,3,5)</f>
        <v>#N/A</v>
      </c>
      <c r="BF10" s="372" t="e">
        <f ca="1">VLookUpX("女子A",$A$7:$F$116,3,6)</f>
        <v>#N/A</v>
      </c>
      <c r="BG10" s="807"/>
      <c r="BH10" s="1169"/>
      <c r="BI10" s="1169"/>
      <c r="BJ10" s="1169"/>
      <c r="BK10" s="1169"/>
      <c r="BL10" s="1169"/>
    </row>
    <row r="11" spans="1:64">
      <c r="A11" s="839">
        <f t="shared" si="3"/>
        <v>0</v>
      </c>
      <c r="B11" s="844" t="str">
        <f>前年度登録!AE8</f>
        <v/>
      </c>
      <c r="C11" s="1286">
        <f t="shared" si="4"/>
        <v>0</v>
      </c>
      <c r="D11" s="848"/>
      <c r="E11" s="849">
        <f>前年度登録!T8</f>
        <v>0</v>
      </c>
      <c r="F11" s="694" t="str">
        <f>前年度登録!DB8</f>
        <v/>
      </c>
      <c r="G11" s="1134" t="str">
        <f>前年度登録!AO8</f>
        <v/>
      </c>
      <c r="H11" s="663" t="str">
        <f>前年度登録!DB8</f>
        <v/>
      </c>
      <c r="I11" s="290" t="str">
        <f>前年度登録!AN8</f>
        <v/>
      </c>
      <c r="J11" s="359" t="str">
        <f>前年度登録!DC8</f>
        <v/>
      </c>
      <c r="K11" s="1247">
        <f>前年度登録!DE8</f>
        <v>0</v>
      </c>
      <c r="L11" s="1037" t="str">
        <f>前年度登録!DJ8</f>
        <v>00</v>
      </c>
      <c r="M11" s="844" t="s">
        <v>1061</v>
      </c>
      <c r="N11" s="1248">
        <f>前年度登録!S8</f>
        <v>0</v>
      </c>
      <c r="O11" s="291"/>
      <c r="P11" s="292" t="str">
        <f t="shared" si="5"/>
        <v/>
      </c>
      <c r="Q11" s="623" t="str">
        <f>IF(O11="","",HLOOKUP(O11,前年度登録!$AW$3:$CW$118,6,FALSE))</f>
        <v/>
      </c>
      <c r="R11" s="773" t="str">
        <f t="shared" si="6"/>
        <v/>
      </c>
      <c r="S11" s="774" t="str">
        <f t="shared" si="7"/>
        <v/>
      </c>
      <c r="T11" s="293"/>
      <c r="U11" s="850" t="str">
        <f t="shared" si="8"/>
        <v/>
      </c>
      <c r="V11" s="1290"/>
      <c r="W11" s="773" t="str">
        <f t="shared" si="9"/>
        <v/>
      </c>
      <c r="X11" s="774" t="str">
        <f t="shared" si="10"/>
        <v/>
      </c>
      <c r="Y11" s="1311"/>
      <c r="Z11" s="1308" t="str">
        <f t="shared" si="11"/>
        <v/>
      </c>
      <c r="AA11" s="777"/>
      <c r="AB11" s="780"/>
      <c r="AC11" s="851" t="str">
        <f>IF(AB11="","",IF(I11=1,VLOOKUP(AB11,男子種目コード!$D$2:$E$16,2,FALSE),IF(I11=2,VLOOKUP(AB11,女子種目コード!$D$2:$E$16,2,FALSE))))</f>
        <v/>
      </c>
      <c r="AD11" s="845"/>
      <c r="AE11" s="781"/>
      <c r="AF11" s="851"/>
      <c r="AG11" s="846"/>
      <c r="AH11" s="802"/>
      <c r="AI11" s="802"/>
      <c r="AK11" s="791" t="s">
        <v>262</v>
      </c>
      <c r="AL11" s="797" t="str">
        <f t="shared" si="12"/>
        <v/>
      </c>
      <c r="AM11" s="860" t="s">
        <v>234</v>
      </c>
      <c r="AN11" s="1074"/>
      <c r="AO11" s="861">
        <f>COUNTIF($T$7:$T$116,"男子C")</f>
        <v>0</v>
      </c>
      <c r="AP11" s="859">
        <f t="shared" si="16"/>
        <v>0</v>
      </c>
      <c r="AQ11" s="797">
        <f>SUM(AP9:AP11)</f>
        <v>0</v>
      </c>
      <c r="AR11" s="807"/>
      <c r="AS11" s="807"/>
      <c r="AT11" s="847">
        <f t="shared" si="0"/>
        <v>0</v>
      </c>
      <c r="AU11" s="807"/>
      <c r="AV11" s="797">
        <f t="shared" si="13"/>
        <v>0</v>
      </c>
      <c r="AW11" s="797" t="str">
        <f t="shared" si="1"/>
        <v/>
      </c>
      <c r="AX11" s="797" t="str">
        <f t="shared" si="2"/>
        <v/>
      </c>
      <c r="AY11" s="853" t="str">
        <f t="shared" ca="1" si="14"/>
        <v/>
      </c>
      <c r="AZ11" s="854" t="str">
        <f t="shared" ca="1" si="14"/>
        <v/>
      </c>
      <c r="BA11" s="855" t="str">
        <f t="shared" ca="1" si="15"/>
        <v/>
      </c>
      <c r="BB11" s="856" t="str">
        <f t="shared" ca="1" si="15"/>
        <v/>
      </c>
      <c r="BC11" s="372" t="e">
        <f ca="1">VLookUpX("男子A",$A$7:$F$116,4,5)</f>
        <v>#N/A</v>
      </c>
      <c r="BD11" s="372" t="e">
        <f ca="1">VLookUpX("男子A",$A$7:$F$116,4,6)</f>
        <v>#N/A</v>
      </c>
      <c r="BE11" s="372" t="e">
        <f ca="1">VLookUpX("女子A",$A$7:$F$116,4,5)</f>
        <v>#N/A</v>
      </c>
      <c r="BF11" s="372" t="e">
        <f ca="1">VLookUpX("女子A",$A$7:$F$116,4,6)</f>
        <v>#N/A</v>
      </c>
      <c r="BG11" s="807"/>
      <c r="BH11" s="1169"/>
      <c r="BI11" s="1169"/>
      <c r="BJ11" s="1169"/>
      <c r="BK11" s="1169"/>
      <c r="BL11" s="1169"/>
    </row>
    <row r="12" spans="1:64">
      <c r="A12" s="839">
        <f t="shared" si="3"/>
        <v>0</v>
      </c>
      <c r="B12" s="844" t="str">
        <f>前年度登録!AE9</f>
        <v/>
      </c>
      <c r="C12" s="1286">
        <f t="shared" si="4"/>
        <v>0</v>
      </c>
      <c r="D12" s="848"/>
      <c r="E12" s="849">
        <f>前年度登録!T9</f>
        <v>0</v>
      </c>
      <c r="F12" s="694" t="str">
        <f>前年度登録!DB9</f>
        <v/>
      </c>
      <c r="G12" s="1134" t="str">
        <f>前年度登録!AO9</f>
        <v/>
      </c>
      <c r="H12" s="663" t="str">
        <f>前年度登録!DB9</f>
        <v/>
      </c>
      <c r="I12" s="290" t="str">
        <f>前年度登録!AN9</f>
        <v/>
      </c>
      <c r="J12" s="359" t="str">
        <f>前年度登録!DC9</f>
        <v/>
      </c>
      <c r="K12" s="1247">
        <f>前年度登録!DE9</f>
        <v>0</v>
      </c>
      <c r="L12" s="1037" t="str">
        <f>前年度登録!DJ9</f>
        <v>00</v>
      </c>
      <c r="M12" s="844" t="s">
        <v>1061</v>
      </c>
      <c r="N12" s="1248">
        <f>前年度登録!S9</f>
        <v>0</v>
      </c>
      <c r="O12" s="291"/>
      <c r="P12" s="292" t="str">
        <f t="shared" si="5"/>
        <v/>
      </c>
      <c r="Q12" s="623" t="str">
        <f>IF(O12="","",HLOOKUP(O12,前年度登録!$AW$3:$CW$118,7,FALSE))</f>
        <v/>
      </c>
      <c r="R12" s="773" t="str">
        <f t="shared" si="6"/>
        <v/>
      </c>
      <c r="S12" s="774" t="str">
        <f t="shared" si="7"/>
        <v/>
      </c>
      <c r="T12" s="293"/>
      <c r="U12" s="850" t="str">
        <f t="shared" si="8"/>
        <v/>
      </c>
      <c r="V12" s="1290"/>
      <c r="W12" s="773" t="str">
        <f t="shared" si="9"/>
        <v/>
      </c>
      <c r="X12" s="774" t="str">
        <f t="shared" si="10"/>
        <v/>
      </c>
      <c r="Y12" s="1311"/>
      <c r="Z12" s="1308" t="str">
        <f t="shared" si="11"/>
        <v/>
      </c>
      <c r="AA12" s="777"/>
      <c r="AB12" s="780"/>
      <c r="AC12" s="851" t="str">
        <f>IF(AB12="","",IF(I12=1,VLOOKUP(AB12,男子種目コード!$D$2:$E$16,2,FALSE),IF(I12=2,VLOOKUP(AB12,女子種目コード!$D$2:$E$16,2,FALSE))))</f>
        <v/>
      </c>
      <c r="AD12" s="845"/>
      <c r="AE12" s="781"/>
      <c r="AF12" s="851"/>
      <c r="AG12" s="846"/>
      <c r="AH12" s="802"/>
      <c r="AI12" s="802"/>
      <c r="AK12" s="791">
        <v>100</v>
      </c>
      <c r="AL12" s="797" t="str">
        <f t="shared" si="12"/>
        <v/>
      </c>
      <c r="AM12" s="1454" t="s">
        <v>275</v>
      </c>
      <c r="AN12" s="1455"/>
      <c r="AO12" s="1456"/>
      <c r="AP12" s="859"/>
      <c r="AR12" s="807"/>
      <c r="AS12" s="807"/>
      <c r="AT12" s="847">
        <f t="shared" si="0"/>
        <v>0</v>
      </c>
      <c r="AU12" s="807"/>
      <c r="AV12" s="797">
        <f t="shared" si="13"/>
        <v>0</v>
      </c>
      <c r="AW12" s="797" t="str">
        <f t="shared" si="1"/>
        <v/>
      </c>
      <c r="AX12" s="797" t="str">
        <f t="shared" si="2"/>
        <v/>
      </c>
      <c r="AY12" s="853" t="str">
        <f t="shared" ca="1" si="14"/>
        <v/>
      </c>
      <c r="AZ12" s="854" t="str">
        <f t="shared" ca="1" si="14"/>
        <v/>
      </c>
      <c r="BA12" s="855" t="str">
        <f t="shared" ca="1" si="15"/>
        <v/>
      </c>
      <c r="BB12" s="856" t="str">
        <f t="shared" ca="1" si="15"/>
        <v/>
      </c>
      <c r="BC12" s="372" t="e">
        <f ca="1">VLookUpX("男子A",$A$7:$F$116,5,5)</f>
        <v>#N/A</v>
      </c>
      <c r="BD12" s="372" t="e">
        <f ca="1">VLookUpX("男子A",$A$7:$F$116,5,6)</f>
        <v>#N/A</v>
      </c>
      <c r="BE12" s="372" t="e">
        <f ca="1">VLookUpX("女子A",$A$7:$F$116,5,5)</f>
        <v>#N/A</v>
      </c>
      <c r="BF12" s="372" t="e">
        <f ca="1">VLookUpX("女子A",$A$7:$F$116,5,6)</f>
        <v>#N/A</v>
      </c>
      <c r="BG12" s="807"/>
      <c r="BH12" s="1169"/>
      <c r="BI12" s="1169"/>
      <c r="BJ12" s="1169"/>
      <c r="BK12" s="1169"/>
      <c r="BL12" s="1169"/>
    </row>
    <row r="13" spans="1:64">
      <c r="A13" s="839">
        <f t="shared" si="3"/>
        <v>0</v>
      </c>
      <c r="B13" s="844" t="str">
        <f>前年度登録!AE10</f>
        <v/>
      </c>
      <c r="C13" s="1286">
        <f t="shared" si="4"/>
        <v>0</v>
      </c>
      <c r="D13" s="848"/>
      <c r="E13" s="849">
        <f>前年度登録!T10</f>
        <v>0</v>
      </c>
      <c r="F13" s="694" t="str">
        <f>前年度登録!DB10</f>
        <v/>
      </c>
      <c r="G13" s="1134" t="str">
        <f>前年度登録!AO10</f>
        <v/>
      </c>
      <c r="H13" s="663" t="str">
        <f>前年度登録!DB10</f>
        <v/>
      </c>
      <c r="I13" s="290" t="str">
        <f>前年度登録!AN10</f>
        <v/>
      </c>
      <c r="J13" s="359" t="str">
        <f>前年度登録!DC10</f>
        <v/>
      </c>
      <c r="K13" s="1247">
        <f>前年度登録!DE10</f>
        <v>0</v>
      </c>
      <c r="L13" s="1037" t="str">
        <f>前年度登録!DJ10</f>
        <v>00</v>
      </c>
      <c r="M13" s="844" t="s">
        <v>1061</v>
      </c>
      <c r="N13" s="1248">
        <f>前年度登録!S10</f>
        <v>0</v>
      </c>
      <c r="O13" s="291"/>
      <c r="P13" s="292" t="str">
        <f t="shared" si="5"/>
        <v/>
      </c>
      <c r="Q13" s="623" t="str">
        <f>IF(O13="","",HLOOKUP(O13,前年度登録!$AW$3:$CW$118,8,FALSE))</f>
        <v/>
      </c>
      <c r="R13" s="773" t="str">
        <f t="shared" si="6"/>
        <v/>
      </c>
      <c r="S13" s="774" t="str">
        <f t="shared" si="7"/>
        <v/>
      </c>
      <c r="T13" s="293"/>
      <c r="U13" s="850" t="str">
        <f t="shared" si="8"/>
        <v/>
      </c>
      <c r="V13" s="1290"/>
      <c r="W13" s="773" t="str">
        <f t="shared" si="9"/>
        <v/>
      </c>
      <c r="X13" s="774" t="str">
        <f t="shared" si="10"/>
        <v/>
      </c>
      <c r="Y13" s="1311"/>
      <c r="Z13" s="1308" t="str">
        <f t="shared" si="11"/>
        <v/>
      </c>
      <c r="AA13" s="777"/>
      <c r="AB13" s="780"/>
      <c r="AC13" s="851" t="str">
        <f>IF(AB13="","",IF(I13=1,VLOOKUP(AB13,男子種目コード!$D$2:$E$16,2,FALSE),IF(I13=2,VLOOKUP(AB13,女子種目コード!$D$2:$E$16,2,FALSE))))</f>
        <v/>
      </c>
      <c r="AD13" s="845"/>
      <c r="AE13" s="781"/>
      <c r="AF13" s="851"/>
      <c r="AG13" s="846"/>
      <c r="AH13" s="802"/>
      <c r="AI13" s="802"/>
      <c r="AK13" s="791">
        <v>800</v>
      </c>
      <c r="AL13" s="797" t="str">
        <f t="shared" si="12"/>
        <v/>
      </c>
      <c r="AM13" s="1449" t="s">
        <v>387</v>
      </c>
      <c r="AN13" s="1450"/>
      <c r="AO13" s="852" t="s">
        <v>394</v>
      </c>
      <c r="AP13" s="859"/>
      <c r="AR13" s="807"/>
      <c r="AS13" s="807"/>
      <c r="AT13" s="847">
        <f t="shared" si="0"/>
        <v>0</v>
      </c>
      <c r="AU13" s="807"/>
      <c r="AV13" s="797">
        <f t="shared" si="13"/>
        <v>0</v>
      </c>
      <c r="AW13" s="797" t="str">
        <f t="shared" si="1"/>
        <v/>
      </c>
      <c r="AX13" s="797" t="str">
        <f t="shared" si="2"/>
        <v/>
      </c>
      <c r="AY13" s="853" t="str">
        <f t="shared" ca="1" si="14"/>
        <v/>
      </c>
      <c r="AZ13" s="854" t="str">
        <f t="shared" ca="1" si="14"/>
        <v/>
      </c>
      <c r="BA13" s="855" t="str">
        <f t="shared" ca="1" si="15"/>
        <v/>
      </c>
      <c r="BB13" s="856" t="str">
        <f t="shared" ca="1" si="15"/>
        <v/>
      </c>
      <c r="BC13" s="372" t="e">
        <f ca="1">VLookUpX("男子A",$A$7:$F$116,6,5)</f>
        <v>#N/A</v>
      </c>
      <c r="BD13" s="372" t="e">
        <f ca="1">VLookUpX("男子A",$A$7:$F$116,6,6)</f>
        <v>#N/A</v>
      </c>
      <c r="BE13" s="372" t="e">
        <f ca="1">VLookUpX("女子A",$A$7:$F$116,6,5)</f>
        <v>#N/A</v>
      </c>
      <c r="BF13" s="372" t="e">
        <f ca="1">VLookUpX("女子A",$A$7:$F$116,6,6)</f>
        <v>#N/A</v>
      </c>
      <c r="BG13" s="807"/>
      <c r="BH13" s="1169"/>
      <c r="BI13" s="1169"/>
      <c r="BJ13" s="1169"/>
      <c r="BK13" s="1169"/>
      <c r="BL13" s="1169"/>
    </row>
    <row r="14" spans="1:64">
      <c r="A14" s="839">
        <f t="shared" si="3"/>
        <v>0</v>
      </c>
      <c r="B14" s="844" t="str">
        <f>前年度登録!AE11</f>
        <v/>
      </c>
      <c r="C14" s="1286">
        <f t="shared" si="4"/>
        <v>0</v>
      </c>
      <c r="D14" s="848"/>
      <c r="E14" s="849">
        <f>前年度登録!T11</f>
        <v>0</v>
      </c>
      <c r="F14" s="694" t="str">
        <f>前年度登録!DB11</f>
        <v/>
      </c>
      <c r="G14" s="1134" t="str">
        <f>前年度登録!AO11</f>
        <v/>
      </c>
      <c r="H14" s="663" t="str">
        <f>前年度登録!DB11</f>
        <v/>
      </c>
      <c r="I14" s="290" t="str">
        <f>前年度登録!AN11</f>
        <v/>
      </c>
      <c r="J14" s="359" t="str">
        <f>前年度登録!DC11</f>
        <v/>
      </c>
      <c r="K14" s="1247">
        <f>前年度登録!DE11</f>
        <v>0</v>
      </c>
      <c r="L14" s="1037" t="str">
        <f>前年度登録!DJ11</f>
        <v>00</v>
      </c>
      <c r="M14" s="844" t="s">
        <v>1061</v>
      </c>
      <c r="N14" s="1248">
        <f>前年度登録!S11</f>
        <v>0</v>
      </c>
      <c r="O14" s="291"/>
      <c r="P14" s="292" t="str">
        <f t="shared" si="5"/>
        <v/>
      </c>
      <c r="Q14" s="623" t="str">
        <f>IF(O14="","",HLOOKUP(O14,前年度登録!$AW$3:$CW$118,9,FALSE))</f>
        <v/>
      </c>
      <c r="R14" s="773" t="str">
        <f t="shared" si="6"/>
        <v/>
      </c>
      <c r="S14" s="774" t="str">
        <f t="shared" si="7"/>
        <v/>
      </c>
      <c r="T14" s="293"/>
      <c r="U14" s="850" t="str">
        <f t="shared" si="8"/>
        <v/>
      </c>
      <c r="V14" s="1290"/>
      <c r="W14" s="773" t="str">
        <f t="shared" si="9"/>
        <v/>
      </c>
      <c r="X14" s="774" t="str">
        <f t="shared" si="10"/>
        <v/>
      </c>
      <c r="Y14" s="1311"/>
      <c r="Z14" s="1308" t="str">
        <f t="shared" si="11"/>
        <v/>
      </c>
      <c r="AA14" s="777"/>
      <c r="AB14" s="780"/>
      <c r="AC14" s="851" t="str">
        <f>IF(AB14="","",IF(I14=1,VLOOKUP(AB14,男子種目コード!$D$2:$E$16,2,FALSE),IF(I14=2,VLOOKUP(AB14,女子種目コード!$D$2:$E$16,2,FALSE))))</f>
        <v/>
      </c>
      <c r="AD14" s="845"/>
      <c r="AE14" s="781"/>
      <c r="AF14" s="851"/>
      <c r="AG14" s="846"/>
      <c r="AH14" s="802"/>
      <c r="AI14" s="802"/>
      <c r="AK14" s="791" t="s">
        <v>848</v>
      </c>
      <c r="AL14" s="797" t="str">
        <f t="shared" si="12"/>
        <v/>
      </c>
      <c r="AM14" s="857" t="s">
        <v>232</v>
      </c>
      <c r="AN14" s="862"/>
      <c r="AO14" s="858">
        <f>COUNTIF($T$7:$T$116,"女子A")</f>
        <v>0</v>
      </c>
      <c r="AP14" s="859">
        <f t="shared" si="16"/>
        <v>0</v>
      </c>
      <c r="AR14" s="807"/>
      <c r="AS14" s="807"/>
      <c r="AT14" s="847">
        <f t="shared" si="0"/>
        <v>0</v>
      </c>
      <c r="AU14" s="807"/>
      <c r="AV14" s="797">
        <f t="shared" si="13"/>
        <v>0</v>
      </c>
      <c r="AW14" s="797" t="str">
        <f t="shared" si="1"/>
        <v/>
      </c>
      <c r="AX14" s="797" t="str">
        <f t="shared" si="2"/>
        <v/>
      </c>
      <c r="AY14" s="1466" t="s">
        <v>733</v>
      </c>
      <c r="AZ14" s="1467"/>
      <c r="BA14" s="1468" t="s">
        <v>737</v>
      </c>
      <c r="BB14" s="1469"/>
      <c r="BG14" s="807"/>
      <c r="BH14" s="1169"/>
      <c r="BI14" s="1169"/>
      <c r="BJ14" s="1169"/>
      <c r="BK14" s="1169"/>
      <c r="BL14" s="1169"/>
    </row>
    <row r="15" spans="1:64">
      <c r="A15" s="839">
        <f t="shared" si="3"/>
        <v>0</v>
      </c>
      <c r="B15" s="844" t="str">
        <f>前年度登録!AE12</f>
        <v/>
      </c>
      <c r="C15" s="1286">
        <f t="shared" si="4"/>
        <v>0</v>
      </c>
      <c r="D15" s="848"/>
      <c r="E15" s="849">
        <f>前年度登録!T12</f>
        <v>0</v>
      </c>
      <c r="F15" s="694" t="str">
        <f>前年度登録!DB12</f>
        <v/>
      </c>
      <c r="G15" s="1134" t="str">
        <f>前年度登録!AO12</f>
        <v/>
      </c>
      <c r="H15" s="663" t="str">
        <f>前年度登録!DB12</f>
        <v/>
      </c>
      <c r="I15" s="290" t="str">
        <f>前年度登録!AN12</f>
        <v/>
      </c>
      <c r="J15" s="359" t="str">
        <f>前年度登録!DC12</f>
        <v/>
      </c>
      <c r="K15" s="1247">
        <f>前年度登録!DE12</f>
        <v>0</v>
      </c>
      <c r="L15" s="1037" t="str">
        <f>前年度登録!DJ12</f>
        <v>00</v>
      </c>
      <c r="M15" s="844" t="s">
        <v>1061</v>
      </c>
      <c r="N15" s="1248">
        <f>前年度登録!S12</f>
        <v>0</v>
      </c>
      <c r="O15" s="291"/>
      <c r="P15" s="292" t="str">
        <f t="shared" si="5"/>
        <v/>
      </c>
      <c r="Q15" s="623" t="str">
        <f>IF(O15="","",HLOOKUP(O15,前年度登録!$AW$3:$CW$118,10,FALSE))</f>
        <v/>
      </c>
      <c r="R15" s="773" t="str">
        <f t="shared" si="6"/>
        <v/>
      </c>
      <c r="S15" s="774" t="str">
        <f t="shared" si="7"/>
        <v/>
      </c>
      <c r="T15" s="293"/>
      <c r="U15" s="850" t="str">
        <f t="shared" si="8"/>
        <v/>
      </c>
      <c r="V15" s="1290"/>
      <c r="W15" s="773" t="str">
        <f t="shared" si="9"/>
        <v/>
      </c>
      <c r="X15" s="774" t="str">
        <f t="shared" si="10"/>
        <v/>
      </c>
      <c r="Y15" s="1311"/>
      <c r="Z15" s="1308" t="str">
        <f t="shared" si="11"/>
        <v/>
      </c>
      <c r="AA15" s="777"/>
      <c r="AB15" s="780"/>
      <c r="AC15" s="851" t="str">
        <f>IF(AB15="","",IF(I15=1,VLOOKUP(AB15,男子種目コード!$D$2:$E$16,2,FALSE),IF(I15=2,VLOOKUP(AB15,女子種目コード!$D$2:$E$16,2,FALSE))))</f>
        <v/>
      </c>
      <c r="AD15" s="845"/>
      <c r="AE15" s="781"/>
      <c r="AF15" s="851"/>
      <c r="AG15" s="846"/>
      <c r="AH15" s="802"/>
      <c r="AI15" s="802"/>
      <c r="AK15" s="791" t="s">
        <v>405</v>
      </c>
      <c r="AL15" s="797" t="str">
        <f t="shared" si="12"/>
        <v/>
      </c>
      <c r="AM15" s="857" t="s">
        <v>233</v>
      </c>
      <c r="AN15" s="862"/>
      <c r="AO15" s="858">
        <f>COUNTIF($T$7:$T$116,"女子B")</f>
        <v>0</v>
      </c>
      <c r="AP15" s="859">
        <f t="shared" si="16"/>
        <v>0</v>
      </c>
      <c r="AR15" s="807"/>
      <c r="AS15" s="807"/>
      <c r="AT15" s="847">
        <f t="shared" si="0"/>
        <v>0</v>
      </c>
      <c r="AU15" s="807"/>
      <c r="AV15" s="797">
        <f t="shared" si="13"/>
        <v>0</v>
      </c>
      <c r="AW15" s="797" t="str">
        <f t="shared" si="1"/>
        <v/>
      </c>
      <c r="AX15" s="797" t="str">
        <f t="shared" si="2"/>
        <v/>
      </c>
      <c r="AY15" s="1439" t="s">
        <v>735</v>
      </c>
      <c r="AZ15" s="1465"/>
      <c r="BA15" s="1465" t="s">
        <v>735</v>
      </c>
      <c r="BB15" s="1440"/>
      <c r="BG15" s="807"/>
      <c r="BH15" s="1169"/>
      <c r="BI15" s="1169"/>
      <c r="BJ15" s="1169"/>
      <c r="BK15" s="1169"/>
      <c r="BL15" s="1169"/>
    </row>
    <row r="16" spans="1:64" ht="14.25" thickBot="1">
      <c r="A16" s="839">
        <f t="shared" si="3"/>
        <v>0</v>
      </c>
      <c r="B16" s="844" t="str">
        <f>前年度登録!AE13</f>
        <v/>
      </c>
      <c r="C16" s="1286">
        <f t="shared" si="4"/>
        <v>0</v>
      </c>
      <c r="D16" s="848"/>
      <c r="E16" s="849">
        <f>前年度登録!T13</f>
        <v>0</v>
      </c>
      <c r="F16" s="694" t="str">
        <f>前年度登録!DB13</f>
        <v/>
      </c>
      <c r="G16" s="1134" t="str">
        <f>前年度登録!AO13</f>
        <v/>
      </c>
      <c r="H16" s="663" t="str">
        <f>前年度登録!DB13</f>
        <v/>
      </c>
      <c r="I16" s="290" t="str">
        <f>前年度登録!AN13</f>
        <v/>
      </c>
      <c r="J16" s="359" t="str">
        <f>前年度登録!DC13</f>
        <v/>
      </c>
      <c r="K16" s="1247">
        <f>前年度登録!DE13</f>
        <v>0</v>
      </c>
      <c r="L16" s="1037" t="str">
        <f>前年度登録!DJ13</f>
        <v>00</v>
      </c>
      <c r="M16" s="844" t="s">
        <v>1061</v>
      </c>
      <c r="N16" s="1248">
        <f>前年度登録!S13</f>
        <v>0</v>
      </c>
      <c r="O16" s="291"/>
      <c r="P16" s="292" t="str">
        <f t="shared" si="5"/>
        <v/>
      </c>
      <c r="Q16" s="623" t="str">
        <f>IF(O16="","",HLOOKUP(O16,前年度登録!$AW$3:$CW$118,11,FALSE))</f>
        <v/>
      </c>
      <c r="R16" s="773" t="str">
        <f t="shared" si="6"/>
        <v/>
      </c>
      <c r="S16" s="774" t="str">
        <f t="shared" si="7"/>
        <v/>
      </c>
      <c r="T16" s="293"/>
      <c r="U16" s="850" t="str">
        <f t="shared" si="8"/>
        <v/>
      </c>
      <c r="V16" s="1290"/>
      <c r="W16" s="773" t="str">
        <f t="shared" si="9"/>
        <v/>
      </c>
      <c r="X16" s="774" t="str">
        <f t="shared" si="10"/>
        <v/>
      </c>
      <c r="Y16" s="1311"/>
      <c r="Z16" s="1308" t="str">
        <f t="shared" si="11"/>
        <v/>
      </c>
      <c r="AA16" s="777"/>
      <c r="AB16" s="780"/>
      <c r="AC16" s="851" t="str">
        <f>IF(AB16="","",IF(I16=1,VLOOKUP(AB16,男子種目コード!$D$2:$E$16,2,FALSE),IF(I16=2,VLOOKUP(AB16,女子種目コード!$D$2:$E$16,2,FALSE))))</f>
        <v/>
      </c>
      <c r="AD16" s="845"/>
      <c r="AE16" s="781"/>
      <c r="AF16" s="851"/>
      <c r="AG16" s="846"/>
      <c r="AH16" s="802"/>
      <c r="AI16" s="802"/>
      <c r="AK16" s="791" t="s">
        <v>185</v>
      </c>
      <c r="AL16" s="797" t="str">
        <f t="shared" si="12"/>
        <v/>
      </c>
      <c r="AM16" s="863" t="s">
        <v>234</v>
      </c>
      <c r="AN16" s="864"/>
      <c r="AO16" s="865">
        <f>COUNTIF($T$7:$T$116,"女子C")</f>
        <v>0</v>
      </c>
      <c r="AP16" s="859">
        <f t="shared" si="16"/>
        <v>0</v>
      </c>
      <c r="AQ16" s="797">
        <f>SUM(AP14:AP16)</f>
        <v>0</v>
      </c>
      <c r="AR16" s="807"/>
      <c r="AS16" s="807"/>
      <c r="AT16" s="847">
        <f t="shared" si="0"/>
        <v>0</v>
      </c>
      <c r="AU16" s="807"/>
      <c r="AV16" s="797">
        <f t="shared" si="13"/>
        <v>0</v>
      </c>
      <c r="AW16" s="797" t="str">
        <f t="shared" si="1"/>
        <v/>
      </c>
      <c r="AX16" s="797" t="str">
        <f t="shared" si="2"/>
        <v/>
      </c>
      <c r="AY16" s="853" t="str">
        <f ca="1">IF(ISERROR(BC16),"",BC16)</f>
        <v/>
      </c>
      <c r="AZ16" s="854" t="str">
        <f ca="1">IF(ISERROR(BD16),"",BD16)</f>
        <v/>
      </c>
      <c r="BA16" s="855" t="str">
        <f ca="1">IF(ISERROR(BE16),"",BE16)</f>
        <v/>
      </c>
      <c r="BB16" s="856" t="str">
        <f ca="1">IF(ISERROR(BF16),"",BF16)</f>
        <v/>
      </c>
      <c r="BC16" s="372" t="e">
        <f ca="1">VLookUpX("男子B",$A$7:$F$116,1,5)</f>
        <v>#N/A</v>
      </c>
      <c r="BD16" s="372" t="e">
        <f ca="1">VLookUpX("男子B",$A$7:$F$116,1,6)</f>
        <v>#N/A</v>
      </c>
      <c r="BE16" s="372" t="e">
        <f ca="1">VLookUpX("女子B",$A$7:$F$116,1,5)</f>
        <v>#N/A</v>
      </c>
      <c r="BF16" s="372" t="e">
        <f ca="1">VLookUpX("女子B",$A$7:$F$116,1,6)</f>
        <v>#N/A</v>
      </c>
      <c r="BG16" s="807"/>
      <c r="BH16" s="1169"/>
      <c r="BI16" s="1169"/>
      <c r="BJ16" s="1169"/>
      <c r="BK16" s="1169"/>
      <c r="BL16" s="1169"/>
    </row>
    <row r="17" spans="1:72">
      <c r="A17" s="839">
        <f t="shared" si="3"/>
        <v>0</v>
      </c>
      <c r="B17" s="844" t="str">
        <f>前年度登録!AE14</f>
        <v/>
      </c>
      <c r="C17" s="1286">
        <f t="shared" si="4"/>
        <v>0</v>
      </c>
      <c r="D17" s="848"/>
      <c r="E17" s="849">
        <f>前年度登録!T14</f>
        <v>0</v>
      </c>
      <c r="F17" s="694" t="str">
        <f>前年度登録!DB14</f>
        <v/>
      </c>
      <c r="G17" s="1134" t="str">
        <f>前年度登録!AO14</f>
        <v/>
      </c>
      <c r="H17" s="663" t="str">
        <f>前年度登録!DB14</f>
        <v/>
      </c>
      <c r="I17" s="290" t="str">
        <f>前年度登録!AN14</f>
        <v/>
      </c>
      <c r="J17" s="359" t="str">
        <f>前年度登録!DC14</f>
        <v/>
      </c>
      <c r="K17" s="1247">
        <f>前年度登録!DE14</f>
        <v>0</v>
      </c>
      <c r="L17" s="1037" t="str">
        <f>前年度登録!DJ14</f>
        <v>00</v>
      </c>
      <c r="M17" s="844" t="s">
        <v>1061</v>
      </c>
      <c r="N17" s="1248">
        <f>前年度登録!S14</f>
        <v>0</v>
      </c>
      <c r="O17" s="291"/>
      <c r="P17" s="292" t="str">
        <f t="shared" si="5"/>
        <v/>
      </c>
      <c r="Q17" s="623" t="str">
        <f>IF(O17="","",HLOOKUP(O17,前年度登録!$AW$3:$CW$118,12,FALSE))</f>
        <v/>
      </c>
      <c r="R17" s="773" t="str">
        <f t="shared" si="6"/>
        <v/>
      </c>
      <c r="S17" s="774" t="str">
        <f t="shared" si="7"/>
        <v/>
      </c>
      <c r="T17" s="293"/>
      <c r="U17" s="850" t="str">
        <f t="shared" si="8"/>
        <v/>
      </c>
      <c r="V17" s="1290"/>
      <c r="W17" s="773" t="str">
        <f t="shared" si="9"/>
        <v/>
      </c>
      <c r="X17" s="774" t="str">
        <f t="shared" si="10"/>
        <v/>
      </c>
      <c r="Y17" s="1311"/>
      <c r="Z17" s="1308" t="str">
        <f t="shared" si="11"/>
        <v/>
      </c>
      <c r="AA17" s="777"/>
      <c r="AB17" s="780"/>
      <c r="AC17" s="851" t="str">
        <f>IF(AB17="","",IF(I17=1,VLOOKUP(AB17,男子種目コード!$D$2:$E$16,2,FALSE),IF(I17=2,VLOOKUP(AB17,女子種目コード!$D$2:$E$16,2,FALSE))))</f>
        <v/>
      </c>
      <c r="AD17" s="845"/>
      <c r="AE17" s="781"/>
      <c r="AF17" s="851"/>
      <c r="AG17" s="846"/>
      <c r="AH17" s="802"/>
      <c r="AI17" s="802"/>
      <c r="AK17" s="791" t="s">
        <v>262</v>
      </c>
      <c r="AL17" s="797" t="str">
        <f t="shared" si="12"/>
        <v/>
      </c>
      <c r="AM17" s="1442" t="s">
        <v>403</v>
      </c>
      <c r="AN17" s="1443"/>
      <c r="AO17" s="1301"/>
      <c r="AP17" s="807">
        <f>SUM(AP9:AP16)</f>
        <v>0</v>
      </c>
      <c r="AQ17" s="807"/>
      <c r="AR17" s="807"/>
      <c r="AS17" s="807"/>
      <c r="AT17" s="847">
        <f t="shared" si="0"/>
        <v>0</v>
      </c>
      <c r="AU17" s="807"/>
      <c r="AV17" s="797">
        <f t="shared" si="13"/>
        <v>0</v>
      </c>
      <c r="AW17" s="797" t="str">
        <f t="shared" si="1"/>
        <v/>
      </c>
      <c r="AX17" s="797" t="str">
        <f t="shared" si="2"/>
        <v/>
      </c>
      <c r="AY17" s="853" t="str">
        <f t="shared" ref="AY17:AZ21" ca="1" si="17">IF(ISERROR(BC17),"",BC17)</f>
        <v/>
      </c>
      <c r="AZ17" s="854" t="str">
        <f t="shared" ca="1" si="17"/>
        <v/>
      </c>
      <c r="BA17" s="855" t="str">
        <f t="shared" ref="BA17:BB21" ca="1" si="18">IF(ISERROR(BE17),"",BE17)</f>
        <v/>
      </c>
      <c r="BB17" s="856" t="str">
        <f t="shared" ca="1" si="18"/>
        <v/>
      </c>
      <c r="BC17" s="372" t="e">
        <f ca="1">VLookUpX("男子B",$A$7:$F$116,2,5)</f>
        <v>#N/A</v>
      </c>
      <c r="BD17" s="372" t="e">
        <f ca="1">VLookUpX("男子B",$A$7:$F$116,2,6)</f>
        <v>#N/A</v>
      </c>
      <c r="BE17" s="372" t="e">
        <f ca="1">VLookUpX("女子B",$A$7:$F$116,2,5)</f>
        <v>#N/A</v>
      </c>
      <c r="BF17" s="372" t="e">
        <f ca="1">VLookUpX("女子B",$A$7:$F$116,2,6)</f>
        <v>#N/A</v>
      </c>
      <c r="BG17" s="807"/>
      <c r="BH17" s="1169"/>
      <c r="BI17" s="1169"/>
      <c r="BJ17" s="1169"/>
      <c r="BK17" s="1169"/>
      <c r="BL17" s="1169"/>
    </row>
    <row r="18" spans="1:72">
      <c r="A18" s="839">
        <f t="shared" si="3"/>
        <v>0</v>
      </c>
      <c r="B18" s="844" t="str">
        <f>前年度登録!AE15</f>
        <v/>
      </c>
      <c r="C18" s="1286">
        <f t="shared" si="4"/>
        <v>0</v>
      </c>
      <c r="D18" s="848"/>
      <c r="E18" s="849">
        <f>前年度登録!T15</f>
        <v>0</v>
      </c>
      <c r="F18" s="694" t="str">
        <f>前年度登録!DB15</f>
        <v/>
      </c>
      <c r="G18" s="1134" t="str">
        <f>前年度登録!AO15</f>
        <v/>
      </c>
      <c r="H18" s="663" t="str">
        <f>前年度登録!DB15</f>
        <v/>
      </c>
      <c r="I18" s="290" t="str">
        <f>前年度登録!AN15</f>
        <v/>
      </c>
      <c r="J18" s="359" t="str">
        <f>前年度登録!DC15</f>
        <v/>
      </c>
      <c r="K18" s="1247">
        <f>前年度登録!DE15</f>
        <v>0</v>
      </c>
      <c r="L18" s="1037" t="str">
        <f>前年度登録!DJ15</f>
        <v>00</v>
      </c>
      <c r="M18" s="844" t="s">
        <v>1061</v>
      </c>
      <c r="N18" s="1248">
        <f>前年度登録!S15</f>
        <v>0</v>
      </c>
      <c r="O18" s="291"/>
      <c r="P18" s="292" t="str">
        <f t="shared" si="5"/>
        <v/>
      </c>
      <c r="Q18" s="623" t="str">
        <f>IF(O18="","",HLOOKUP(O18,前年度登録!$AW$3:$CW$118,13,FALSE))</f>
        <v/>
      </c>
      <c r="R18" s="773" t="str">
        <f t="shared" si="6"/>
        <v/>
      </c>
      <c r="S18" s="774" t="str">
        <f t="shared" si="7"/>
        <v/>
      </c>
      <c r="T18" s="293"/>
      <c r="U18" s="850" t="str">
        <f t="shared" si="8"/>
        <v/>
      </c>
      <c r="V18" s="1290"/>
      <c r="W18" s="773" t="str">
        <f t="shared" si="9"/>
        <v/>
      </c>
      <c r="X18" s="774" t="str">
        <f t="shared" si="10"/>
        <v/>
      </c>
      <c r="Y18" s="1311"/>
      <c r="Z18" s="1308" t="str">
        <f t="shared" si="11"/>
        <v/>
      </c>
      <c r="AA18" s="777"/>
      <c r="AB18" s="780"/>
      <c r="AC18" s="851" t="str">
        <f>IF(AB18="","",IF(I18=1,VLOOKUP(AB18,男子種目コード!$D$2:$E$16,2,FALSE),IF(I18=2,VLOOKUP(AB18,女子種目コード!$D$2:$E$16,2,FALSE))))</f>
        <v/>
      </c>
      <c r="AD18" s="845"/>
      <c r="AE18" s="781"/>
      <c r="AF18" s="851"/>
      <c r="AG18" s="846"/>
      <c r="AH18" s="802"/>
      <c r="AI18" s="802"/>
      <c r="AK18" s="866" t="s">
        <v>395</v>
      </c>
      <c r="AL18" s="797" t="str">
        <f t="shared" si="12"/>
        <v/>
      </c>
      <c r="AM18" s="1444" t="s">
        <v>273</v>
      </c>
      <c r="AN18" s="1445"/>
      <c r="AO18" s="1301"/>
      <c r="AP18" s="807"/>
      <c r="AQ18" s="807"/>
      <c r="AR18" s="807"/>
      <c r="AS18" s="807"/>
      <c r="AT18" s="847">
        <f t="shared" si="0"/>
        <v>0</v>
      </c>
      <c r="AU18" s="807"/>
      <c r="AV18" s="797">
        <f t="shared" si="13"/>
        <v>0</v>
      </c>
      <c r="AW18" s="797" t="str">
        <f t="shared" si="1"/>
        <v/>
      </c>
      <c r="AX18" s="797" t="str">
        <f t="shared" si="2"/>
        <v/>
      </c>
      <c r="AY18" s="853" t="str">
        <f t="shared" ca="1" si="17"/>
        <v/>
      </c>
      <c r="AZ18" s="854" t="str">
        <f t="shared" ca="1" si="17"/>
        <v/>
      </c>
      <c r="BA18" s="855" t="str">
        <f t="shared" ca="1" si="18"/>
        <v/>
      </c>
      <c r="BB18" s="856" t="str">
        <f t="shared" ca="1" si="18"/>
        <v/>
      </c>
      <c r="BC18" s="372" t="e">
        <f ca="1">VLookUpX("男子B",$A$7:$F$116,3,5)</f>
        <v>#N/A</v>
      </c>
      <c r="BD18" s="372" t="e">
        <f ca="1">VLookUpX("男子B",$A$7:$F$116,3,6)</f>
        <v>#N/A</v>
      </c>
      <c r="BE18" s="372" t="e">
        <f ca="1">VLookUpX("女子B",$A$7:$F$116,3,5)</f>
        <v>#N/A</v>
      </c>
      <c r="BF18" s="372" t="e">
        <f ca="1">VLookUpX("女子B",$A$7:$F$116,3,6)</f>
        <v>#N/A</v>
      </c>
      <c r="BG18" s="807"/>
      <c r="BH18" s="1169"/>
      <c r="BI18" s="1169"/>
      <c r="BJ18" s="1169"/>
      <c r="BK18" s="1169"/>
      <c r="BL18" s="1169"/>
    </row>
    <row r="19" spans="1:72">
      <c r="A19" s="839">
        <f t="shared" si="3"/>
        <v>0</v>
      </c>
      <c r="B19" s="844" t="str">
        <f>前年度登録!AE16</f>
        <v/>
      </c>
      <c r="C19" s="1286">
        <f t="shared" si="4"/>
        <v>0</v>
      </c>
      <c r="D19" s="848"/>
      <c r="E19" s="849">
        <f>前年度登録!T16</f>
        <v>0</v>
      </c>
      <c r="F19" s="694" t="str">
        <f>前年度登録!DB16</f>
        <v/>
      </c>
      <c r="G19" s="1134" t="str">
        <f>前年度登録!AO16</f>
        <v/>
      </c>
      <c r="H19" s="663" t="str">
        <f>前年度登録!DB16</f>
        <v/>
      </c>
      <c r="I19" s="290" t="str">
        <f>前年度登録!AN16</f>
        <v/>
      </c>
      <c r="J19" s="359" t="str">
        <f>前年度登録!DC16</f>
        <v/>
      </c>
      <c r="K19" s="1247">
        <f>前年度登録!DE16</f>
        <v>0</v>
      </c>
      <c r="L19" s="1037" t="str">
        <f>前年度登録!DJ16</f>
        <v>00</v>
      </c>
      <c r="M19" s="844" t="s">
        <v>1061</v>
      </c>
      <c r="N19" s="1248">
        <f>前年度登録!S16</f>
        <v>0</v>
      </c>
      <c r="O19" s="291"/>
      <c r="P19" s="292" t="str">
        <f t="shared" si="5"/>
        <v/>
      </c>
      <c r="Q19" s="623" t="str">
        <f>IF(O19="","",HLOOKUP(O19,前年度登録!$AW$3:$CW$118,14,FALSE))</f>
        <v/>
      </c>
      <c r="R19" s="773" t="str">
        <f t="shared" si="6"/>
        <v/>
      </c>
      <c r="S19" s="774" t="str">
        <f t="shared" si="7"/>
        <v/>
      </c>
      <c r="T19" s="293"/>
      <c r="U19" s="850" t="str">
        <f t="shared" si="8"/>
        <v/>
      </c>
      <c r="V19" s="1290"/>
      <c r="W19" s="773" t="str">
        <f t="shared" si="9"/>
        <v/>
      </c>
      <c r="X19" s="774" t="str">
        <f t="shared" si="10"/>
        <v/>
      </c>
      <c r="Y19" s="1311"/>
      <c r="Z19" s="1308" t="str">
        <f t="shared" si="11"/>
        <v/>
      </c>
      <c r="AA19" s="777"/>
      <c r="AB19" s="780"/>
      <c r="AC19" s="851" t="str">
        <f>IF(AB19="","",IF(I19=1,VLOOKUP(AB19,男子種目コード!$D$2:$E$16,2,FALSE),IF(I19=2,VLOOKUP(AB19,女子種目コード!$D$2:$E$16,2,FALSE))))</f>
        <v/>
      </c>
      <c r="AD19" s="845"/>
      <c r="AE19" s="781"/>
      <c r="AF19" s="851"/>
      <c r="AG19" s="846"/>
      <c r="AH19" s="802"/>
      <c r="AI19" s="802"/>
      <c r="AK19" s="866" t="s">
        <v>396</v>
      </c>
      <c r="AL19" s="797" t="str">
        <f t="shared" si="12"/>
        <v/>
      </c>
      <c r="AM19" s="791" t="s">
        <v>1114</v>
      </c>
      <c r="AN19" s="792">
        <f>COUNTIF($P$7:$P$116,15)</f>
        <v>0</v>
      </c>
      <c r="AO19" s="1302">
        <v>15</v>
      </c>
      <c r="AP19" s="1275"/>
      <c r="AQ19" s="1275"/>
      <c r="AR19" s="1275"/>
      <c r="AS19" s="807"/>
      <c r="AT19" s="847">
        <f t="shared" si="0"/>
        <v>0</v>
      </c>
      <c r="AU19" s="807"/>
      <c r="AV19" s="797">
        <f t="shared" si="13"/>
        <v>0</v>
      </c>
      <c r="AW19" s="797" t="str">
        <f t="shared" si="1"/>
        <v/>
      </c>
      <c r="AX19" s="797" t="str">
        <f t="shared" si="2"/>
        <v/>
      </c>
      <c r="AY19" s="853" t="str">
        <f t="shared" ca="1" si="17"/>
        <v/>
      </c>
      <c r="AZ19" s="854" t="str">
        <f t="shared" ca="1" si="17"/>
        <v/>
      </c>
      <c r="BA19" s="855" t="str">
        <f t="shared" ca="1" si="18"/>
        <v/>
      </c>
      <c r="BB19" s="856" t="str">
        <f t="shared" ca="1" si="18"/>
        <v/>
      </c>
      <c r="BC19" s="372" t="e">
        <f ca="1">VLookUpX("男子B",$A$7:$F$116,4,5)</f>
        <v>#N/A</v>
      </c>
      <c r="BD19" s="372" t="e">
        <f ca="1">VLookUpX("男子B",$A$7:$F$116,4,6)</f>
        <v>#N/A</v>
      </c>
      <c r="BE19" s="372" t="e">
        <f ca="1">VLookUpX("女子B",$A$7:$F$116,4,5)</f>
        <v>#N/A</v>
      </c>
      <c r="BF19" s="372" t="e">
        <f ca="1">VLookUpX("女子B",$A$7:$F$116,4,6)</f>
        <v>#N/A</v>
      </c>
      <c r="BG19" s="807"/>
      <c r="BH19" s="1169"/>
      <c r="BI19" s="1169"/>
      <c r="BJ19" s="1169"/>
      <c r="BK19" s="1169"/>
      <c r="BL19" s="1169"/>
    </row>
    <row r="20" spans="1:72">
      <c r="A20" s="839">
        <f t="shared" si="3"/>
        <v>0</v>
      </c>
      <c r="B20" s="844" t="str">
        <f>前年度登録!AE17</f>
        <v/>
      </c>
      <c r="C20" s="1286">
        <f t="shared" si="4"/>
        <v>0</v>
      </c>
      <c r="D20" s="848"/>
      <c r="E20" s="849">
        <f>前年度登録!T17</f>
        <v>0</v>
      </c>
      <c r="F20" s="694" t="str">
        <f>前年度登録!DB17</f>
        <v/>
      </c>
      <c r="G20" s="1134" t="str">
        <f>前年度登録!AO17</f>
        <v/>
      </c>
      <c r="H20" s="663" t="str">
        <f>前年度登録!DB17</f>
        <v/>
      </c>
      <c r="I20" s="290" t="str">
        <f>前年度登録!AN17</f>
        <v/>
      </c>
      <c r="J20" s="359" t="str">
        <f>前年度登録!DC17</f>
        <v/>
      </c>
      <c r="K20" s="1247">
        <f>前年度登録!DE17</f>
        <v>0</v>
      </c>
      <c r="L20" s="1037" t="str">
        <f>前年度登録!DJ17</f>
        <v>00</v>
      </c>
      <c r="M20" s="844" t="s">
        <v>1061</v>
      </c>
      <c r="N20" s="1248">
        <f>前年度登録!S17</f>
        <v>0</v>
      </c>
      <c r="O20" s="291"/>
      <c r="P20" s="292" t="str">
        <f t="shared" si="5"/>
        <v/>
      </c>
      <c r="Q20" s="623" t="str">
        <f>IF(O20="","",HLOOKUP(O20,前年度登録!$AW$3:$CW$118,15,FALSE))</f>
        <v/>
      </c>
      <c r="R20" s="773" t="str">
        <f t="shared" si="6"/>
        <v/>
      </c>
      <c r="S20" s="774" t="str">
        <f t="shared" si="7"/>
        <v/>
      </c>
      <c r="T20" s="293"/>
      <c r="U20" s="850" t="str">
        <f t="shared" si="8"/>
        <v/>
      </c>
      <c r="V20" s="1290"/>
      <c r="W20" s="773" t="str">
        <f t="shared" si="9"/>
        <v/>
      </c>
      <c r="X20" s="774" t="str">
        <f t="shared" si="10"/>
        <v/>
      </c>
      <c r="Y20" s="1311"/>
      <c r="Z20" s="1308" t="str">
        <f t="shared" si="11"/>
        <v/>
      </c>
      <c r="AA20" s="777"/>
      <c r="AB20" s="780"/>
      <c r="AC20" s="851" t="str">
        <f>IF(AB20="","",IF(I20=1,VLOOKUP(AB20,男子種目コード!$D$2:$E$16,2,FALSE),IF(I20=2,VLOOKUP(AB20,女子種目コード!$D$2:$E$16,2,FALSE))))</f>
        <v/>
      </c>
      <c r="AD20" s="845"/>
      <c r="AE20" s="781"/>
      <c r="AF20" s="851"/>
      <c r="AG20" s="846"/>
      <c r="AH20" s="802"/>
      <c r="AI20" s="802"/>
      <c r="AK20" s="867" t="s">
        <v>397</v>
      </c>
      <c r="AL20" s="797" t="str">
        <f t="shared" si="12"/>
        <v/>
      </c>
      <c r="AM20" s="791" t="s">
        <v>1115</v>
      </c>
      <c r="AN20" s="792">
        <f>COUNTIF($P$7:$P$116,14)</f>
        <v>0</v>
      </c>
      <c r="AO20" s="1303">
        <v>14</v>
      </c>
      <c r="AP20" s="1274"/>
      <c r="AQ20" s="1274"/>
      <c r="AR20" s="1274"/>
      <c r="AS20" s="807"/>
      <c r="AT20" s="847">
        <f t="shared" si="0"/>
        <v>0</v>
      </c>
      <c r="AU20" s="807"/>
      <c r="AV20" s="797">
        <f t="shared" si="13"/>
        <v>0</v>
      </c>
      <c r="AW20" s="797" t="str">
        <f t="shared" si="1"/>
        <v/>
      </c>
      <c r="AX20" s="797" t="str">
        <f t="shared" si="2"/>
        <v/>
      </c>
      <c r="AY20" s="853" t="str">
        <f t="shared" ca="1" si="17"/>
        <v/>
      </c>
      <c r="AZ20" s="854" t="str">
        <f t="shared" ca="1" si="17"/>
        <v/>
      </c>
      <c r="BA20" s="855" t="str">
        <f t="shared" ca="1" si="18"/>
        <v/>
      </c>
      <c r="BB20" s="856" t="str">
        <f t="shared" ca="1" si="18"/>
        <v/>
      </c>
      <c r="BC20" s="372" t="e">
        <f ca="1">VLookUpX("男子B",$A$7:$F$116,5,5)</f>
        <v>#N/A</v>
      </c>
      <c r="BD20" s="372" t="e">
        <f ca="1">VLookUpX("男子B",$A$7:$F$116,5,6)</f>
        <v>#N/A</v>
      </c>
      <c r="BE20" s="372" t="e">
        <f ca="1">VLookUpX("女子B",$A$7:$F$116,5,5)</f>
        <v>#N/A</v>
      </c>
      <c r="BF20" s="372" t="e">
        <f ca="1">VLookUpX("女子B",$A$7:$F$116,5,6)</f>
        <v>#N/A</v>
      </c>
      <c r="BG20" s="807"/>
      <c r="BH20" s="1169"/>
      <c r="BI20" s="1169"/>
      <c r="BJ20" s="1169"/>
      <c r="BK20" s="1169"/>
      <c r="BL20" s="1169"/>
    </row>
    <row r="21" spans="1:72">
      <c r="A21" s="839">
        <f t="shared" si="3"/>
        <v>0</v>
      </c>
      <c r="B21" s="844" t="str">
        <f>前年度登録!AE18</f>
        <v/>
      </c>
      <c r="C21" s="1286">
        <f t="shared" si="4"/>
        <v>0</v>
      </c>
      <c r="D21" s="848"/>
      <c r="E21" s="849">
        <f>前年度登録!T18</f>
        <v>0</v>
      </c>
      <c r="F21" s="694" t="str">
        <f>前年度登録!DB18</f>
        <v/>
      </c>
      <c r="G21" s="1134" t="str">
        <f>前年度登録!AO18</f>
        <v/>
      </c>
      <c r="H21" s="663" t="str">
        <f>前年度登録!DB18</f>
        <v/>
      </c>
      <c r="I21" s="290" t="str">
        <f>前年度登録!AN18</f>
        <v/>
      </c>
      <c r="J21" s="359" t="str">
        <f>前年度登録!DC18</f>
        <v/>
      </c>
      <c r="K21" s="1247">
        <f>前年度登録!DE18</f>
        <v>0</v>
      </c>
      <c r="L21" s="1037" t="str">
        <f>前年度登録!DJ18</f>
        <v>00</v>
      </c>
      <c r="M21" s="844" t="s">
        <v>1061</v>
      </c>
      <c r="N21" s="1248">
        <f>前年度登録!S18</f>
        <v>0</v>
      </c>
      <c r="O21" s="291"/>
      <c r="P21" s="292" t="str">
        <f t="shared" si="5"/>
        <v/>
      </c>
      <c r="Q21" s="623" t="str">
        <f>IF(O21="","",HLOOKUP(O21,前年度登録!$AW$3:$CW$118,16,FALSE))</f>
        <v/>
      </c>
      <c r="R21" s="773" t="str">
        <f t="shared" si="6"/>
        <v/>
      </c>
      <c r="S21" s="774" t="str">
        <f t="shared" si="7"/>
        <v/>
      </c>
      <c r="T21" s="293"/>
      <c r="U21" s="850" t="str">
        <f t="shared" si="8"/>
        <v/>
      </c>
      <c r="V21" s="1290"/>
      <c r="W21" s="773" t="str">
        <f t="shared" si="9"/>
        <v/>
      </c>
      <c r="X21" s="774" t="str">
        <f t="shared" si="10"/>
        <v/>
      </c>
      <c r="Y21" s="1311"/>
      <c r="Z21" s="1308" t="str">
        <f t="shared" si="11"/>
        <v/>
      </c>
      <c r="AA21" s="777"/>
      <c r="AB21" s="780"/>
      <c r="AC21" s="851" t="str">
        <f>IF(AB21="","",IF(I21=1,VLOOKUP(AB21,男子種目コード!$D$2:$E$16,2,FALSE),IF(I21=2,VLOOKUP(AB21,女子種目コード!$D$2:$E$16,2,FALSE))))</f>
        <v/>
      </c>
      <c r="AD21" s="845"/>
      <c r="AE21" s="781"/>
      <c r="AF21" s="851"/>
      <c r="AG21" s="846"/>
      <c r="AH21" s="802"/>
      <c r="AI21" s="802"/>
      <c r="AK21" s="866" t="s">
        <v>398</v>
      </c>
      <c r="AL21" s="797" t="str">
        <f t="shared" si="12"/>
        <v/>
      </c>
      <c r="AM21" s="791" t="s">
        <v>1116</v>
      </c>
      <c r="AN21" s="792">
        <f>COUNTIF($P$7:$P$116,16)</f>
        <v>0</v>
      </c>
      <c r="AO21" s="1303">
        <v>16</v>
      </c>
      <c r="AP21" s="1274"/>
      <c r="AQ21" s="1274"/>
      <c r="AR21" s="1274"/>
      <c r="AS21" s="807"/>
      <c r="AT21" s="847">
        <f t="shared" si="0"/>
        <v>0</v>
      </c>
      <c r="AU21" s="807"/>
      <c r="AV21" s="797">
        <f t="shared" si="13"/>
        <v>0</v>
      </c>
      <c r="AW21" s="797" t="str">
        <f t="shared" si="1"/>
        <v/>
      </c>
      <c r="AX21" s="797" t="str">
        <f t="shared" si="2"/>
        <v/>
      </c>
      <c r="AY21" s="853" t="str">
        <f t="shared" ca="1" si="17"/>
        <v/>
      </c>
      <c r="AZ21" s="854" t="str">
        <f t="shared" ca="1" si="17"/>
        <v/>
      </c>
      <c r="BA21" s="855" t="str">
        <f t="shared" ca="1" si="18"/>
        <v/>
      </c>
      <c r="BB21" s="856" t="str">
        <f t="shared" ca="1" si="18"/>
        <v/>
      </c>
      <c r="BC21" s="372" t="e">
        <f ca="1">VLookUpX("男子B",$A$7:$F$116,6,5)</f>
        <v>#N/A</v>
      </c>
      <c r="BD21" s="372" t="e">
        <f ca="1">VLookUpX("男子B",$A$7:$F$116,6,6)</f>
        <v>#N/A</v>
      </c>
      <c r="BE21" s="372" t="e">
        <f ca="1">VLookUpX("女子B",$A$7:$F$116,6,5)</f>
        <v>#N/A</v>
      </c>
      <c r="BF21" s="372" t="e">
        <f ca="1">VLookUpX("女子B",$A$7:$F$116,6,6)</f>
        <v>#N/A</v>
      </c>
      <c r="BG21" s="807"/>
      <c r="BH21" s="1169"/>
      <c r="BI21" s="1169"/>
      <c r="BJ21" s="1169"/>
      <c r="BK21" s="1169"/>
      <c r="BL21" s="1169"/>
    </row>
    <row r="22" spans="1:72">
      <c r="A22" s="839">
        <f t="shared" si="3"/>
        <v>0</v>
      </c>
      <c r="B22" s="844" t="str">
        <f>前年度登録!AE19</f>
        <v/>
      </c>
      <c r="C22" s="1286">
        <f t="shared" si="4"/>
        <v>0</v>
      </c>
      <c r="D22" s="848"/>
      <c r="E22" s="849">
        <f>前年度登録!T19</f>
        <v>0</v>
      </c>
      <c r="F22" s="694" t="str">
        <f>前年度登録!DB19</f>
        <v/>
      </c>
      <c r="G22" s="1134" t="str">
        <f>前年度登録!AO19</f>
        <v/>
      </c>
      <c r="H22" s="663" t="str">
        <f>前年度登録!DB19</f>
        <v/>
      </c>
      <c r="I22" s="290" t="str">
        <f>前年度登録!AN19</f>
        <v/>
      </c>
      <c r="J22" s="359" t="str">
        <f>前年度登録!DC19</f>
        <v/>
      </c>
      <c r="K22" s="1247">
        <f>前年度登録!DE19</f>
        <v>0</v>
      </c>
      <c r="L22" s="1037" t="str">
        <f>前年度登録!DJ19</f>
        <v>00</v>
      </c>
      <c r="M22" s="844" t="s">
        <v>1061</v>
      </c>
      <c r="N22" s="1248">
        <f>前年度登録!S19</f>
        <v>0</v>
      </c>
      <c r="O22" s="291"/>
      <c r="P22" s="292" t="str">
        <f t="shared" si="5"/>
        <v/>
      </c>
      <c r="Q22" s="623" t="str">
        <f>IF(O22="","",HLOOKUP(O22,前年度登録!$AW$3:$CW$118,17,FALSE))</f>
        <v/>
      </c>
      <c r="R22" s="773" t="str">
        <f t="shared" si="6"/>
        <v/>
      </c>
      <c r="S22" s="774" t="str">
        <f t="shared" si="7"/>
        <v/>
      </c>
      <c r="T22" s="293"/>
      <c r="U22" s="850" t="str">
        <f t="shared" si="8"/>
        <v/>
      </c>
      <c r="V22" s="1290"/>
      <c r="W22" s="773" t="str">
        <f t="shared" si="9"/>
        <v/>
      </c>
      <c r="X22" s="774" t="str">
        <f t="shared" si="10"/>
        <v/>
      </c>
      <c r="Y22" s="1311"/>
      <c r="Z22" s="1308" t="str">
        <f t="shared" si="11"/>
        <v/>
      </c>
      <c r="AA22" s="777"/>
      <c r="AB22" s="780"/>
      <c r="AC22" s="851" t="str">
        <f>IF(AB22="","",IF(I22=1,VLOOKUP(AB22,男子種目コード!$D$2:$E$16,2,FALSE),IF(I22=2,VLOOKUP(AB22,女子種目コード!$D$2:$E$16,2,FALSE))))</f>
        <v/>
      </c>
      <c r="AD22" s="845"/>
      <c r="AE22" s="781"/>
      <c r="AF22" s="851"/>
      <c r="AG22" s="846"/>
      <c r="AH22" s="802"/>
      <c r="AI22" s="802"/>
      <c r="AK22" s="866" t="s">
        <v>399</v>
      </c>
      <c r="AL22" s="797" t="str">
        <f t="shared" si="12"/>
        <v/>
      </c>
      <c r="AM22" s="791" t="s">
        <v>1117</v>
      </c>
      <c r="AN22" s="792">
        <f>COUNTIF($P$7:$P$116,17)</f>
        <v>0</v>
      </c>
      <c r="AO22" s="1304">
        <v>17</v>
      </c>
      <c r="AP22" s="1276"/>
      <c r="AQ22" s="1276"/>
      <c r="AR22" s="1276"/>
      <c r="AS22" s="807"/>
      <c r="AT22" s="847">
        <f t="shared" si="0"/>
        <v>0</v>
      </c>
      <c r="AU22" s="807"/>
      <c r="AV22" s="797">
        <f t="shared" si="13"/>
        <v>0</v>
      </c>
      <c r="AW22" s="797" t="str">
        <f t="shared" si="1"/>
        <v/>
      </c>
      <c r="AX22" s="797" t="str">
        <f t="shared" si="2"/>
        <v/>
      </c>
      <c r="AY22" s="1466" t="s">
        <v>733</v>
      </c>
      <c r="AZ22" s="1467"/>
      <c r="BA22" s="1468" t="s">
        <v>737</v>
      </c>
      <c r="BB22" s="1469"/>
      <c r="BG22" s="807"/>
      <c r="BH22" s="1169"/>
      <c r="BI22" s="1169"/>
      <c r="BJ22" s="1169"/>
      <c r="BK22" s="1169"/>
      <c r="BL22" s="1169"/>
    </row>
    <row r="23" spans="1:72">
      <c r="A23" s="839">
        <f t="shared" si="3"/>
        <v>0</v>
      </c>
      <c r="B23" s="844" t="str">
        <f>前年度登録!AE20</f>
        <v/>
      </c>
      <c r="C23" s="1286">
        <f t="shared" si="4"/>
        <v>0</v>
      </c>
      <c r="D23" s="848"/>
      <c r="E23" s="849">
        <f>前年度登録!T20</f>
        <v>0</v>
      </c>
      <c r="F23" s="694" t="str">
        <f>前年度登録!DB20</f>
        <v/>
      </c>
      <c r="G23" s="1134" t="str">
        <f>前年度登録!AO20</f>
        <v/>
      </c>
      <c r="H23" s="663" t="str">
        <f>前年度登録!DB20</f>
        <v/>
      </c>
      <c r="I23" s="290" t="str">
        <f>前年度登録!AN20</f>
        <v/>
      </c>
      <c r="J23" s="359" t="str">
        <f>前年度登録!DC20</f>
        <v/>
      </c>
      <c r="K23" s="1247">
        <f>前年度登録!DE20</f>
        <v>0</v>
      </c>
      <c r="L23" s="1037" t="str">
        <f>前年度登録!DJ20</f>
        <v>00</v>
      </c>
      <c r="M23" s="844" t="s">
        <v>1061</v>
      </c>
      <c r="N23" s="1248">
        <f>前年度登録!S20</f>
        <v>0</v>
      </c>
      <c r="O23" s="291"/>
      <c r="P23" s="292" t="str">
        <f t="shared" si="5"/>
        <v/>
      </c>
      <c r="Q23" s="623" t="str">
        <f>IF(O23="","",HLOOKUP(O23,前年度登録!$AW$3:$CW$118,18,FALSE))</f>
        <v/>
      </c>
      <c r="R23" s="773" t="str">
        <f t="shared" si="6"/>
        <v/>
      </c>
      <c r="S23" s="774" t="str">
        <f t="shared" si="7"/>
        <v/>
      </c>
      <c r="T23" s="293"/>
      <c r="U23" s="850" t="str">
        <f t="shared" si="8"/>
        <v/>
      </c>
      <c r="V23" s="1290"/>
      <c r="W23" s="773" t="str">
        <f t="shared" si="9"/>
        <v/>
      </c>
      <c r="X23" s="774" t="str">
        <f t="shared" si="10"/>
        <v/>
      </c>
      <c r="Y23" s="1311"/>
      <c r="Z23" s="1308" t="str">
        <f t="shared" si="11"/>
        <v/>
      </c>
      <c r="AA23" s="777"/>
      <c r="AB23" s="780"/>
      <c r="AC23" s="851" t="str">
        <f>IF(AB23="","",IF(I23=1,VLOOKUP(AB23,男子種目コード!$D$2:$E$16,2,FALSE),IF(I23=2,VLOOKUP(AB23,女子種目コード!$D$2:$E$16,2,FALSE))))</f>
        <v/>
      </c>
      <c r="AD23" s="845"/>
      <c r="AE23" s="781"/>
      <c r="AF23" s="851"/>
      <c r="AG23" s="846"/>
      <c r="AH23" s="802"/>
      <c r="AI23" s="802"/>
      <c r="AK23" s="866" t="s">
        <v>400</v>
      </c>
      <c r="AL23" s="797" t="str">
        <f t="shared" si="12"/>
        <v/>
      </c>
      <c r="AM23" s="791" t="s">
        <v>1119</v>
      </c>
      <c r="AN23" s="792">
        <f>COUNTIF($P$7:$P$116,18)</f>
        <v>0</v>
      </c>
      <c r="AO23" s="1303">
        <v>18</v>
      </c>
      <c r="AP23" s="1273"/>
      <c r="AQ23" s="1273"/>
      <c r="AR23" s="1273"/>
      <c r="AS23" s="807"/>
      <c r="AT23" s="847">
        <f t="shared" si="0"/>
        <v>0</v>
      </c>
      <c r="AU23" s="807"/>
      <c r="AV23" s="797">
        <f t="shared" si="13"/>
        <v>0</v>
      </c>
      <c r="AW23" s="797" t="str">
        <f t="shared" si="1"/>
        <v/>
      </c>
      <c r="AX23" s="797" t="str">
        <f t="shared" si="2"/>
        <v/>
      </c>
      <c r="AY23" s="1439" t="s">
        <v>736</v>
      </c>
      <c r="AZ23" s="1465"/>
      <c r="BA23" s="1465" t="s">
        <v>736</v>
      </c>
      <c r="BB23" s="1440"/>
      <c r="BG23" s="807"/>
      <c r="BH23" s="1169"/>
      <c r="BI23" s="1169"/>
      <c r="BJ23" s="1169"/>
      <c r="BK23" s="1169"/>
      <c r="BL23" s="1169"/>
    </row>
    <row r="24" spans="1:72">
      <c r="A24" s="839">
        <f t="shared" si="3"/>
        <v>0</v>
      </c>
      <c r="B24" s="844" t="str">
        <f>前年度登録!AE21</f>
        <v/>
      </c>
      <c r="C24" s="1286">
        <f t="shared" si="4"/>
        <v>0</v>
      </c>
      <c r="D24" s="848"/>
      <c r="E24" s="849">
        <f>前年度登録!T21</f>
        <v>0</v>
      </c>
      <c r="F24" s="694" t="str">
        <f>前年度登録!DB21</f>
        <v/>
      </c>
      <c r="G24" s="1134" t="str">
        <f>前年度登録!AO21</f>
        <v/>
      </c>
      <c r="H24" s="663" t="str">
        <f>前年度登録!DB21</f>
        <v/>
      </c>
      <c r="I24" s="290" t="str">
        <f>前年度登録!AN21</f>
        <v/>
      </c>
      <c r="J24" s="359" t="str">
        <f>前年度登録!DC21</f>
        <v/>
      </c>
      <c r="K24" s="1247">
        <f>前年度登録!DE21</f>
        <v>0</v>
      </c>
      <c r="L24" s="1037" t="str">
        <f>前年度登録!DJ21</f>
        <v>00</v>
      </c>
      <c r="M24" s="844" t="s">
        <v>1061</v>
      </c>
      <c r="N24" s="1248">
        <f>前年度登録!S21</f>
        <v>0</v>
      </c>
      <c r="O24" s="291"/>
      <c r="P24" s="292" t="str">
        <f t="shared" si="5"/>
        <v/>
      </c>
      <c r="Q24" s="623" t="str">
        <f>IF(O24="","",HLOOKUP(O24,前年度登録!$AW$3:$CW$118,19,FALSE))</f>
        <v/>
      </c>
      <c r="R24" s="773" t="str">
        <f t="shared" si="6"/>
        <v/>
      </c>
      <c r="S24" s="774" t="str">
        <f t="shared" si="7"/>
        <v/>
      </c>
      <c r="T24" s="293"/>
      <c r="U24" s="850" t="str">
        <f t="shared" si="8"/>
        <v/>
      </c>
      <c r="V24" s="1290"/>
      <c r="W24" s="773" t="str">
        <f t="shared" si="9"/>
        <v/>
      </c>
      <c r="X24" s="774" t="str">
        <f t="shared" si="10"/>
        <v/>
      </c>
      <c r="Y24" s="1311"/>
      <c r="Z24" s="1308" t="str">
        <f t="shared" si="11"/>
        <v/>
      </c>
      <c r="AA24" s="777"/>
      <c r="AB24" s="780"/>
      <c r="AC24" s="851" t="str">
        <f>IF(AB24="","",IF(I24=1,VLOOKUP(AB24,男子種目コード!$D$2:$E$16,2,FALSE),IF(I24=2,VLOOKUP(AB24,女子種目コード!$D$2:$E$16,2,FALSE))))</f>
        <v/>
      </c>
      <c r="AD24" s="845"/>
      <c r="AE24" s="781"/>
      <c r="AF24" s="851"/>
      <c r="AG24" s="846"/>
      <c r="AH24" s="802"/>
      <c r="AI24" s="802"/>
      <c r="AK24" s="866"/>
      <c r="AL24" s="797" t="str">
        <f t="shared" si="12"/>
        <v/>
      </c>
      <c r="AM24" s="791" t="s">
        <v>1121</v>
      </c>
      <c r="AN24" s="792">
        <f>COUNTIF($P$7:$P$116,19)</f>
        <v>0</v>
      </c>
      <c r="AO24" s="1303">
        <v>19</v>
      </c>
      <c r="AP24" s="1273"/>
      <c r="AQ24" s="1273"/>
      <c r="AR24" s="1273"/>
      <c r="AS24" s="807"/>
      <c r="AT24" s="847">
        <f t="shared" si="0"/>
        <v>0</v>
      </c>
      <c r="AU24" s="807"/>
      <c r="AV24" s="797">
        <f t="shared" si="13"/>
        <v>0</v>
      </c>
      <c r="AW24" s="797" t="str">
        <f t="shared" si="1"/>
        <v/>
      </c>
      <c r="AX24" s="797" t="str">
        <f t="shared" si="2"/>
        <v/>
      </c>
      <c r="AY24" s="853" t="str">
        <f ca="1">IF(ISERROR(BC24),"",BC24)</f>
        <v/>
      </c>
      <c r="AZ24" s="854" t="str">
        <f ca="1">IF(ISERROR(BD24),"",BD24)</f>
        <v/>
      </c>
      <c r="BA24" s="855" t="str">
        <f ca="1">IF(ISERROR(BE24),"",BE24)</f>
        <v/>
      </c>
      <c r="BB24" s="856" t="str">
        <f ca="1">IF(ISERROR(BF24),"",BF24)</f>
        <v/>
      </c>
      <c r="BC24" s="372" t="e">
        <f ca="1">VLookUpX("男子C",$A$7:$F$116,1,5)</f>
        <v>#N/A</v>
      </c>
      <c r="BD24" s="372" t="e">
        <f ca="1">VLookUpX("男子C",$A$7:$F$116,1,6)</f>
        <v>#N/A</v>
      </c>
      <c r="BE24" s="372" t="e">
        <f ca="1">VLookUpX("女子C",$A$7:$F$116,1,5)</f>
        <v>#N/A</v>
      </c>
      <c r="BF24" s="372" t="e">
        <f ca="1">VLookUpX("女子C",$A$7:$F$116,1,6)</f>
        <v>#N/A</v>
      </c>
      <c r="BG24" s="807"/>
      <c r="BH24" s="1169"/>
      <c r="BI24" s="1169"/>
      <c r="BJ24" s="1169"/>
      <c r="BK24" s="1169"/>
      <c r="BL24" s="1169"/>
    </row>
    <row r="25" spans="1:72" ht="14.25" thickBot="1">
      <c r="A25" s="839">
        <f t="shared" si="3"/>
        <v>0</v>
      </c>
      <c r="B25" s="844" t="str">
        <f>前年度登録!AE22</f>
        <v/>
      </c>
      <c r="C25" s="1286">
        <f t="shared" si="4"/>
        <v>0</v>
      </c>
      <c r="D25" s="848"/>
      <c r="E25" s="849">
        <f>前年度登録!T22</f>
        <v>0</v>
      </c>
      <c r="F25" s="694" t="str">
        <f>前年度登録!DB22</f>
        <v/>
      </c>
      <c r="G25" s="1134" t="str">
        <f>前年度登録!AO22</f>
        <v/>
      </c>
      <c r="H25" s="663" t="str">
        <f>前年度登録!DB22</f>
        <v/>
      </c>
      <c r="I25" s="290" t="str">
        <f>前年度登録!AN22</f>
        <v/>
      </c>
      <c r="J25" s="359" t="str">
        <f>前年度登録!DC22</f>
        <v/>
      </c>
      <c r="K25" s="1247">
        <f>前年度登録!DE22</f>
        <v>0</v>
      </c>
      <c r="L25" s="1037" t="str">
        <f>前年度登録!DJ22</f>
        <v>00</v>
      </c>
      <c r="M25" s="844" t="s">
        <v>1061</v>
      </c>
      <c r="N25" s="1248">
        <f>前年度登録!S22</f>
        <v>0</v>
      </c>
      <c r="O25" s="291"/>
      <c r="P25" s="292" t="str">
        <f t="shared" si="5"/>
        <v/>
      </c>
      <c r="Q25" s="623" t="str">
        <f>IF(O25="","",HLOOKUP(O25,前年度登録!$AW$3:$CW$118,20,FALSE))</f>
        <v/>
      </c>
      <c r="R25" s="773" t="str">
        <f t="shared" si="6"/>
        <v/>
      </c>
      <c r="S25" s="774" t="str">
        <f t="shared" si="7"/>
        <v/>
      </c>
      <c r="T25" s="293"/>
      <c r="U25" s="850" t="str">
        <f t="shared" si="8"/>
        <v/>
      </c>
      <c r="V25" s="1290"/>
      <c r="W25" s="773" t="str">
        <f t="shared" si="9"/>
        <v/>
      </c>
      <c r="X25" s="774" t="str">
        <f t="shared" si="10"/>
        <v/>
      </c>
      <c r="Y25" s="1311"/>
      <c r="Z25" s="1308" t="str">
        <f t="shared" si="11"/>
        <v/>
      </c>
      <c r="AA25" s="777"/>
      <c r="AB25" s="780"/>
      <c r="AC25" s="851" t="str">
        <f>IF(AB25="","",IF(I25=1,VLOOKUP(AB25,男子種目コード!$D$2:$E$16,2,FALSE),IF(I25=2,VLOOKUP(AB25,女子種目コード!$D$2:$E$16,2,FALSE))))</f>
        <v/>
      </c>
      <c r="AD25" s="845"/>
      <c r="AE25" s="781"/>
      <c r="AF25" s="851"/>
      <c r="AG25" s="846"/>
      <c r="AH25" s="802"/>
      <c r="AI25" s="802"/>
      <c r="AK25" s="866"/>
      <c r="AL25" s="797" t="str">
        <f t="shared" si="12"/>
        <v/>
      </c>
      <c r="AM25" s="794" t="s">
        <v>450</v>
      </c>
      <c r="AN25" s="793">
        <f>SUM(AN19:AN24)</f>
        <v>0</v>
      </c>
      <c r="AO25" s="1303"/>
      <c r="AP25" s="1273"/>
      <c r="AQ25" s="1273"/>
      <c r="AR25" s="1273"/>
      <c r="AS25" s="807"/>
      <c r="AT25" s="847">
        <f t="shared" si="0"/>
        <v>0</v>
      </c>
      <c r="AU25" s="807"/>
      <c r="AV25" s="797">
        <f t="shared" si="13"/>
        <v>0</v>
      </c>
      <c r="AW25" s="797" t="str">
        <f t="shared" si="1"/>
        <v/>
      </c>
      <c r="AX25" s="797" t="str">
        <f t="shared" si="2"/>
        <v/>
      </c>
      <c r="AY25" s="853" t="str">
        <f t="shared" ref="AY25:AZ29" ca="1" si="19">IF(ISERROR(BC25),"",BC25)</f>
        <v/>
      </c>
      <c r="AZ25" s="854" t="str">
        <f t="shared" ca="1" si="19"/>
        <v/>
      </c>
      <c r="BA25" s="855" t="str">
        <f t="shared" ref="BA25:BB29" ca="1" si="20">IF(ISERROR(BE25),"",BE25)</f>
        <v/>
      </c>
      <c r="BB25" s="856" t="str">
        <f t="shared" ca="1" si="20"/>
        <v/>
      </c>
      <c r="BC25" s="372" t="e">
        <f ca="1">VLookUpX("男子C",$A$7:$F$116,2,5)</f>
        <v>#N/A</v>
      </c>
      <c r="BD25" s="372" t="e">
        <f ca="1">VLookUpX("男子C",$A$7:$F$116,2,6)</f>
        <v>#N/A</v>
      </c>
      <c r="BE25" s="372" t="e">
        <f ca="1">VLookUpX("女子C",$A$7:$F$116,2,5)</f>
        <v>#N/A</v>
      </c>
      <c r="BF25" s="372" t="e">
        <f ca="1">VLookUpX("女子C",$A$7:$F$116,2,6)</f>
        <v>#N/A</v>
      </c>
      <c r="BG25" s="807"/>
      <c r="BH25" s="1169"/>
      <c r="BI25" s="1169"/>
      <c r="BJ25" s="1169"/>
      <c r="BK25" s="1169"/>
      <c r="BL25" s="1169"/>
    </row>
    <row r="26" spans="1:72">
      <c r="A26" s="839">
        <f t="shared" si="3"/>
        <v>0</v>
      </c>
      <c r="B26" s="844" t="str">
        <f>前年度登録!AE23</f>
        <v/>
      </c>
      <c r="C26" s="1286">
        <f t="shared" si="4"/>
        <v>0</v>
      </c>
      <c r="D26" s="848"/>
      <c r="E26" s="849">
        <f>前年度登録!T23</f>
        <v>0</v>
      </c>
      <c r="F26" s="694" t="str">
        <f>前年度登録!DB23</f>
        <v/>
      </c>
      <c r="G26" s="1134" t="str">
        <f>前年度登録!AO23</f>
        <v/>
      </c>
      <c r="H26" s="663" t="str">
        <f>前年度登録!DB23</f>
        <v/>
      </c>
      <c r="I26" s="290" t="str">
        <f>前年度登録!AN23</f>
        <v/>
      </c>
      <c r="J26" s="359" t="str">
        <f>前年度登録!DC23</f>
        <v/>
      </c>
      <c r="K26" s="1247">
        <f>前年度登録!DE23</f>
        <v>0</v>
      </c>
      <c r="L26" s="1037" t="str">
        <f>前年度登録!DJ23</f>
        <v>00</v>
      </c>
      <c r="M26" s="844" t="s">
        <v>1061</v>
      </c>
      <c r="N26" s="1248">
        <f>前年度登録!S23</f>
        <v>0</v>
      </c>
      <c r="O26" s="291"/>
      <c r="P26" s="292" t="str">
        <f t="shared" si="5"/>
        <v/>
      </c>
      <c r="Q26" s="623" t="str">
        <f>IF(O26="","",HLOOKUP(O26,前年度登録!$AW$3:$CW$118,21,FALSE))</f>
        <v/>
      </c>
      <c r="R26" s="773" t="str">
        <f t="shared" si="6"/>
        <v/>
      </c>
      <c r="S26" s="774" t="str">
        <f t="shared" si="7"/>
        <v/>
      </c>
      <c r="T26" s="293"/>
      <c r="U26" s="850" t="str">
        <f t="shared" si="8"/>
        <v/>
      </c>
      <c r="V26" s="1290"/>
      <c r="W26" s="773" t="str">
        <f t="shared" si="9"/>
        <v/>
      </c>
      <c r="X26" s="774" t="str">
        <f t="shared" si="10"/>
        <v/>
      </c>
      <c r="Y26" s="1311"/>
      <c r="Z26" s="1308" t="str">
        <f t="shared" si="11"/>
        <v/>
      </c>
      <c r="AA26" s="777"/>
      <c r="AB26" s="780"/>
      <c r="AC26" s="851" t="str">
        <f>IF(AB26="","",IF(I26=1,VLOOKUP(AB26,男子種目コード!$D$2:$E$16,2,FALSE),IF(I26=2,VLOOKUP(AB26,女子種目コード!$D$2:$E$16,2,FALSE))))</f>
        <v/>
      </c>
      <c r="AD26" s="845"/>
      <c r="AE26" s="781"/>
      <c r="AF26" s="851"/>
      <c r="AG26" s="846"/>
      <c r="AH26" s="802"/>
      <c r="AI26" s="802"/>
      <c r="AK26" s="868"/>
      <c r="AL26" s="797" t="str">
        <f t="shared" si="12"/>
        <v/>
      </c>
      <c r="AM26" s="1461" t="s">
        <v>275</v>
      </c>
      <c r="AN26" s="1462"/>
      <c r="AO26" s="1303"/>
      <c r="AP26" s="1273"/>
      <c r="AQ26" s="1273"/>
      <c r="AR26" s="1273"/>
      <c r="AS26" s="807"/>
      <c r="AT26" s="847">
        <f t="shared" si="0"/>
        <v>0</v>
      </c>
      <c r="AU26" s="807"/>
      <c r="AV26" s="797">
        <f t="shared" si="13"/>
        <v>0</v>
      </c>
      <c r="AW26" s="797" t="str">
        <f t="shared" si="1"/>
        <v/>
      </c>
      <c r="AX26" s="797" t="str">
        <f t="shared" si="2"/>
        <v/>
      </c>
      <c r="AY26" s="853" t="str">
        <f t="shared" ca="1" si="19"/>
        <v/>
      </c>
      <c r="AZ26" s="854" t="str">
        <f t="shared" ca="1" si="19"/>
        <v/>
      </c>
      <c r="BA26" s="855" t="str">
        <f t="shared" ca="1" si="20"/>
        <v/>
      </c>
      <c r="BB26" s="856" t="str">
        <f t="shared" ca="1" si="20"/>
        <v/>
      </c>
      <c r="BC26" s="372" t="e">
        <f ca="1">VLookUpX("男子C",$A$7:$F$116,3,5)</f>
        <v>#N/A</v>
      </c>
      <c r="BD26" s="372" t="e">
        <f ca="1">VLookUpX("男子C",$A$7:$F$116,3,6)</f>
        <v>#N/A</v>
      </c>
      <c r="BE26" s="372" t="e">
        <f ca="1">VLookUpX("女子C",$A$7:$F$116,3,5)</f>
        <v>#N/A</v>
      </c>
      <c r="BF26" s="372" t="e">
        <f ca="1">VLookUpX("女子C",$A$7:$F$116,3,6)</f>
        <v>#N/A</v>
      </c>
      <c r="BG26" s="807"/>
      <c r="BH26" s="1169"/>
      <c r="BI26" s="1169"/>
      <c r="BJ26" s="1169"/>
      <c r="BK26" s="1169"/>
      <c r="BL26" s="1169"/>
    </row>
    <row r="27" spans="1:72">
      <c r="A27" s="839">
        <f t="shared" si="3"/>
        <v>0</v>
      </c>
      <c r="B27" s="844" t="str">
        <f>前年度登録!AE24</f>
        <v/>
      </c>
      <c r="C27" s="1286">
        <f t="shared" si="4"/>
        <v>0</v>
      </c>
      <c r="D27" s="848"/>
      <c r="E27" s="849">
        <f>前年度登録!T24</f>
        <v>0</v>
      </c>
      <c r="F27" s="694" t="str">
        <f>前年度登録!DB24</f>
        <v/>
      </c>
      <c r="G27" s="1134" t="str">
        <f>前年度登録!AO24</f>
        <v/>
      </c>
      <c r="H27" s="663" t="str">
        <f>前年度登録!DB24</f>
        <v/>
      </c>
      <c r="I27" s="290" t="str">
        <f>前年度登録!AN24</f>
        <v/>
      </c>
      <c r="J27" s="359" t="str">
        <f>前年度登録!DC24</f>
        <v/>
      </c>
      <c r="K27" s="1247">
        <f>前年度登録!DE24</f>
        <v>0</v>
      </c>
      <c r="L27" s="1037" t="str">
        <f>前年度登録!DJ24</f>
        <v>00</v>
      </c>
      <c r="M27" s="844" t="s">
        <v>1061</v>
      </c>
      <c r="N27" s="1248">
        <f>前年度登録!S24</f>
        <v>0</v>
      </c>
      <c r="O27" s="291"/>
      <c r="P27" s="292" t="str">
        <f t="shared" si="5"/>
        <v/>
      </c>
      <c r="Q27" s="623" t="str">
        <f>IF(O27="","",HLOOKUP(O27,前年度登録!$AW$3:$CW$118,22,FALSE))</f>
        <v/>
      </c>
      <c r="R27" s="773" t="str">
        <f t="shared" si="6"/>
        <v/>
      </c>
      <c r="S27" s="774" t="str">
        <f t="shared" si="7"/>
        <v/>
      </c>
      <c r="T27" s="293"/>
      <c r="U27" s="850" t="str">
        <f t="shared" si="8"/>
        <v/>
      </c>
      <c r="V27" s="1290"/>
      <c r="W27" s="773" t="str">
        <f t="shared" si="9"/>
        <v/>
      </c>
      <c r="X27" s="774" t="str">
        <f t="shared" si="10"/>
        <v/>
      </c>
      <c r="Y27" s="1311"/>
      <c r="Z27" s="1308" t="str">
        <f t="shared" si="11"/>
        <v/>
      </c>
      <c r="AA27" s="777"/>
      <c r="AB27" s="780"/>
      <c r="AC27" s="851" t="str">
        <f>IF(AB27="","",IF(I27=1,VLOOKUP(AB27,男子種目コード!$D$2:$E$16,2,FALSE),IF(I27=2,VLOOKUP(AB27,女子種目コード!$D$2:$E$16,2,FALSE))))</f>
        <v/>
      </c>
      <c r="AD27" s="845"/>
      <c r="AE27" s="781"/>
      <c r="AF27" s="851"/>
      <c r="AG27" s="846"/>
      <c r="AH27" s="802"/>
      <c r="AI27" s="802"/>
      <c r="AK27" s="868"/>
      <c r="AL27" s="797" t="str">
        <f t="shared" si="12"/>
        <v/>
      </c>
      <c r="AM27" s="791" t="s">
        <v>1114</v>
      </c>
      <c r="AN27" s="792">
        <f>COUNTIF($P$7:$P$116,22)</f>
        <v>0</v>
      </c>
      <c r="AO27" s="1303">
        <v>22</v>
      </c>
      <c r="AP27" s="1122"/>
      <c r="AQ27" s="1122"/>
      <c r="AR27" s="1122"/>
      <c r="AS27" s="807"/>
      <c r="AT27" s="847">
        <f t="shared" si="0"/>
        <v>0</v>
      </c>
      <c r="AU27" s="807"/>
      <c r="AV27" s="797">
        <f t="shared" si="13"/>
        <v>0</v>
      </c>
      <c r="AW27" s="797" t="str">
        <f t="shared" si="1"/>
        <v/>
      </c>
      <c r="AX27" s="797" t="str">
        <f t="shared" si="2"/>
        <v/>
      </c>
      <c r="AY27" s="853" t="str">
        <f t="shared" ca="1" si="19"/>
        <v/>
      </c>
      <c r="AZ27" s="854" t="str">
        <f t="shared" ca="1" si="19"/>
        <v/>
      </c>
      <c r="BA27" s="855" t="str">
        <f t="shared" ca="1" si="20"/>
        <v/>
      </c>
      <c r="BB27" s="856" t="str">
        <f t="shared" ca="1" si="20"/>
        <v/>
      </c>
      <c r="BC27" s="372" t="e">
        <f ca="1">VLookUpX("男子C",$A$7:$F$116,4,5)</f>
        <v>#N/A</v>
      </c>
      <c r="BD27" s="372" t="e">
        <f ca="1">VLookUpX("男子C",$A$7:$F$116,4,6)</f>
        <v>#N/A</v>
      </c>
      <c r="BE27" s="372" t="e">
        <f ca="1">VLookUpX("女子C",$A$7:$F$116,4,5)</f>
        <v>#N/A</v>
      </c>
      <c r="BF27" s="372" t="e">
        <f ca="1">VLookUpX("女子C",$A$7:$F$116,4,6)</f>
        <v>#N/A</v>
      </c>
      <c r="BG27" s="807"/>
      <c r="BH27" s="1169"/>
      <c r="BI27" s="1169"/>
      <c r="BJ27" s="1169"/>
      <c r="BK27" s="1169"/>
      <c r="BL27" s="1169"/>
    </row>
    <row r="28" spans="1:72">
      <c r="A28" s="839">
        <f t="shared" si="3"/>
        <v>0</v>
      </c>
      <c r="B28" s="844" t="str">
        <f>前年度登録!AE25</f>
        <v/>
      </c>
      <c r="C28" s="1286">
        <f t="shared" si="4"/>
        <v>0</v>
      </c>
      <c r="D28" s="848"/>
      <c r="E28" s="849">
        <f>前年度登録!T25</f>
        <v>0</v>
      </c>
      <c r="F28" s="694" t="str">
        <f>前年度登録!DB25</f>
        <v/>
      </c>
      <c r="G28" s="1134" t="str">
        <f>前年度登録!AO25</f>
        <v/>
      </c>
      <c r="H28" s="663" t="str">
        <f>前年度登録!DB25</f>
        <v/>
      </c>
      <c r="I28" s="290" t="str">
        <f>前年度登録!AN25</f>
        <v/>
      </c>
      <c r="J28" s="359" t="str">
        <f>前年度登録!DC25</f>
        <v/>
      </c>
      <c r="K28" s="1247">
        <f>前年度登録!DE25</f>
        <v>0</v>
      </c>
      <c r="L28" s="1037" t="str">
        <f>前年度登録!DJ25</f>
        <v>00</v>
      </c>
      <c r="M28" s="844" t="s">
        <v>1061</v>
      </c>
      <c r="N28" s="1248">
        <f>前年度登録!S25</f>
        <v>0</v>
      </c>
      <c r="O28" s="291"/>
      <c r="P28" s="292" t="str">
        <f t="shared" si="5"/>
        <v/>
      </c>
      <c r="Q28" s="623" t="str">
        <f>IF(O28="","",HLOOKUP(O28,前年度登録!$AW$3:$CW$118,23,FALSE))</f>
        <v/>
      </c>
      <c r="R28" s="773" t="str">
        <f t="shared" si="6"/>
        <v/>
      </c>
      <c r="S28" s="774" t="str">
        <f t="shared" si="7"/>
        <v/>
      </c>
      <c r="T28" s="293"/>
      <c r="U28" s="850" t="str">
        <f t="shared" si="8"/>
        <v/>
      </c>
      <c r="V28" s="1290"/>
      <c r="W28" s="773" t="str">
        <f t="shared" si="9"/>
        <v/>
      </c>
      <c r="X28" s="774" t="str">
        <f t="shared" si="10"/>
        <v/>
      </c>
      <c r="Y28" s="1311"/>
      <c r="Z28" s="1308" t="str">
        <f t="shared" si="11"/>
        <v/>
      </c>
      <c r="AA28" s="777"/>
      <c r="AB28" s="780"/>
      <c r="AC28" s="851" t="str">
        <f>IF(AB28="","",IF(I28=1,VLOOKUP(AB28,男子種目コード!$D$2:$E$16,2,FALSE),IF(I28=2,VLOOKUP(AB28,女子種目コード!$D$2:$E$16,2,FALSE))))</f>
        <v/>
      </c>
      <c r="AD28" s="845"/>
      <c r="AE28" s="781"/>
      <c r="AF28" s="851"/>
      <c r="AG28" s="846"/>
      <c r="AH28" s="802"/>
      <c r="AI28" s="802"/>
      <c r="AK28" s="868"/>
      <c r="AL28" s="797" t="str">
        <f t="shared" si="12"/>
        <v/>
      </c>
      <c r="AM28" s="791" t="s">
        <v>1115</v>
      </c>
      <c r="AN28" s="792">
        <f>COUNTIF($P$7:$P$116,21)</f>
        <v>0</v>
      </c>
      <c r="AO28" s="1303">
        <v>21</v>
      </c>
      <c r="AP28" s="1122"/>
      <c r="AQ28" s="1122"/>
      <c r="AR28" s="1122"/>
      <c r="AS28" s="807"/>
      <c r="AT28" s="847">
        <f t="shared" si="0"/>
        <v>0</v>
      </c>
      <c r="AU28" s="807"/>
      <c r="AV28" s="797">
        <f t="shared" si="13"/>
        <v>0</v>
      </c>
      <c r="AW28" s="797" t="str">
        <f t="shared" si="1"/>
        <v/>
      </c>
      <c r="AX28" s="797" t="str">
        <f t="shared" si="2"/>
        <v/>
      </c>
      <c r="AY28" s="853" t="str">
        <f t="shared" ca="1" si="19"/>
        <v/>
      </c>
      <c r="AZ28" s="854" t="str">
        <f t="shared" ca="1" si="19"/>
        <v/>
      </c>
      <c r="BA28" s="855" t="str">
        <f t="shared" ca="1" si="20"/>
        <v/>
      </c>
      <c r="BB28" s="856" t="str">
        <f t="shared" ca="1" si="20"/>
        <v/>
      </c>
      <c r="BC28" s="372" t="e">
        <f ca="1">VLookUpX("男子C",$A$7:$F$116,5,5)</f>
        <v>#N/A</v>
      </c>
      <c r="BD28" s="372" t="e">
        <f ca="1">VLookUpX("男子C",$A$7:$F$116,5,6)</f>
        <v>#N/A</v>
      </c>
      <c r="BE28" s="372" t="e">
        <f ca="1">VLookUpX("女子C",$A$7:$F$116,5,5)</f>
        <v>#N/A</v>
      </c>
      <c r="BF28" s="372" t="e">
        <f ca="1">VLookUpX("女子C",$A$7:$F$116,5,6)</f>
        <v>#N/A</v>
      </c>
      <c r="BG28" s="807"/>
      <c r="BH28" s="1169"/>
      <c r="BI28" s="1169"/>
      <c r="BJ28" s="1169"/>
      <c r="BK28" s="1169"/>
      <c r="BL28" s="1169"/>
    </row>
    <row r="29" spans="1:72" ht="14.25" thickBot="1">
      <c r="A29" s="839">
        <f t="shared" si="3"/>
        <v>0</v>
      </c>
      <c r="B29" s="844" t="str">
        <f>前年度登録!AE26</f>
        <v/>
      </c>
      <c r="C29" s="1286">
        <f t="shared" si="4"/>
        <v>0</v>
      </c>
      <c r="D29" s="848"/>
      <c r="E29" s="849">
        <f>前年度登録!T26</f>
        <v>0</v>
      </c>
      <c r="F29" s="694" t="str">
        <f>前年度登録!DB26</f>
        <v/>
      </c>
      <c r="G29" s="1134" t="str">
        <f>前年度登録!AO26</f>
        <v/>
      </c>
      <c r="H29" s="663" t="str">
        <f>前年度登録!DB26</f>
        <v/>
      </c>
      <c r="I29" s="290" t="str">
        <f>前年度登録!AN26</f>
        <v/>
      </c>
      <c r="J29" s="359" t="str">
        <f>前年度登録!DC26</f>
        <v/>
      </c>
      <c r="K29" s="1247">
        <f>前年度登録!DE26</f>
        <v>0</v>
      </c>
      <c r="L29" s="1037" t="str">
        <f>前年度登録!DJ26</f>
        <v>00</v>
      </c>
      <c r="M29" s="844" t="s">
        <v>1061</v>
      </c>
      <c r="N29" s="1248">
        <f>前年度登録!S26</f>
        <v>0</v>
      </c>
      <c r="O29" s="291"/>
      <c r="P29" s="292" t="str">
        <f t="shared" si="5"/>
        <v/>
      </c>
      <c r="Q29" s="623" t="str">
        <f>IF(O29="","",HLOOKUP(O29,前年度登録!$AW$3:$CW$118,24,FALSE))</f>
        <v/>
      </c>
      <c r="R29" s="773" t="str">
        <f t="shared" si="6"/>
        <v/>
      </c>
      <c r="S29" s="774" t="str">
        <f t="shared" si="7"/>
        <v/>
      </c>
      <c r="T29" s="293"/>
      <c r="U29" s="850" t="str">
        <f t="shared" si="8"/>
        <v/>
      </c>
      <c r="V29" s="1290"/>
      <c r="W29" s="773" t="str">
        <f t="shared" si="9"/>
        <v/>
      </c>
      <c r="X29" s="774" t="str">
        <f t="shared" si="10"/>
        <v/>
      </c>
      <c r="Y29" s="1311"/>
      <c r="Z29" s="1308" t="str">
        <f t="shared" si="11"/>
        <v/>
      </c>
      <c r="AA29" s="777"/>
      <c r="AB29" s="780"/>
      <c r="AC29" s="851" t="str">
        <f>IF(AB29="","",IF(I29=1,VLOOKUP(AB29,男子種目コード!$D$2:$E$16,2,FALSE),IF(I29=2,VLOOKUP(AB29,女子種目コード!$D$2:$E$16,2,FALSE))))</f>
        <v/>
      </c>
      <c r="AD29" s="845"/>
      <c r="AE29" s="781"/>
      <c r="AF29" s="851"/>
      <c r="AG29" s="846"/>
      <c r="AH29" s="802"/>
      <c r="AI29" s="802"/>
      <c r="AK29" s="868"/>
      <c r="AL29" s="797" t="str">
        <f t="shared" si="12"/>
        <v/>
      </c>
      <c r="AM29" s="791" t="s">
        <v>1116</v>
      </c>
      <c r="AN29" s="792">
        <f>COUNTIF($P$7:$P$116,23)</f>
        <v>0</v>
      </c>
      <c r="AO29" s="1303">
        <v>23</v>
      </c>
      <c r="AP29" s="1122"/>
      <c r="AQ29" s="1122"/>
      <c r="AR29" s="1122"/>
      <c r="AS29" s="807"/>
      <c r="AT29" s="847">
        <f t="shared" si="0"/>
        <v>0</v>
      </c>
      <c r="AU29" s="807"/>
      <c r="AV29" s="797">
        <f t="shared" si="13"/>
        <v>0</v>
      </c>
      <c r="AW29" s="797" t="str">
        <f t="shared" si="1"/>
        <v/>
      </c>
      <c r="AX29" s="797" t="str">
        <f t="shared" si="2"/>
        <v/>
      </c>
      <c r="AY29" s="869" t="str">
        <f t="shared" ca="1" si="19"/>
        <v/>
      </c>
      <c r="AZ29" s="870" t="str">
        <f t="shared" ca="1" si="19"/>
        <v/>
      </c>
      <c r="BA29" s="871" t="str">
        <f t="shared" ca="1" si="20"/>
        <v/>
      </c>
      <c r="BB29" s="872" t="str">
        <f t="shared" ca="1" si="20"/>
        <v/>
      </c>
      <c r="BC29" s="372" t="e">
        <f ca="1">VLookUpX("男子C",$A$7:$F$116,6,5)</f>
        <v>#N/A</v>
      </c>
      <c r="BD29" s="372" t="e">
        <f ca="1">VLookUpX("男子C",$A$7:$F$116,6,6)</f>
        <v>#N/A</v>
      </c>
      <c r="BE29" s="372" t="e">
        <f ca="1">VLookUpX("女子C",$A$7:$F$116,6,5)</f>
        <v>#N/A</v>
      </c>
      <c r="BF29" s="372" t="e">
        <f ca="1">VLookUpX("女子C",$A$7:$F$116,6,6)</f>
        <v>#N/A</v>
      </c>
      <c r="BG29" s="807"/>
      <c r="BH29" s="1169"/>
      <c r="BI29" s="1169"/>
      <c r="BJ29" s="1169"/>
      <c r="BK29" s="1169"/>
      <c r="BL29" s="1169"/>
    </row>
    <row r="30" spans="1:72">
      <c r="A30" s="839">
        <f t="shared" si="3"/>
        <v>0</v>
      </c>
      <c r="B30" s="844" t="str">
        <f>前年度登録!AE27</f>
        <v/>
      </c>
      <c r="C30" s="1286">
        <f t="shared" si="4"/>
        <v>0</v>
      </c>
      <c r="D30" s="848"/>
      <c r="E30" s="849">
        <f>前年度登録!T27</f>
        <v>0</v>
      </c>
      <c r="F30" s="694" t="str">
        <f>前年度登録!DB27</f>
        <v/>
      </c>
      <c r="G30" s="1134" t="str">
        <f>前年度登録!AO27</f>
        <v/>
      </c>
      <c r="H30" s="663" t="str">
        <f>前年度登録!DB27</f>
        <v/>
      </c>
      <c r="I30" s="290" t="str">
        <f>前年度登録!AN27</f>
        <v/>
      </c>
      <c r="J30" s="359" t="str">
        <f>前年度登録!DC27</f>
        <v/>
      </c>
      <c r="K30" s="1247">
        <f>前年度登録!DE27</f>
        <v>0</v>
      </c>
      <c r="L30" s="1037" t="str">
        <f>前年度登録!DJ27</f>
        <v>00</v>
      </c>
      <c r="M30" s="844" t="s">
        <v>1061</v>
      </c>
      <c r="N30" s="1248">
        <f>前年度登録!S27</f>
        <v>0</v>
      </c>
      <c r="O30" s="291"/>
      <c r="P30" s="292" t="str">
        <f t="shared" si="5"/>
        <v/>
      </c>
      <c r="Q30" s="623" t="str">
        <f>IF(O30="","",HLOOKUP(O30,前年度登録!$AW$3:$CW$118,25,FALSE))</f>
        <v/>
      </c>
      <c r="R30" s="773" t="str">
        <f t="shared" si="6"/>
        <v/>
      </c>
      <c r="S30" s="774" t="str">
        <f t="shared" si="7"/>
        <v/>
      </c>
      <c r="T30" s="293"/>
      <c r="U30" s="850" t="str">
        <f t="shared" si="8"/>
        <v/>
      </c>
      <c r="V30" s="1290"/>
      <c r="W30" s="773" t="str">
        <f t="shared" si="9"/>
        <v/>
      </c>
      <c r="X30" s="774" t="str">
        <f t="shared" si="10"/>
        <v/>
      </c>
      <c r="Y30" s="1311"/>
      <c r="Z30" s="1308" t="str">
        <f t="shared" si="11"/>
        <v/>
      </c>
      <c r="AA30" s="777"/>
      <c r="AB30" s="780"/>
      <c r="AC30" s="851" t="str">
        <f>IF(AB30="","",IF(I30=1,VLOOKUP(AB30,男子種目コード!$D$2:$E$16,2,FALSE),IF(I30=2,VLOOKUP(AB30,女子種目コード!$D$2:$E$16,2,FALSE))))</f>
        <v/>
      </c>
      <c r="AD30" s="845"/>
      <c r="AE30" s="781"/>
      <c r="AF30" s="851"/>
      <c r="AG30" s="846"/>
      <c r="AH30" s="802"/>
      <c r="AI30" s="802"/>
      <c r="AK30" s="868"/>
      <c r="AL30" s="797" t="str">
        <f t="shared" si="12"/>
        <v/>
      </c>
      <c r="AM30" s="791" t="s">
        <v>1117</v>
      </c>
      <c r="AN30" s="792">
        <f>COUNTIF($P$7:$P$116,24)</f>
        <v>0</v>
      </c>
      <c r="AO30" s="1303">
        <v>24</v>
      </c>
      <c r="AP30" s="1122"/>
      <c r="AQ30" s="1122"/>
      <c r="AR30" s="1122"/>
      <c r="AS30" s="807"/>
      <c r="AT30" s="847">
        <f t="shared" si="0"/>
        <v>0</v>
      </c>
      <c r="AU30" s="807"/>
      <c r="AV30" s="797">
        <f t="shared" si="13"/>
        <v>0</v>
      </c>
      <c r="AW30" s="797" t="str">
        <f t="shared" si="1"/>
        <v/>
      </c>
      <c r="AX30" s="797" t="str">
        <f t="shared" si="2"/>
        <v/>
      </c>
      <c r="AY30" s="1471" t="s">
        <v>1124</v>
      </c>
      <c r="AZ30" s="1472"/>
      <c r="BA30" s="1473"/>
      <c r="BB30" s="1473"/>
      <c r="BC30" s="799"/>
      <c r="BD30" s="799"/>
      <c r="BE30" s="799"/>
      <c r="BF30" s="799"/>
      <c r="BG30" s="807"/>
      <c r="BH30" s="1169"/>
      <c r="BI30" s="1169"/>
      <c r="BJ30" s="1169"/>
      <c r="BK30" s="1169"/>
      <c r="BL30" s="1169"/>
    </row>
    <row r="31" spans="1:72">
      <c r="A31" s="839">
        <f t="shared" si="3"/>
        <v>0</v>
      </c>
      <c r="B31" s="844" t="str">
        <f>前年度登録!AE28</f>
        <v/>
      </c>
      <c r="C31" s="1286">
        <f t="shared" si="4"/>
        <v>0</v>
      </c>
      <c r="D31" s="848"/>
      <c r="E31" s="849">
        <f>前年度登録!T28</f>
        <v>0</v>
      </c>
      <c r="F31" s="694" t="str">
        <f>前年度登録!DB28</f>
        <v/>
      </c>
      <c r="G31" s="1134" t="str">
        <f>前年度登録!AO28</f>
        <v/>
      </c>
      <c r="H31" s="663" t="str">
        <f>前年度登録!DB28</f>
        <v/>
      </c>
      <c r="I31" s="290" t="str">
        <f>前年度登録!AN28</f>
        <v/>
      </c>
      <c r="J31" s="359" t="str">
        <f>前年度登録!DC28</f>
        <v/>
      </c>
      <c r="K31" s="1247">
        <f>前年度登録!DE28</f>
        <v>0</v>
      </c>
      <c r="L31" s="1037" t="str">
        <f>前年度登録!DJ28</f>
        <v>00</v>
      </c>
      <c r="M31" s="844" t="s">
        <v>1061</v>
      </c>
      <c r="N31" s="1248">
        <f>前年度登録!S28</f>
        <v>0</v>
      </c>
      <c r="O31" s="291"/>
      <c r="P31" s="292" t="str">
        <f t="shared" si="5"/>
        <v/>
      </c>
      <c r="Q31" s="623" t="str">
        <f>IF(O31="","",HLOOKUP(O31,前年度登録!$AW$3:$CW$118,26,FALSE))</f>
        <v/>
      </c>
      <c r="R31" s="773" t="str">
        <f t="shared" si="6"/>
        <v/>
      </c>
      <c r="S31" s="774" t="str">
        <f t="shared" si="7"/>
        <v/>
      </c>
      <c r="T31" s="293"/>
      <c r="U31" s="850" t="str">
        <f t="shared" si="8"/>
        <v/>
      </c>
      <c r="V31" s="1290"/>
      <c r="W31" s="773" t="str">
        <f t="shared" si="9"/>
        <v/>
      </c>
      <c r="X31" s="774" t="str">
        <f t="shared" si="10"/>
        <v/>
      </c>
      <c r="Y31" s="1311"/>
      <c r="Z31" s="1308" t="str">
        <f t="shared" si="11"/>
        <v/>
      </c>
      <c r="AA31" s="777"/>
      <c r="AB31" s="780"/>
      <c r="AC31" s="851" t="str">
        <f>IF(AB31="","",IF(I31=1,VLOOKUP(AB31,男子種目コード!$D$2:$E$16,2,FALSE),IF(I31=2,VLOOKUP(AB31,女子種目コード!$D$2:$E$16,2,FALSE))))</f>
        <v/>
      </c>
      <c r="AD31" s="845"/>
      <c r="AE31" s="781"/>
      <c r="AF31" s="851"/>
      <c r="AG31" s="846"/>
      <c r="AH31" s="802"/>
      <c r="AI31" s="802"/>
      <c r="AK31" s="868"/>
      <c r="AL31" s="797" t="str">
        <f t="shared" si="12"/>
        <v/>
      </c>
      <c r="AM31" s="791" t="s">
        <v>1119</v>
      </c>
      <c r="AN31" s="792">
        <f>COUNTIF($P$7:$P$116,25)</f>
        <v>0</v>
      </c>
      <c r="AO31" s="1303">
        <v>25</v>
      </c>
      <c r="AP31" s="1122"/>
      <c r="AQ31" s="1122"/>
      <c r="AR31" s="1122"/>
      <c r="AS31" s="807"/>
      <c r="AT31" s="847">
        <f t="shared" si="0"/>
        <v>0</v>
      </c>
      <c r="AU31" s="807"/>
      <c r="AV31" s="797">
        <f t="shared" si="13"/>
        <v>0</v>
      </c>
      <c r="AW31" s="797" t="str">
        <f t="shared" si="1"/>
        <v/>
      </c>
      <c r="AX31" s="797" t="str">
        <f t="shared" si="2"/>
        <v/>
      </c>
      <c r="AY31" s="1439" t="s">
        <v>734</v>
      </c>
      <c r="AZ31" s="1440"/>
      <c r="BA31" s="1470"/>
      <c r="BB31" s="1470"/>
      <c r="BC31" s="799"/>
      <c r="BD31" s="799"/>
      <c r="BE31" s="799"/>
      <c r="BF31" s="799"/>
      <c r="BG31" s="806"/>
      <c r="BH31" s="1172"/>
      <c r="BI31" s="1172"/>
      <c r="BJ31" s="1172"/>
      <c r="BK31" s="1172"/>
      <c r="BL31" s="1172"/>
      <c r="BM31" s="799"/>
      <c r="BN31" s="799"/>
      <c r="BO31" s="799"/>
      <c r="BP31" s="799"/>
      <c r="BQ31" s="799"/>
      <c r="BR31" s="799"/>
      <c r="BS31" s="799"/>
      <c r="BT31" s="799"/>
    </row>
    <row r="32" spans="1:72">
      <c r="A32" s="839">
        <f t="shared" si="3"/>
        <v>0</v>
      </c>
      <c r="B32" s="844" t="str">
        <f>前年度登録!AE29</f>
        <v/>
      </c>
      <c r="C32" s="1286">
        <f t="shared" si="4"/>
        <v>0</v>
      </c>
      <c r="D32" s="848"/>
      <c r="E32" s="849">
        <f>前年度登録!T29</f>
        <v>0</v>
      </c>
      <c r="F32" s="694" t="str">
        <f>前年度登録!DB29</f>
        <v/>
      </c>
      <c r="G32" s="1134" t="str">
        <f>前年度登録!AO29</f>
        <v/>
      </c>
      <c r="H32" s="663" t="str">
        <f>前年度登録!DB29</f>
        <v/>
      </c>
      <c r="I32" s="290" t="str">
        <f>前年度登録!AN29</f>
        <v/>
      </c>
      <c r="J32" s="359" t="str">
        <f>前年度登録!DC29</f>
        <v/>
      </c>
      <c r="K32" s="1247">
        <f>前年度登録!DE29</f>
        <v>0</v>
      </c>
      <c r="L32" s="1037" t="str">
        <f>前年度登録!DJ29</f>
        <v>00</v>
      </c>
      <c r="M32" s="844" t="s">
        <v>1061</v>
      </c>
      <c r="N32" s="1248">
        <f>前年度登録!S29</f>
        <v>0</v>
      </c>
      <c r="O32" s="291"/>
      <c r="P32" s="292" t="str">
        <f t="shared" si="5"/>
        <v/>
      </c>
      <c r="Q32" s="623" t="str">
        <f>IF(O32="","",HLOOKUP(O32,前年度登録!$AW$3:$CW$118,27,FALSE))</f>
        <v/>
      </c>
      <c r="R32" s="773" t="str">
        <f t="shared" si="6"/>
        <v/>
      </c>
      <c r="S32" s="774" t="str">
        <f t="shared" si="7"/>
        <v/>
      </c>
      <c r="T32" s="293"/>
      <c r="U32" s="850" t="str">
        <f t="shared" si="8"/>
        <v/>
      </c>
      <c r="V32" s="1290"/>
      <c r="W32" s="773" t="str">
        <f t="shared" si="9"/>
        <v/>
      </c>
      <c r="X32" s="774" t="str">
        <f t="shared" si="10"/>
        <v/>
      </c>
      <c r="Y32" s="1311"/>
      <c r="Z32" s="1308" t="str">
        <f t="shared" si="11"/>
        <v/>
      </c>
      <c r="AA32" s="777"/>
      <c r="AB32" s="780"/>
      <c r="AC32" s="851" t="str">
        <f>IF(AB32="","",IF(I32=1,VLOOKUP(AB32,男子種目コード!$D$2:$E$16,2,FALSE),IF(I32=2,VLOOKUP(AB32,女子種目コード!$D$2:$E$16,2,FALSE))))</f>
        <v/>
      </c>
      <c r="AD32" s="845"/>
      <c r="AE32" s="781"/>
      <c r="AF32" s="851"/>
      <c r="AG32" s="846"/>
      <c r="AH32" s="802"/>
      <c r="AI32" s="802"/>
      <c r="AK32" s="868"/>
      <c r="AL32" s="797" t="str">
        <f t="shared" si="12"/>
        <v/>
      </c>
      <c r="AM32" s="791" t="s">
        <v>1122</v>
      </c>
      <c r="AN32" s="792">
        <f>COUNTIF($P$7:$P$116,26)</f>
        <v>0</v>
      </c>
      <c r="AO32" s="1301">
        <v>26</v>
      </c>
      <c r="AP32" s="1135"/>
      <c r="AQ32" s="1135"/>
      <c r="AR32" s="1135"/>
      <c r="AS32" s="807"/>
      <c r="AT32" s="847">
        <f t="shared" si="0"/>
        <v>0</v>
      </c>
      <c r="AU32" s="807"/>
      <c r="AV32" s="797">
        <f t="shared" si="13"/>
        <v>0</v>
      </c>
      <c r="AW32" s="797" t="str">
        <f t="shared" si="1"/>
        <v/>
      </c>
      <c r="AX32" s="797" t="str">
        <f t="shared" si="2"/>
        <v/>
      </c>
      <c r="AY32" s="853" t="str">
        <f ca="1">IF(ISERROR(BC32),"",BC32)</f>
        <v/>
      </c>
      <c r="AZ32" s="856" t="str">
        <f ca="1">IF(ISERROR(BD32),"",BD32)</f>
        <v/>
      </c>
      <c r="BA32" s="873"/>
      <c r="BB32" s="874"/>
      <c r="BC32" s="372" t="e">
        <f ca="1">VLookUpX("A",$C$7:$F$116,1,3)</f>
        <v>#N/A</v>
      </c>
      <c r="BD32" s="372" t="e">
        <f ca="1">VLookUpX("A",$C$7:$F$116,1,4)</f>
        <v>#N/A</v>
      </c>
      <c r="BE32" s="372" t="e">
        <f ca="1">VLookUpX("A",$C$7:$I$116,1,7)</f>
        <v>#N/A</v>
      </c>
      <c r="BF32" s="372"/>
      <c r="BG32" s="806"/>
      <c r="BH32" s="1172"/>
      <c r="BI32" s="1172"/>
      <c r="BJ32" s="1172"/>
      <c r="BK32" s="1172"/>
      <c r="BL32" s="1172"/>
      <c r="BM32" s="799"/>
      <c r="BN32" s="799"/>
      <c r="BO32" s="799"/>
      <c r="BP32" s="799"/>
      <c r="BQ32" s="799"/>
      <c r="BR32" s="799"/>
      <c r="BS32" s="799"/>
      <c r="BT32" s="799"/>
    </row>
    <row r="33" spans="1:72" ht="14.25" thickBot="1">
      <c r="A33" s="839">
        <f t="shared" si="3"/>
        <v>0</v>
      </c>
      <c r="B33" s="844" t="str">
        <f>前年度登録!AE30</f>
        <v/>
      </c>
      <c r="C33" s="1286">
        <f t="shared" si="4"/>
        <v>0</v>
      </c>
      <c r="D33" s="848"/>
      <c r="E33" s="849">
        <f>前年度登録!T30</f>
        <v>0</v>
      </c>
      <c r="F33" s="694" t="str">
        <f>前年度登録!DB30</f>
        <v/>
      </c>
      <c r="G33" s="1134" t="str">
        <f>前年度登録!AO30</f>
        <v/>
      </c>
      <c r="H33" s="663" t="str">
        <f>前年度登録!DB30</f>
        <v/>
      </c>
      <c r="I33" s="290" t="str">
        <f>前年度登録!AN30</f>
        <v/>
      </c>
      <c r="J33" s="359" t="str">
        <f>前年度登録!DC30</f>
        <v/>
      </c>
      <c r="K33" s="1247">
        <f>前年度登録!DE30</f>
        <v>0</v>
      </c>
      <c r="L33" s="1037" t="str">
        <f>前年度登録!DJ30</f>
        <v>00</v>
      </c>
      <c r="M33" s="844" t="s">
        <v>1061</v>
      </c>
      <c r="N33" s="1248">
        <f>前年度登録!S30</f>
        <v>0</v>
      </c>
      <c r="O33" s="291"/>
      <c r="P33" s="292" t="str">
        <f t="shared" si="5"/>
        <v/>
      </c>
      <c r="Q33" s="623" t="str">
        <f>IF(O33="","",HLOOKUP(O33,前年度登録!$AW$3:$CW$118,28,FALSE))</f>
        <v/>
      </c>
      <c r="R33" s="773" t="str">
        <f t="shared" si="6"/>
        <v/>
      </c>
      <c r="S33" s="774" t="str">
        <f t="shared" si="7"/>
        <v/>
      </c>
      <c r="T33" s="293"/>
      <c r="U33" s="850" t="str">
        <f t="shared" si="8"/>
        <v/>
      </c>
      <c r="V33" s="1290"/>
      <c r="W33" s="773" t="str">
        <f t="shared" si="9"/>
        <v/>
      </c>
      <c r="X33" s="774" t="str">
        <f t="shared" si="10"/>
        <v/>
      </c>
      <c r="Y33" s="1311"/>
      <c r="Z33" s="1308" t="str">
        <f t="shared" si="11"/>
        <v/>
      </c>
      <c r="AA33" s="777"/>
      <c r="AB33" s="780"/>
      <c r="AC33" s="851" t="str">
        <f>IF(AB33="","",IF(I33=1,VLOOKUP(AB33,男子種目コード!$D$2:$E$16,2,FALSE),IF(I33=2,VLOOKUP(AB33,女子種目コード!$D$2:$E$16,2,FALSE))))</f>
        <v/>
      </c>
      <c r="AD33" s="845"/>
      <c r="AE33" s="781"/>
      <c r="AF33" s="851"/>
      <c r="AG33" s="846"/>
      <c r="AH33" s="802"/>
      <c r="AI33" s="802"/>
      <c r="AK33" s="868"/>
      <c r="AL33" s="797" t="str">
        <f t="shared" si="12"/>
        <v/>
      </c>
      <c r="AM33" s="794" t="s">
        <v>450</v>
      </c>
      <c r="AN33" s="793">
        <f>SUM(AN27:AN32)</f>
        <v>0</v>
      </c>
      <c r="AO33" s="1301"/>
      <c r="AP33" s="1135"/>
      <c r="AQ33" s="1135"/>
      <c r="AR33" s="1135"/>
      <c r="AS33" s="807"/>
      <c r="AT33" s="847">
        <f t="shared" si="0"/>
        <v>0</v>
      </c>
      <c r="AU33" s="807"/>
      <c r="AV33" s="797">
        <f t="shared" si="13"/>
        <v>0</v>
      </c>
      <c r="AW33" s="797" t="str">
        <f t="shared" si="1"/>
        <v/>
      </c>
      <c r="AX33" s="797" t="str">
        <f t="shared" si="2"/>
        <v/>
      </c>
      <c r="AY33" s="853" t="str">
        <f t="shared" ref="AY33:AY37" ca="1" si="21">IF(ISERROR(BC33),"",BC33)</f>
        <v/>
      </c>
      <c r="AZ33" s="856" t="str">
        <f t="shared" ref="AZ33:AZ37" ca="1" si="22">IF(ISERROR(BD33),"",BD33)</f>
        <v/>
      </c>
      <c r="BA33" s="873"/>
      <c r="BB33" s="874"/>
      <c r="BC33" s="372" t="e">
        <f ca="1">VLookUpX("A",$C$7:$F$116,2,3)</f>
        <v>#N/A</v>
      </c>
      <c r="BD33" s="372" t="e">
        <f ca="1">VLookUpX("A",$C$7:$F$116,2,4)</f>
        <v>#N/A</v>
      </c>
      <c r="BE33" s="372" t="e">
        <f ca="1">VLookUpX("A",$C$7:$I$116,2,7)</f>
        <v>#N/A</v>
      </c>
      <c r="BF33" s="372"/>
      <c r="BG33" s="806"/>
      <c r="BH33" s="1172"/>
      <c r="BI33" s="1172"/>
      <c r="BJ33" s="1172"/>
      <c r="BK33" s="1172"/>
      <c r="BL33" s="1172"/>
      <c r="BM33" s="799"/>
      <c r="BN33" s="799"/>
      <c r="BO33" s="799"/>
      <c r="BP33" s="799"/>
      <c r="BQ33" s="799"/>
      <c r="BR33" s="799"/>
      <c r="BS33" s="799"/>
      <c r="BT33" s="799"/>
    </row>
    <row r="34" spans="1:72">
      <c r="A34" s="839">
        <f t="shared" si="3"/>
        <v>0</v>
      </c>
      <c r="B34" s="844" t="str">
        <f>前年度登録!AE31</f>
        <v/>
      </c>
      <c r="C34" s="1286">
        <f t="shared" si="4"/>
        <v>0</v>
      </c>
      <c r="D34" s="848"/>
      <c r="E34" s="849">
        <f>前年度登録!T31</f>
        <v>0</v>
      </c>
      <c r="F34" s="694" t="str">
        <f>前年度登録!DB31</f>
        <v/>
      </c>
      <c r="G34" s="1134" t="str">
        <f>前年度登録!AO31</f>
        <v/>
      </c>
      <c r="H34" s="663" t="str">
        <f>前年度登録!DB31</f>
        <v/>
      </c>
      <c r="I34" s="290" t="str">
        <f>前年度登録!AN31</f>
        <v/>
      </c>
      <c r="J34" s="359" t="str">
        <f>前年度登録!DC31</f>
        <v/>
      </c>
      <c r="K34" s="1247">
        <f>前年度登録!DE31</f>
        <v>0</v>
      </c>
      <c r="L34" s="1037" t="str">
        <f>前年度登録!DJ31</f>
        <v>00</v>
      </c>
      <c r="M34" s="844" t="s">
        <v>1061</v>
      </c>
      <c r="N34" s="1248">
        <f>前年度登録!S31</f>
        <v>0</v>
      </c>
      <c r="O34" s="291"/>
      <c r="P34" s="292" t="str">
        <f t="shared" si="5"/>
        <v/>
      </c>
      <c r="Q34" s="623" t="str">
        <f>IF(O34="","",HLOOKUP(O34,前年度登録!$AW$3:$CW$118,29,FALSE))</f>
        <v/>
      </c>
      <c r="R34" s="773" t="str">
        <f t="shared" si="6"/>
        <v/>
      </c>
      <c r="S34" s="774" t="str">
        <f t="shared" si="7"/>
        <v/>
      </c>
      <c r="T34" s="293"/>
      <c r="U34" s="850" t="str">
        <f t="shared" si="8"/>
        <v/>
      </c>
      <c r="V34" s="1290"/>
      <c r="W34" s="773" t="str">
        <f t="shared" si="9"/>
        <v/>
      </c>
      <c r="X34" s="774" t="str">
        <f t="shared" si="10"/>
        <v/>
      </c>
      <c r="Y34" s="1311"/>
      <c r="Z34" s="1308" t="str">
        <f t="shared" si="11"/>
        <v/>
      </c>
      <c r="AA34" s="777"/>
      <c r="AB34" s="780"/>
      <c r="AC34" s="851" t="str">
        <f>IF(AB34="","",IF(I34=1,VLOOKUP(AB34,男子種目コード!$D$2:$E$16,2,FALSE),IF(I34=2,VLOOKUP(AB34,女子種目コード!$D$2:$E$16,2,FALSE))))</f>
        <v/>
      </c>
      <c r="AD34" s="845"/>
      <c r="AE34" s="781"/>
      <c r="AF34" s="851"/>
      <c r="AG34" s="846"/>
      <c r="AH34" s="802"/>
      <c r="AI34" s="802"/>
      <c r="AK34" s="868"/>
      <c r="AL34" s="797" t="str">
        <f t="shared" si="12"/>
        <v/>
      </c>
      <c r="AM34" s="279"/>
      <c r="AN34" s="807"/>
      <c r="AO34" s="1295"/>
      <c r="AP34" s="807"/>
      <c r="AQ34" s="807"/>
      <c r="AR34" s="807"/>
      <c r="AS34" s="807"/>
      <c r="AT34" s="847">
        <f t="shared" si="0"/>
        <v>0</v>
      </c>
      <c r="AU34" s="807"/>
      <c r="AV34" s="797">
        <f t="shared" si="13"/>
        <v>0</v>
      </c>
      <c r="AW34" s="797" t="str">
        <f t="shared" si="1"/>
        <v/>
      </c>
      <c r="AX34" s="797" t="str">
        <f t="shared" si="2"/>
        <v/>
      </c>
      <c r="AY34" s="853" t="str">
        <f t="shared" ca="1" si="21"/>
        <v/>
      </c>
      <c r="AZ34" s="856" t="str">
        <f t="shared" ca="1" si="22"/>
        <v/>
      </c>
      <c r="BA34" s="873"/>
      <c r="BB34" s="874"/>
      <c r="BC34" s="372" t="e">
        <f ca="1">VLookUpX("A",$C$7:$F$116,3,3)</f>
        <v>#N/A</v>
      </c>
      <c r="BD34" s="372" t="e">
        <f ca="1">VLookUpX("A",$C$7:$F$116,3,4)</f>
        <v>#N/A</v>
      </c>
      <c r="BE34" s="372" t="e">
        <f ca="1">VLookUpX("A",$C$7:$I$116,3,7)</f>
        <v>#N/A</v>
      </c>
      <c r="BF34" s="372"/>
      <c r="BG34" s="806"/>
      <c r="BH34" s="1172"/>
      <c r="BI34" s="1172"/>
      <c r="BJ34" s="1172"/>
      <c r="BK34" s="1172"/>
      <c r="BL34" s="1172"/>
      <c r="BM34" s="799"/>
      <c r="BN34" s="799"/>
      <c r="BO34" s="799"/>
      <c r="BP34" s="799"/>
      <c r="BQ34" s="799"/>
      <c r="BR34" s="799"/>
      <c r="BS34" s="799"/>
      <c r="BT34" s="799"/>
    </row>
    <row r="35" spans="1:72">
      <c r="A35" s="839">
        <f t="shared" si="3"/>
        <v>0</v>
      </c>
      <c r="B35" s="844" t="str">
        <f>前年度登録!AE32</f>
        <v/>
      </c>
      <c r="C35" s="1286">
        <f t="shared" si="4"/>
        <v>0</v>
      </c>
      <c r="D35" s="848"/>
      <c r="E35" s="849">
        <f>前年度登録!T32</f>
        <v>0</v>
      </c>
      <c r="F35" s="694" t="str">
        <f>前年度登録!DB32</f>
        <v/>
      </c>
      <c r="G35" s="1134" t="str">
        <f>前年度登録!AO32</f>
        <v/>
      </c>
      <c r="H35" s="663" t="str">
        <f>前年度登録!DB32</f>
        <v/>
      </c>
      <c r="I35" s="290" t="str">
        <f>前年度登録!AN32</f>
        <v/>
      </c>
      <c r="J35" s="359" t="str">
        <f>前年度登録!DC32</f>
        <v/>
      </c>
      <c r="K35" s="1247">
        <f>前年度登録!DE32</f>
        <v>0</v>
      </c>
      <c r="L35" s="1037" t="str">
        <f>前年度登録!DJ32</f>
        <v>00</v>
      </c>
      <c r="M35" s="844" t="s">
        <v>1061</v>
      </c>
      <c r="N35" s="1248">
        <f>前年度登録!S32</f>
        <v>0</v>
      </c>
      <c r="O35" s="291"/>
      <c r="P35" s="292" t="str">
        <f t="shared" si="5"/>
        <v/>
      </c>
      <c r="Q35" s="623" t="str">
        <f>IF(O35="","",HLOOKUP(O35,前年度登録!$AW$3:$CW$118,30,FALSE))</f>
        <v/>
      </c>
      <c r="R35" s="773" t="str">
        <f t="shared" si="6"/>
        <v/>
      </c>
      <c r="S35" s="774" t="str">
        <f t="shared" si="7"/>
        <v/>
      </c>
      <c r="T35" s="293"/>
      <c r="U35" s="850" t="str">
        <f t="shared" si="8"/>
        <v/>
      </c>
      <c r="V35" s="1290"/>
      <c r="W35" s="773" t="str">
        <f t="shared" si="9"/>
        <v/>
      </c>
      <c r="X35" s="774" t="str">
        <f t="shared" si="10"/>
        <v/>
      </c>
      <c r="Y35" s="1311"/>
      <c r="Z35" s="1308" t="str">
        <f t="shared" si="11"/>
        <v/>
      </c>
      <c r="AA35" s="777"/>
      <c r="AB35" s="780"/>
      <c r="AC35" s="851" t="str">
        <f>IF(AB35="","",IF(I35=1,VLOOKUP(AB35,男子種目コード!$D$2:$E$16,2,FALSE),IF(I35=2,VLOOKUP(AB35,女子種目コード!$D$2:$E$16,2,FALSE))))</f>
        <v/>
      </c>
      <c r="AD35" s="845"/>
      <c r="AE35" s="781"/>
      <c r="AF35" s="851"/>
      <c r="AG35" s="846"/>
      <c r="AH35" s="802"/>
      <c r="AI35" s="802"/>
      <c r="AK35" s="868"/>
      <c r="AL35" s="797" t="str">
        <f t="shared" si="12"/>
        <v/>
      </c>
      <c r="AM35" s="1459" t="s">
        <v>844</v>
      </c>
      <c r="AN35" s="1460"/>
      <c r="AO35" s="1295"/>
      <c r="AP35" s="807"/>
      <c r="AQ35" s="807"/>
      <c r="AR35" s="807"/>
      <c r="AS35" s="807"/>
      <c r="AT35" s="847">
        <f t="shared" si="0"/>
        <v>0</v>
      </c>
      <c r="AU35" s="807"/>
      <c r="AV35" s="797">
        <f t="shared" si="13"/>
        <v>0</v>
      </c>
      <c r="AW35" s="797" t="str">
        <f t="shared" si="1"/>
        <v/>
      </c>
      <c r="AX35" s="797" t="str">
        <f t="shared" si="2"/>
        <v/>
      </c>
      <c r="AY35" s="853" t="str">
        <f t="shared" ca="1" si="21"/>
        <v/>
      </c>
      <c r="AZ35" s="856" t="str">
        <f t="shared" ca="1" si="22"/>
        <v/>
      </c>
      <c r="BA35" s="873"/>
      <c r="BB35" s="874"/>
      <c r="BC35" s="372" t="e">
        <f ca="1">VLookUpX("A",$C$7:$F$116,4,3)</f>
        <v>#N/A</v>
      </c>
      <c r="BD35" s="372" t="e">
        <f ca="1">VLookUpX("A",$C$7:$F$116,4,4)</f>
        <v>#N/A</v>
      </c>
      <c r="BE35" s="372" t="e">
        <f ca="1">VLookUpX("A",$C$7:$I$116,4,7)</f>
        <v>#N/A</v>
      </c>
      <c r="BF35" s="372"/>
      <c r="BG35" s="806"/>
      <c r="BH35" s="1172"/>
      <c r="BI35" s="1172"/>
      <c r="BJ35" s="1172"/>
      <c r="BK35" s="1172"/>
      <c r="BL35" s="1172"/>
      <c r="BM35" s="799"/>
      <c r="BN35" s="799"/>
      <c r="BO35" s="799"/>
      <c r="BP35" s="799"/>
      <c r="BQ35" s="799"/>
      <c r="BR35" s="799"/>
      <c r="BS35" s="799"/>
      <c r="BT35" s="799"/>
    </row>
    <row r="36" spans="1:72">
      <c r="A36" s="839">
        <f t="shared" si="3"/>
        <v>0</v>
      </c>
      <c r="B36" s="844" t="str">
        <f>前年度登録!AE33</f>
        <v/>
      </c>
      <c r="C36" s="1286">
        <f t="shared" si="4"/>
        <v>0</v>
      </c>
      <c r="D36" s="848"/>
      <c r="E36" s="849">
        <f>前年度登録!T33</f>
        <v>0</v>
      </c>
      <c r="F36" s="694" t="str">
        <f>前年度登録!DB33</f>
        <v/>
      </c>
      <c r="G36" s="1134" t="str">
        <f>前年度登録!AO33</f>
        <v/>
      </c>
      <c r="H36" s="663" t="str">
        <f>前年度登録!DB33</f>
        <v/>
      </c>
      <c r="I36" s="290" t="str">
        <f>前年度登録!AN33</f>
        <v/>
      </c>
      <c r="J36" s="359" t="str">
        <f>前年度登録!DC33</f>
        <v/>
      </c>
      <c r="K36" s="1247">
        <f>前年度登録!DE33</f>
        <v>0</v>
      </c>
      <c r="L36" s="1037" t="str">
        <f>前年度登録!DJ33</f>
        <v>00</v>
      </c>
      <c r="M36" s="844" t="s">
        <v>1061</v>
      </c>
      <c r="N36" s="1248">
        <f>前年度登録!S33</f>
        <v>0</v>
      </c>
      <c r="O36" s="291"/>
      <c r="P36" s="292" t="str">
        <f t="shared" si="5"/>
        <v/>
      </c>
      <c r="Q36" s="623" t="str">
        <f>IF(O36="","",HLOOKUP(O36,前年度登録!$AW$3:$CW$118,31,FALSE))</f>
        <v/>
      </c>
      <c r="R36" s="773" t="str">
        <f t="shared" si="6"/>
        <v/>
      </c>
      <c r="S36" s="774" t="str">
        <f t="shared" si="7"/>
        <v/>
      </c>
      <c r="T36" s="293"/>
      <c r="U36" s="850" t="str">
        <f t="shared" si="8"/>
        <v/>
      </c>
      <c r="V36" s="1290"/>
      <c r="W36" s="773" t="str">
        <f t="shared" si="9"/>
        <v/>
      </c>
      <c r="X36" s="774" t="str">
        <f t="shared" si="10"/>
        <v/>
      </c>
      <c r="Y36" s="1311"/>
      <c r="Z36" s="1308" t="str">
        <f t="shared" si="11"/>
        <v/>
      </c>
      <c r="AA36" s="777"/>
      <c r="AB36" s="780"/>
      <c r="AC36" s="851" t="str">
        <f>IF(AB36="","",IF(I36=1,VLOOKUP(AB36,男子種目コード!$D$2:$E$16,2,FALSE),IF(I36=2,VLOOKUP(AB36,女子種目コード!$D$2:$E$16,2,FALSE))))</f>
        <v/>
      </c>
      <c r="AD36" s="845"/>
      <c r="AE36" s="781"/>
      <c r="AF36" s="851"/>
      <c r="AG36" s="846"/>
      <c r="AH36" s="802"/>
      <c r="AI36" s="802"/>
      <c r="AK36" s="868"/>
      <c r="AL36" s="797" t="str">
        <f t="shared" si="12"/>
        <v/>
      </c>
      <c r="AM36" s="1305" t="s">
        <v>273</v>
      </c>
      <c r="AN36" s="1306">
        <v>12.81</v>
      </c>
      <c r="AO36" s="1295"/>
      <c r="AP36" s="807"/>
      <c r="AQ36" s="807"/>
      <c r="AR36" s="807"/>
      <c r="AS36" s="807"/>
      <c r="AT36" s="847">
        <f t="shared" si="0"/>
        <v>0</v>
      </c>
      <c r="AU36" s="807"/>
      <c r="AV36" s="797">
        <f t="shared" si="13"/>
        <v>0</v>
      </c>
      <c r="AW36" s="797" t="str">
        <f t="shared" si="1"/>
        <v/>
      </c>
      <c r="AX36" s="797" t="str">
        <f t="shared" si="2"/>
        <v/>
      </c>
      <c r="AY36" s="853" t="str">
        <f t="shared" ca="1" si="21"/>
        <v/>
      </c>
      <c r="AZ36" s="856" t="str">
        <f t="shared" ca="1" si="22"/>
        <v/>
      </c>
      <c r="BA36" s="873"/>
      <c r="BB36" s="874"/>
      <c r="BC36" s="372" t="e">
        <f ca="1">VLookUpX("A",$C$7:$F$116,5,3)</f>
        <v>#N/A</v>
      </c>
      <c r="BD36" s="372" t="e">
        <f ca="1">VLookUpX("A",$C$7:$F$116,5,4)</f>
        <v>#N/A</v>
      </c>
      <c r="BE36" s="372" t="e">
        <f ca="1">VLookUpX("A",$C$7:$I$116,5,7)</f>
        <v>#N/A</v>
      </c>
      <c r="BF36" s="372"/>
      <c r="BG36" s="806"/>
      <c r="BH36" s="1172"/>
      <c r="BI36" s="1172"/>
      <c r="BJ36" s="1172"/>
      <c r="BK36" s="1172"/>
      <c r="BL36" s="1172"/>
      <c r="BM36" s="799"/>
      <c r="BN36" s="799"/>
      <c r="BO36" s="799"/>
      <c r="BP36" s="799"/>
      <c r="BQ36" s="799"/>
      <c r="BR36" s="799"/>
      <c r="BS36" s="799"/>
      <c r="BT36" s="799"/>
    </row>
    <row r="37" spans="1:72">
      <c r="A37" s="839">
        <f t="shared" si="3"/>
        <v>0</v>
      </c>
      <c r="B37" s="844" t="str">
        <f>前年度登録!AE34</f>
        <v/>
      </c>
      <c r="C37" s="1286">
        <f t="shared" si="4"/>
        <v>0</v>
      </c>
      <c r="D37" s="848"/>
      <c r="E37" s="849">
        <f>前年度登録!T34</f>
        <v>0</v>
      </c>
      <c r="F37" s="694" t="str">
        <f>前年度登録!DB34</f>
        <v/>
      </c>
      <c r="G37" s="1134" t="str">
        <f>前年度登録!AO34</f>
        <v/>
      </c>
      <c r="H37" s="663" t="str">
        <f>前年度登録!DB34</f>
        <v/>
      </c>
      <c r="I37" s="290" t="str">
        <f>前年度登録!AN34</f>
        <v/>
      </c>
      <c r="J37" s="359" t="str">
        <f>前年度登録!DC34</f>
        <v/>
      </c>
      <c r="K37" s="1247">
        <f>前年度登録!DE34</f>
        <v>0</v>
      </c>
      <c r="L37" s="1037" t="str">
        <f>前年度登録!DJ34</f>
        <v>00</v>
      </c>
      <c r="M37" s="844" t="s">
        <v>1061</v>
      </c>
      <c r="N37" s="1248">
        <f>前年度登録!S34</f>
        <v>0</v>
      </c>
      <c r="O37" s="291"/>
      <c r="P37" s="292" t="str">
        <f t="shared" si="5"/>
        <v/>
      </c>
      <c r="Q37" s="623" t="str">
        <f>IF(O37="","",HLOOKUP(O37,前年度登録!$AW$3:$CW$118,32,FALSE))</f>
        <v/>
      </c>
      <c r="R37" s="773" t="str">
        <f t="shared" si="6"/>
        <v/>
      </c>
      <c r="S37" s="774" t="str">
        <f t="shared" si="7"/>
        <v/>
      </c>
      <c r="T37" s="293"/>
      <c r="U37" s="850" t="str">
        <f t="shared" si="8"/>
        <v/>
      </c>
      <c r="V37" s="1290"/>
      <c r="W37" s="773" t="str">
        <f t="shared" si="9"/>
        <v/>
      </c>
      <c r="X37" s="774" t="str">
        <f t="shared" si="10"/>
        <v/>
      </c>
      <c r="Y37" s="1311"/>
      <c r="Z37" s="1308" t="str">
        <f t="shared" si="11"/>
        <v/>
      </c>
      <c r="AA37" s="777"/>
      <c r="AB37" s="780"/>
      <c r="AC37" s="851" t="str">
        <f>IF(AB37="","",IF(I37=1,VLOOKUP(AB37,男子種目コード!$D$2:$E$16,2,FALSE),IF(I37=2,VLOOKUP(AB37,女子種目コード!$D$2:$E$16,2,FALSE))))</f>
        <v/>
      </c>
      <c r="AD37" s="845"/>
      <c r="AE37" s="781"/>
      <c r="AF37" s="851"/>
      <c r="AG37" s="846"/>
      <c r="AH37" s="802"/>
      <c r="AI37" s="802"/>
      <c r="AK37" s="868"/>
      <c r="AL37" s="797" t="str">
        <f t="shared" si="12"/>
        <v/>
      </c>
      <c r="AM37" s="1305" t="s">
        <v>275</v>
      </c>
      <c r="AN37" s="1306">
        <v>14.22</v>
      </c>
      <c r="AO37" s="1295"/>
      <c r="AP37" s="807"/>
      <c r="AQ37" s="807"/>
      <c r="AR37" s="807"/>
      <c r="AS37" s="807"/>
      <c r="AT37" s="847">
        <f t="shared" si="0"/>
        <v>0</v>
      </c>
      <c r="AU37" s="807"/>
      <c r="AV37" s="797">
        <f t="shared" si="13"/>
        <v>0</v>
      </c>
      <c r="AW37" s="797" t="str">
        <f t="shared" si="1"/>
        <v/>
      </c>
      <c r="AX37" s="797" t="str">
        <f t="shared" si="2"/>
        <v/>
      </c>
      <c r="AY37" s="1287" t="str">
        <f t="shared" ca="1" si="21"/>
        <v/>
      </c>
      <c r="AZ37" s="856" t="str">
        <f t="shared" ca="1" si="22"/>
        <v/>
      </c>
      <c r="BA37" s="873"/>
      <c r="BB37" s="874"/>
      <c r="BC37" s="372" t="e">
        <f ca="1">VLookUpX("A",$C$7:$F$116,6,3)</f>
        <v>#N/A</v>
      </c>
      <c r="BD37" s="372" t="e">
        <f ca="1">VLookUpX("A",$C$7:$F$116,6,4)</f>
        <v>#N/A</v>
      </c>
      <c r="BE37" s="372" t="e">
        <f ca="1">VLookUpX("A",$C$7:$I$116,6,7)</f>
        <v>#N/A</v>
      </c>
      <c r="BF37" s="372"/>
      <c r="BG37" s="806"/>
      <c r="BH37" s="1172"/>
      <c r="BI37" s="1172"/>
      <c r="BJ37" s="1172"/>
      <c r="BK37" s="1172"/>
      <c r="BL37" s="1172"/>
      <c r="BM37" s="799"/>
      <c r="BN37" s="799"/>
      <c r="BO37" s="799"/>
      <c r="BP37" s="799"/>
      <c r="BQ37" s="799"/>
      <c r="BR37" s="799"/>
      <c r="BS37" s="799"/>
      <c r="BT37" s="799"/>
    </row>
    <row r="38" spans="1:72">
      <c r="A38" s="839">
        <f t="shared" si="3"/>
        <v>0</v>
      </c>
      <c r="B38" s="844" t="str">
        <f>前年度登録!AE35</f>
        <v/>
      </c>
      <c r="C38" s="1286">
        <f t="shared" si="4"/>
        <v>0</v>
      </c>
      <c r="D38" s="848"/>
      <c r="E38" s="849">
        <f>前年度登録!T35</f>
        <v>0</v>
      </c>
      <c r="F38" s="694" t="str">
        <f>前年度登録!DB35</f>
        <v/>
      </c>
      <c r="G38" s="1134" t="str">
        <f>前年度登録!AO35</f>
        <v/>
      </c>
      <c r="H38" s="663" t="str">
        <f>前年度登録!DB35</f>
        <v/>
      </c>
      <c r="I38" s="290" t="str">
        <f>前年度登録!AN35</f>
        <v/>
      </c>
      <c r="J38" s="359" t="str">
        <f>前年度登録!DC35</f>
        <v/>
      </c>
      <c r="K38" s="1247">
        <f>前年度登録!DE35</f>
        <v>0</v>
      </c>
      <c r="L38" s="1037" t="str">
        <f>前年度登録!DJ35</f>
        <v>00</v>
      </c>
      <c r="M38" s="844" t="s">
        <v>1061</v>
      </c>
      <c r="N38" s="1248">
        <f>前年度登録!S35</f>
        <v>0</v>
      </c>
      <c r="O38" s="291"/>
      <c r="P38" s="292" t="str">
        <f t="shared" si="5"/>
        <v/>
      </c>
      <c r="Q38" s="623" t="str">
        <f>IF(O38="","",HLOOKUP(O38,前年度登録!$AW$3:$CW$118,33,FALSE))</f>
        <v/>
      </c>
      <c r="R38" s="773" t="str">
        <f t="shared" si="6"/>
        <v/>
      </c>
      <c r="S38" s="774" t="str">
        <f t="shared" si="7"/>
        <v/>
      </c>
      <c r="T38" s="293"/>
      <c r="U38" s="850" t="str">
        <f t="shared" si="8"/>
        <v/>
      </c>
      <c r="V38" s="1290"/>
      <c r="W38" s="773" t="str">
        <f t="shared" si="9"/>
        <v/>
      </c>
      <c r="X38" s="774" t="str">
        <f t="shared" si="10"/>
        <v/>
      </c>
      <c r="Y38" s="1311"/>
      <c r="Z38" s="1308" t="str">
        <f t="shared" si="11"/>
        <v/>
      </c>
      <c r="AA38" s="777"/>
      <c r="AB38" s="780"/>
      <c r="AC38" s="851" t="str">
        <f>IF(AB38="","",IF(I38=1,VLOOKUP(AB38,男子種目コード!$D$2:$E$16,2,FALSE),IF(I38=2,VLOOKUP(AB38,女子種目コード!$D$2:$E$16,2,FALSE))))</f>
        <v/>
      </c>
      <c r="AD38" s="845"/>
      <c r="AE38" s="781"/>
      <c r="AF38" s="851"/>
      <c r="AG38" s="846"/>
      <c r="AH38" s="802"/>
      <c r="AI38" s="802"/>
      <c r="AK38" s="868"/>
      <c r="AL38" s="797" t="str">
        <f t="shared" si="12"/>
        <v/>
      </c>
      <c r="AM38" s="1300"/>
      <c r="AN38" s="1297"/>
      <c r="AO38" s="1297"/>
      <c r="AP38" s="1135" t="s">
        <v>1126</v>
      </c>
      <c r="AQ38" s="807"/>
      <c r="AR38" s="807"/>
      <c r="AS38" s="807"/>
      <c r="AT38" s="847">
        <f t="shared" si="0"/>
        <v>0</v>
      </c>
      <c r="AU38" s="807"/>
      <c r="AV38" s="797">
        <f t="shared" si="13"/>
        <v>0</v>
      </c>
      <c r="AW38" s="797" t="str">
        <f t="shared" si="1"/>
        <v/>
      </c>
      <c r="AX38" s="797" t="str">
        <f t="shared" si="2"/>
        <v/>
      </c>
      <c r="AY38" s="1437" t="s">
        <v>1125</v>
      </c>
      <c r="AZ38" s="1438"/>
      <c r="BA38" s="806"/>
      <c r="BB38" s="806"/>
      <c r="BF38" s="799"/>
      <c r="BG38" s="806"/>
      <c r="BH38" s="1172"/>
      <c r="BI38" s="1172"/>
      <c r="BJ38" s="1172"/>
      <c r="BK38" s="1172"/>
      <c r="BL38" s="1172"/>
      <c r="BM38" s="799"/>
      <c r="BN38" s="799"/>
      <c r="BO38" s="799"/>
      <c r="BP38" s="799"/>
      <c r="BQ38" s="799"/>
      <c r="BR38" s="799"/>
      <c r="BS38" s="799"/>
      <c r="BT38" s="799"/>
    </row>
    <row r="39" spans="1:72">
      <c r="A39" s="839">
        <f t="shared" si="3"/>
        <v>0</v>
      </c>
      <c r="B39" s="844" t="str">
        <f>前年度登録!AE36</f>
        <v/>
      </c>
      <c r="C39" s="1286">
        <f t="shared" si="4"/>
        <v>0</v>
      </c>
      <c r="D39" s="848"/>
      <c r="E39" s="849">
        <f>前年度登録!T36</f>
        <v>0</v>
      </c>
      <c r="F39" s="694" t="str">
        <f>前年度登録!DB36</f>
        <v/>
      </c>
      <c r="G39" s="1134" t="str">
        <f>前年度登録!AO36</f>
        <v/>
      </c>
      <c r="H39" s="663" t="str">
        <f>前年度登録!DB36</f>
        <v/>
      </c>
      <c r="I39" s="290" t="str">
        <f>前年度登録!AN36</f>
        <v/>
      </c>
      <c r="J39" s="359" t="str">
        <f>前年度登録!DC36</f>
        <v/>
      </c>
      <c r="K39" s="1247">
        <f>前年度登録!DE36</f>
        <v>0</v>
      </c>
      <c r="L39" s="1037" t="str">
        <f>前年度登録!DJ36</f>
        <v>00</v>
      </c>
      <c r="M39" s="844" t="s">
        <v>1061</v>
      </c>
      <c r="N39" s="1248">
        <f>前年度登録!S36</f>
        <v>0</v>
      </c>
      <c r="O39" s="291"/>
      <c r="P39" s="292" t="str">
        <f t="shared" si="5"/>
        <v/>
      </c>
      <c r="Q39" s="623" t="str">
        <f>IF(O39="","",HLOOKUP(O39,前年度登録!$AW$3:$CW$118,34,FALSE))</f>
        <v/>
      </c>
      <c r="R39" s="773" t="str">
        <f t="shared" si="6"/>
        <v/>
      </c>
      <c r="S39" s="774" t="str">
        <f t="shared" si="7"/>
        <v/>
      </c>
      <c r="T39" s="293"/>
      <c r="U39" s="850" t="str">
        <f t="shared" si="8"/>
        <v/>
      </c>
      <c r="V39" s="1290"/>
      <c r="W39" s="773" t="str">
        <f t="shared" si="9"/>
        <v/>
      </c>
      <c r="X39" s="774" t="str">
        <f t="shared" si="10"/>
        <v/>
      </c>
      <c r="Y39" s="1311"/>
      <c r="Z39" s="1308" t="str">
        <f t="shared" si="11"/>
        <v/>
      </c>
      <c r="AA39" s="777"/>
      <c r="AB39" s="780"/>
      <c r="AC39" s="851" t="str">
        <f>IF(AB39="","",IF(I39=1,VLOOKUP(AB39,男子種目コード!$D$2:$E$16,2,FALSE),IF(I39=2,VLOOKUP(AB39,女子種目コード!$D$2:$E$16,2,FALSE))))</f>
        <v/>
      </c>
      <c r="AD39" s="845"/>
      <c r="AE39" s="781"/>
      <c r="AF39" s="851"/>
      <c r="AG39" s="846"/>
      <c r="AH39" s="802"/>
      <c r="AI39" s="802"/>
      <c r="AK39" s="868"/>
      <c r="AL39" s="797" t="str">
        <f t="shared" si="12"/>
        <v/>
      </c>
      <c r="AM39" s="1296" t="s">
        <v>395</v>
      </c>
      <c r="AN39" s="1297"/>
      <c r="AO39" s="1298">
        <v>20</v>
      </c>
      <c r="AP39" s="1288">
        <f>COUNTIF($T$7:$T$116,AM39)</f>
        <v>0</v>
      </c>
      <c r="AQ39" s="1288"/>
      <c r="AR39" s="807"/>
      <c r="AS39" s="807"/>
      <c r="AT39" s="847">
        <f t="shared" ref="AT39:AT70" si="23">IF(OR(AL39=1,T39=""),0,1)</f>
        <v>0</v>
      </c>
      <c r="AU39" s="807"/>
      <c r="AV39" s="797">
        <f t="shared" si="13"/>
        <v>0</v>
      </c>
      <c r="AW39" s="797" t="str">
        <f t="shared" ref="AW39:AW70" si="24">IF(I39=1,AV39,"")</f>
        <v/>
      </c>
      <c r="AX39" s="797" t="str">
        <f t="shared" ref="AX39:AX70" si="25">IF(I39=2,AV39,"")</f>
        <v/>
      </c>
      <c r="AY39" s="1439" t="s">
        <v>735</v>
      </c>
      <c r="AZ39" s="1440"/>
      <c r="BA39" s="807"/>
      <c r="BB39" s="807"/>
      <c r="BG39" s="806"/>
      <c r="BH39" s="1172"/>
      <c r="BI39" s="1172"/>
      <c r="BJ39" s="1172"/>
      <c r="BK39" s="1172"/>
      <c r="BL39" s="1172"/>
      <c r="BM39" s="799"/>
      <c r="BN39" s="799"/>
      <c r="BO39" s="799"/>
      <c r="BP39" s="799"/>
      <c r="BQ39" s="799"/>
      <c r="BR39" s="799"/>
      <c r="BS39" s="799"/>
      <c r="BT39" s="799"/>
    </row>
    <row r="40" spans="1:72">
      <c r="A40" s="839">
        <f t="shared" si="3"/>
        <v>0</v>
      </c>
      <c r="B40" s="844" t="str">
        <f>前年度登録!AE37</f>
        <v/>
      </c>
      <c r="C40" s="1286">
        <f t="shared" si="4"/>
        <v>0</v>
      </c>
      <c r="D40" s="848"/>
      <c r="E40" s="849">
        <f>前年度登録!T37</f>
        <v>0</v>
      </c>
      <c r="F40" s="694" t="str">
        <f>前年度登録!DB37</f>
        <v/>
      </c>
      <c r="G40" s="1134" t="str">
        <f>前年度登録!AO37</f>
        <v/>
      </c>
      <c r="H40" s="663" t="str">
        <f>前年度登録!DB37</f>
        <v/>
      </c>
      <c r="I40" s="290" t="str">
        <f>前年度登録!AN37</f>
        <v/>
      </c>
      <c r="J40" s="359" t="str">
        <f>前年度登録!DC37</f>
        <v/>
      </c>
      <c r="K40" s="1247">
        <f>前年度登録!DE37</f>
        <v>0</v>
      </c>
      <c r="L40" s="1037" t="str">
        <f>前年度登録!DJ37</f>
        <v>00</v>
      </c>
      <c r="M40" s="844" t="s">
        <v>1061</v>
      </c>
      <c r="N40" s="1248">
        <f>前年度登録!S37</f>
        <v>0</v>
      </c>
      <c r="O40" s="291"/>
      <c r="P40" s="292" t="str">
        <f t="shared" si="5"/>
        <v/>
      </c>
      <c r="Q40" s="623" t="str">
        <f>IF(O40="","",HLOOKUP(O40,前年度登録!$AW$3:$CW$118,35,FALSE))</f>
        <v/>
      </c>
      <c r="R40" s="773" t="str">
        <f t="shared" si="6"/>
        <v/>
      </c>
      <c r="S40" s="774" t="str">
        <f t="shared" si="7"/>
        <v/>
      </c>
      <c r="T40" s="293"/>
      <c r="U40" s="850" t="str">
        <f t="shared" si="8"/>
        <v/>
      </c>
      <c r="V40" s="1290"/>
      <c r="W40" s="773" t="str">
        <f t="shared" si="9"/>
        <v/>
      </c>
      <c r="X40" s="774" t="str">
        <f t="shared" si="10"/>
        <v/>
      </c>
      <c r="Y40" s="1311"/>
      <c r="Z40" s="1308" t="str">
        <f t="shared" si="11"/>
        <v/>
      </c>
      <c r="AA40" s="777"/>
      <c r="AB40" s="780"/>
      <c r="AC40" s="851" t="str">
        <f>IF(AB40="","",IF(I40=1,VLOOKUP(AB40,男子種目コード!$D$2:$E$16,2,FALSE),IF(I40=2,VLOOKUP(AB40,女子種目コード!$D$2:$E$16,2,FALSE))))</f>
        <v/>
      </c>
      <c r="AD40" s="845"/>
      <c r="AE40" s="781"/>
      <c r="AF40" s="851"/>
      <c r="AG40" s="846"/>
      <c r="AH40" s="802"/>
      <c r="AI40" s="802"/>
      <c r="AK40" s="868"/>
      <c r="AL40" s="797" t="str">
        <f t="shared" si="12"/>
        <v/>
      </c>
      <c r="AM40" s="1296" t="s">
        <v>396</v>
      </c>
      <c r="AN40" s="1297"/>
      <c r="AO40" s="1298">
        <v>20</v>
      </c>
      <c r="AP40" s="1288">
        <f t="shared" ref="AP40:AP44" si="26">COUNTIF($T$7:$T$116,AM40)</f>
        <v>0</v>
      </c>
      <c r="AQ40" s="1288"/>
      <c r="AR40" s="807"/>
      <c r="AS40" s="807"/>
      <c r="AT40" s="847">
        <f t="shared" si="23"/>
        <v>0</v>
      </c>
      <c r="AU40" s="807"/>
      <c r="AV40" s="797">
        <f t="shared" si="13"/>
        <v>0</v>
      </c>
      <c r="AW40" s="797" t="str">
        <f t="shared" si="24"/>
        <v/>
      </c>
      <c r="AX40" s="797" t="str">
        <f t="shared" si="25"/>
        <v/>
      </c>
      <c r="AY40" s="853" t="str">
        <f ca="1">IF(ISERROR(BC40),"",BC40)</f>
        <v/>
      </c>
      <c r="AZ40" s="856" t="str">
        <f ca="1">IF(ISERROR(BD40),"",BD40)</f>
        <v/>
      </c>
      <c r="BA40" s="807"/>
      <c r="BB40" s="807"/>
      <c r="BC40" s="372" t="e">
        <f ca="1">VLookUpX("B",$C$7:$F$116,1,3)</f>
        <v>#N/A</v>
      </c>
      <c r="BD40" s="372" t="e">
        <f ca="1">VLookUpX("B",$C$7:$F$116,1,4)</f>
        <v>#N/A</v>
      </c>
      <c r="BE40" s="372" t="e">
        <f ca="1">VLookUpX("B",$C$7:$I$116,1,7)</f>
        <v>#N/A</v>
      </c>
      <c r="BG40" s="807"/>
      <c r="BH40" s="1169"/>
      <c r="BI40" s="1169"/>
      <c r="BJ40" s="1169"/>
      <c r="BK40" s="1169"/>
      <c r="BL40" s="1169"/>
    </row>
    <row r="41" spans="1:72">
      <c r="A41" s="839">
        <f t="shared" si="3"/>
        <v>0</v>
      </c>
      <c r="B41" s="844" t="str">
        <f>前年度登録!AE38</f>
        <v/>
      </c>
      <c r="C41" s="1286">
        <f t="shared" si="4"/>
        <v>0</v>
      </c>
      <c r="D41" s="848"/>
      <c r="E41" s="849">
        <f>前年度登録!T38</f>
        <v>0</v>
      </c>
      <c r="F41" s="694" t="str">
        <f>前年度登録!DB38</f>
        <v/>
      </c>
      <c r="G41" s="1134" t="str">
        <f>前年度登録!AO38</f>
        <v/>
      </c>
      <c r="H41" s="663" t="str">
        <f>前年度登録!DB38</f>
        <v/>
      </c>
      <c r="I41" s="290" t="str">
        <f>前年度登録!AN38</f>
        <v/>
      </c>
      <c r="J41" s="359" t="str">
        <f>前年度登録!DC38</f>
        <v/>
      </c>
      <c r="K41" s="1247">
        <f>前年度登録!DE38</f>
        <v>0</v>
      </c>
      <c r="L41" s="1037" t="str">
        <f>前年度登録!DJ38</f>
        <v>00</v>
      </c>
      <c r="M41" s="844" t="s">
        <v>1061</v>
      </c>
      <c r="N41" s="1248">
        <f>前年度登録!S38</f>
        <v>0</v>
      </c>
      <c r="O41" s="291"/>
      <c r="P41" s="292" t="str">
        <f t="shared" si="5"/>
        <v/>
      </c>
      <c r="Q41" s="623" t="str">
        <f>IF(O41="","",HLOOKUP(O41,前年度登録!$AW$3:$CW$118,36,FALSE))</f>
        <v/>
      </c>
      <c r="R41" s="773" t="str">
        <f t="shared" si="6"/>
        <v/>
      </c>
      <c r="S41" s="774" t="str">
        <f t="shared" si="7"/>
        <v/>
      </c>
      <c r="T41" s="293"/>
      <c r="U41" s="850" t="str">
        <f t="shared" si="8"/>
        <v/>
      </c>
      <c r="V41" s="1290"/>
      <c r="W41" s="773" t="str">
        <f t="shared" si="9"/>
        <v/>
      </c>
      <c r="X41" s="774" t="str">
        <f t="shared" si="10"/>
        <v/>
      </c>
      <c r="Y41" s="1311"/>
      <c r="Z41" s="1308" t="str">
        <f t="shared" si="11"/>
        <v/>
      </c>
      <c r="AA41" s="777"/>
      <c r="AB41" s="780"/>
      <c r="AC41" s="851" t="str">
        <f>IF(AB41="","",IF(I41=1,VLOOKUP(AB41,男子種目コード!$D$2:$E$16,2,FALSE),IF(I41=2,VLOOKUP(AB41,女子種目コード!$D$2:$E$16,2,FALSE))))</f>
        <v/>
      </c>
      <c r="AD41" s="845"/>
      <c r="AE41" s="781"/>
      <c r="AF41" s="851"/>
      <c r="AG41" s="846"/>
      <c r="AH41" s="802"/>
      <c r="AI41" s="802"/>
      <c r="AK41" s="868"/>
      <c r="AL41" s="797" t="str">
        <f t="shared" si="12"/>
        <v/>
      </c>
      <c r="AM41" s="1299" t="s">
        <v>397</v>
      </c>
      <c r="AN41" s="1297"/>
      <c r="AO41" s="1298">
        <v>20</v>
      </c>
      <c r="AP41" s="1288">
        <f t="shared" si="26"/>
        <v>0</v>
      </c>
      <c r="AQ41" s="1288"/>
      <c r="AR41" s="807"/>
      <c r="AS41" s="807"/>
      <c r="AT41" s="847">
        <f t="shared" si="23"/>
        <v>0</v>
      </c>
      <c r="AU41" s="807"/>
      <c r="AV41" s="797">
        <f t="shared" si="13"/>
        <v>0</v>
      </c>
      <c r="AW41" s="797" t="str">
        <f t="shared" si="24"/>
        <v/>
      </c>
      <c r="AX41" s="797" t="str">
        <f t="shared" si="25"/>
        <v/>
      </c>
      <c r="AY41" s="853" t="str">
        <f t="shared" ref="AY41:AZ45" ca="1" si="27">IF(ISERROR(BC41),"",BC41)</f>
        <v/>
      </c>
      <c r="AZ41" s="856" t="str">
        <f t="shared" ca="1" si="27"/>
        <v/>
      </c>
      <c r="BA41" s="807"/>
      <c r="BB41" s="807"/>
      <c r="BC41" s="372" t="e">
        <f ca="1">VLookUpX("B",$C$7:$F$116,2,3)</f>
        <v>#N/A</v>
      </c>
      <c r="BD41" s="372" t="e">
        <f ca="1">VLookUpX("B",$C$7:$F$116,2,4)</f>
        <v>#N/A</v>
      </c>
      <c r="BE41" s="372" t="e">
        <f ca="1">VLookUpX("B",$C$7:$I$116,2,7)</f>
        <v>#N/A</v>
      </c>
      <c r="BG41" s="807"/>
      <c r="BH41" s="1169"/>
      <c r="BI41" s="1169"/>
      <c r="BJ41" s="1169"/>
      <c r="BK41" s="1169"/>
      <c r="BL41" s="1169"/>
    </row>
    <row r="42" spans="1:72">
      <c r="A42" s="839">
        <f t="shared" si="3"/>
        <v>0</v>
      </c>
      <c r="B42" s="844" t="str">
        <f>前年度登録!AE39</f>
        <v/>
      </c>
      <c r="C42" s="1286">
        <f t="shared" si="4"/>
        <v>0</v>
      </c>
      <c r="D42" s="848"/>
      <c r="E42" s="849">
        <f>前年度登録!T39</f>
        <v>0</v>
      </c>
      <c r="F42" s="694" t="str">
        <f>前年度登録!DB39</f>
        <v/>
      </c>
      <c r="G42" s="1134" t="str">
        <f>前年度登録!AO39</f>
        <v/>
      </c>
      <c r="H42" s="663" t="str">
        <f>前年度登録!DB39</f>
        <v/>
      </c>
      <c r="I42" s="290" t="str">
        <f>前年度登録!AN39</f>
        <v/>
      </c>
      <c r="J42" s="359" t="str">
        <f>前年度登録!DC39</f>
        <v/>
      </c>
      <c r="K42" s="1247">
        <f>前年度登録!DE39</f>
        <v>0</v>
      </c>
      <c r="L42" s="1037" t="str">
        <f>前年度登録!DJ39</f>
        <v>00</v>
      </c>
      <c r="M42" s="844" t="s">
        <v>1061</v>
      </c>
      <c r="N42" s="1248">
        <f>前年度登録!S39</f>
        <v>0</v>
      </c>
      <c r="O42" s="291"/>
      <c r="P42" s="292" t="str">
        <f t="shared" si="5"/>
        <v/>
      </c>
      <c r="Q42" s="623" t="str">
        <f>IF(O42="","",HLOOKUP(O42,前年度登録!$AW$3:$CW$118,37,FALSE))</f>
        <v/>
      </c>
      <c r="R42" s="773" t="str">
        <f t="shared" si="6"/>
        <v/>
      </c>
      <c r="S42" s="774" t="str">
        <f t="shared" si="7"/>
        <v/>
      </c>
      <c r="T42" s="293"/>
      <c r="U42" s="850" t="str">
        <f t="shared" si="8"/>
        <v/>
      </c>
      <c r="V42" s="1290"/>
      <c r="W42" s="773" t="str">
        <f t="shared" si="9"/>
        <v/>
      </c>
      <c r="X42" s="774" t="str">
        <f t="shared" si="10"/>
        <v/>
      </c>
      <c r="Y42" s="1311"/>
      <c r="Z42" s="1308" t="str">
        <f t="shared" si="11"/>
        <v/>
      </c>
      <c r="AA42" s="777"/>
      <c r="AB42" s="780"/>
      <c r="AC42" s="851" t="str">
        <f>IF(AB42="","",IF(I42=1,VLOOKUP(AB42,男子種目コード!$D$2:$E$16,2,FALSE),IF(I42=2,VLOOKUP(AB42,女子種目コード!$D$2:$E$16,2,FALSE))))</f>
        <v/>
      </c>
      <c r="AD42" s="845"/>
      <c r="AE42" s="781"/>
      <c r="AF42" s="851"/>
      <c r="AG42" s="846"/>
      <c r="AH42" s="802"/>
      <c r="AI42" s="802"/>
      <c r="AK42" s="868"/>
      <c r="AL42" s="797" t="str">
        <f t="shared" si="12"/>
        <v/>
      </c>
      <c r="AM42" s="1296" t="s">
        <v>398</v>
      </c>
      <c r="AN42" s="1297"/>
      <c r="AO42" s="1298">
        <v>27</v>
      </c>
      <c r="AP42" s="1288">
        <f t="shared" si="26"/>
        <v>0</v>
      </c>
      <c r="AQ42" s="1288"/>
      <c r="AR42" s="807"/>
      <c r="AS42" s="807"/>
      <c r="AT42" s="847">
        <f t="shared" si="23"/>
        <v>0</v>
      </c>
      <c r="AU42" s="807"/>
      <c r="AV42" s="797">
        <f t="shared" si="13"/>
        <v>0</v>
      </c>
      <c r="AW42" s="797" t="str">
        <f t="shared" si="24"/>
        <v/>
      </c>
      <c r="AX42" s="797" t="str">
        <f t="shared" si="25"/>
        <v/>
      </c>
      <c r="AY42" s="853" t="str">
        <f t="shared" ca="1" si="27"/>
        <v/>
      </c>
      <c r="AZ42" s="856" t="str">
        <f t="shared" ca="1" si="27"/>
        <v/>
      </c>
      <c r="BA42" s="807"/>
      <c r="BB42" s="807"/>
      <c r="BC42" s="372" t="e">
        <f ca="1">VLookUpX("B",$C$7:$F$116,3,3)</f>
        <v>#N/A</v>
      </c>
      <c r="BD42" s="372" t="e">
        <f ca="1">VLookUpX("B",$C$7:$F$116,3,4)</f>
        <v>#N/A</v>
      </c>
      <c r="BE42" s="372" t="e">
        <f ca="1">VLookUpX("B",$C$7:$I$116,3,7)</f>
        <v>#N/A</v>
      </c>
      <c r="BG42" s="807"/>
      <c r="BH42" s="1169"/>
      <c r="BI42" s="1169"/>
      <c r="BJ42" s="1169"/>
      <c r="BK42" s="1169"/>
      <c r="BL42" s="1169"/>
    </row>
    <row r="43" spans="1:72">
      <c r="A43" s="839">
        <f t="shared" si="3"/>
        <v>0</v>
      </c>
      <c r="B43" s="844" t="str">
        <f>前年度登録!AE40</f>
        <v/>
      </c>
      <c r="C43" s="1286">
        <f t="shared" si="4"/>
        <v>0</v>
      </c>
      <c r="D43" s="848"/>
      <c r="E43" s="849">
        <f>前年度登録!T40</f>
        <v>0</v>
      </c>
      <c r="F43" s="694" t="str">
        <f>前年度登録!DB40</f>
        <v/>
      </c>
      <c r="G43" s="1134" t="str">
        <f>前年度登録!AO40</f>
        <v/>
      </c>
      <c r="H43" s="663" t="str">
        <f>前年度登録!DB40</f>
        <v/>
      </c>
      <c r="I43" s="290" t="str">
        <f>前年度登録!AN40</f>
        <v/>
      </c>
      <c r="J43" s="359" t="str">
        <f>前年度登録!DC40</f>
        <v/>
      </c>
      <c r="K43" s="1247">
        <f>前年度登録!DE40</f>
        <v>0</v>
      </c>
      <c r="L43" s="1037" t="str">
        <f>前年度登録!DJ40</f>
        <v>00</v>
      </c>
      <c r="M43" s="844" t="s">
        <v>1061</v>
      </c>
      <c r="N43" s="1248">
        <f>前年度登録!S40</f>
        <v>0</v>
      </c>
      <c r="O43" s="291"/>
      <c r="P43" s="292" t="str">
        <f t="shared" si="5"/>
        <v/>
      </c>
      <c r="Q43" s="623" t="str">
        <f>IF(O43="","",HLOOKUP(O43,前年度登録!$AW$3:$CW$118,38,FALSE))</f>
        <v/>
      </c>
      <c r="R43" s="773" t="str">
        <f t="shared" si="6"/>
        <v/>
      </c>
      <c r="S43" s="774" t="str">
        <f t="shared" si="7"/>
        <v/>
      </c>
      <c r="T43" s="293"/>
      <c r="U43" s="850" t="str">
        <f t="shared" si="8"/>
        <v/>
      </c>
      <c r="V43" s="1290"/>
      <c r="W43" s="773" t="str">
        <f t="shared" si="9"/>
        <v/>
      </c>
      <c r="X43" s="774" t="str">
        <f t="shared" si="10"/>
        <v/>
      </c>
      <c r="Y43" s="1311"/>
      <c r="Z43" s="1308" t="str">
        <f t="shared" si="11"/>
        <v/>
      </c>
      <c r="AA43" s="777"/>
      <c r="AB43" s="780"/>
      <c r="AC43" s="851" t="str">
        <f>IF(AB43="","",IF(I43=1,VLOOKUP(AB43,男子種目コード!$D$2:$E$16,2,FALSE),IF(I43=2,VLOOKUP(AB43,女子種目コード!$D$2:$E$16,2,FALSE))))</f>
        <v/>
      </c>
      <c r="AD43" s="845"/>
      <c r="AE43" s="781"/>
      <c r="AF43" s="851"/>
      <c r="AG43" s="846"/>
      <c r="AH43" s="802"/>
      <c r="AI43" s="802"/>
      <c r="AK43" s="868"/>
      <c r="AL43" s="797" t="str">
        <f t="shared" si="12"/>
        <v/>
      </c>
      <c r="AM43" s="1296" t="s">
        <v>399</v>
      </c>
      <c r="AN43" s="1297"/>
      <c r="AO43" s="1298">
        <v>27</v>
      </c>
      <c r="AP43" s="1288">
        <f t="shared" si="26"/>
        <v>0</v>
      </c>
      <c r="AQ43" s="1288"/>
      <c r="AR43" s="807"/>
      <c r="AS43" s="807"/>
      <c r="AT43" s="847">
        <f t="shared" si="23"/>
        <v>0</v>
      </c>
      <c r="AU43" s="807"/>
      <c r="AV43" s="797">
        <f t="shared" si="13"/>
        <v>0</v>
      </c>
      <c r="AW43" s="797" t="str">
        <f t="shared" si="24"/>
        <v/>
      </c>
      <c r="AX43" s="797" t="str">
        <f t="shared" si="25"/>
        <v/>
      </c>
      <c r="AY43" s="853" t="str">
        <f t="shared" ca="1" si="27"/>
        <v/>
      </c>
      <c r="AZ43" s="856" t="str">
        <f t="shared" ca="1" si="27"/>
        <v/>
      </c>
      <c r="BA43" s="807"/>
      <c r="BB43" s="807"/>
      <c r="BC43" s="372" t="e">
        <f ca="1">VLookUpX("B",$C$7:$F$116,4,3)</f>
        <v>#N/A</v>
      </c>
      <c r="BD43" s="372" t="e">
        <f ca="1">VLookUpX("B",$C$7:$F$116,4,4)</f>
        <v>#N/A</v>
      </c>
      <c r="BE43" s="372" t="e">
        <f ca="1">VLookUpX("B",$C$7:$I$116,4,7)</f>
        <v>#N/A</v>
      </c>
      <c r="BG43" s="807"/>
      <c r="BH43" s="1169"/>
      <c r="BI43" s="1169"/>
      <c r="BJ43" s="1169"/>
      <c r="BK43" s="1169"/>
      <c r="BL43" s="1169"/>
    </row>
    <row r="44" spans="1:72">
      <c r="A44" s="839">
        <f t="shared" si="3"/>
        <v>0</v>
      </c>
      <c r="B44" s="844" t="str">
        <f>前年度登録!AE41</f>
        <v/>
      </c>
      <c r="C44" s="1286">
        <f t="shared" si="4"/>
        <v>0</v>
      </c>
      <c r="D44" s="848"/>
      <c r="E44" s="849">
        <f>前年度登録!T41</f>
        <v>0</v>
      </c>
      <c r="F44" s="694" t="str">
        <f>前年度登録!DB41</f>
        <v/>
      </c>
      <c r="G44" s="1134" t="str">
        <f>前年度登録!AO41</f>
        <v/>
      </c>
      <c r="H44" s="663" t="str">
        <f>前年度登録!DB41</f>
        <v/>
      </c>
      <c r="I44" s="290" t="str">
        <f>前年度登録!AN41</f>
        <v/>
      </c>
      <c r="J44" s="359" t="str">
        <f>前年度登録!DC41</f>
        <v/>
      </c>
      <c r="K44" s="1247">
        <f>前年度登録!DE41</f>
        <v>0</v>
      </c>
      <c r="L44" s="1037" t="str">
        <f>前年度登録!DJ41</f>
        <v>00</v>
      </c>
      <c r="M44" s="844" t="s">
        <v>1061</v>
      </c>
      <c r="N44" s="1248">
        <f>前年度登録!S41</f>
        <v>0</v>
      </c>
      <c r="O44" s="291"/>
      <c r="P44" s="292" t="str">
        <f t="shared" si="5"/>
        <v/>
      </c>
      <c r="Q44" s="623" t="str">
        <f>IF(O44="","",HLOOKUP(O44,前年度登録!$AW$3:$CW$118,39,FALSE))</f>
        <v/>
      </c>
      <c r="R44" s="773" t="str">
        <f t="shared" si="6"/>
        <v/>
      </c>
      <c r="S44" s="774" t="str">
        <f t="shared" si="7"/>
        <v/>
      </c>
      <c r="T44" s="293"/>
      <c r="U44" s="850" t="str">
        <f t="shared" si="8"/>
        <v/>
      </c>
      <c r="V44" s="1290"/>
      <c r="W44" s="773" t="str">
        <f t="shared" si="9"/>
        <v/>
      </c>
      <c r="X44" s="774" t="str">
        <f t="shared" si="10"/>
        <v/>
      </c>
      <c r="Y44" s="1311"/>
      <c r="Z44" s="1308" t="str">
        <f t="shared" si="11"/>
        <v/>
      </c>
      <c r="AA44" s="777"/>
      <c r="AB44" s="780"/>
      <c r="AC44" s="851" t="str">
        <f>IF(AB44="","",IF(I44=1,VLOOKUP(AB44,男子種目コード!$D$2:$E$16,2,FALSE),IF(I44=2,VLOOKUP(AB44,女子種目コード!$D$2:$E$16,2,FALSE))))</f>
        <v/>
      </c>
      <c r="AD44" s="845"/>
      <c r="AE44" s="781"/>
      <c r="AF44" s="851"/>
      <c r="AG44" s="846"/>
      <c r="AH44" s="802"/>
      <c r="AI44" s="802"/>
      <c r="AK44" s="868"/>
      <c r="AL44" s="797" t="str">
        <f t="shared" si="12"/>
        <v/>
      </c>
      <c r="AM44" s="1296" t="s">
        <v>400</v>
      </c>
      <c r="AN44" s="1297"/>
      <c r="AO44" s="1298">
        <v>27</v>
      </c>
      <c r="AP44" s="1288">
        <f t="shared" si="26"/>
        <v>0</v>
      </c>
      <c r="AQ44" s="1288"/>
      <c r="AR44" s="807"/>
      <c r="AS44" s="807"/>
      <c r="AT44" s="847">
        <f t="shared" si="23"/>
        <v>0</v>
      </c>
      <c r="AU44" s="807"/>
      <c r="AV44" s="797">
        <f t="shared" si="13"/>
        <v>0</v>
      </c>
      <c r="AW44" s="797" t="str">
        <f t="shared" si="24"/>
        <v/>
      </c>
      <c r="AX44" s="797" t="str">
        <f t="shared" si="25"/>
        <v/>
      </c>
      <c r="AY44" s="853" t="str">
        <f t="shared" ca="1" si="27"/>
        <v/>
      </c>
      <c r="AZ44" s="856" t="str">
        <f t="shared" ca="1" si="27"/>
        <v/>
      </c>
      <c r="BA44" s="807"/>
      <c r="BB44" s="807"/>
      <c r="BC44" s="372" t="e">
        <f ca="1">VLookUpX("B",$C$7:$F$116,5,3)</f>
        <v>#N/A</v>
      </c>
      <c r="BD44" s="372" t="e">
        <f ca="1">VLookUpX("B",$C$7:$F$116,5,4)</f>
        <v>#N/A</v>
      </c>
      <c r="BE44" s="372" t="e">
        <f ca="1">VLookUpX("B",$C$7:$I$116,5,7)</f>
        <v>#N/A</v>
      </c>
      <c r="BG44" s="807"/>
      <c r="BH44" s="1169"/>
      <c r="BI44" s="1169"/>
      <c r="BJ44" s="1169"/>
      <c r="BK44" s="1169"/>
      <c r="BL44" s="1169"/>
    </row>
    <row r="45" spans="1:72">
      <c r="A45" s="839">
        <f t="shared" si="3"/>
        <v>0</v>
      </c>
      <c r="B45" s="844" t="str">
        <f>前年度登録!AE42</f>
        <v/>
      </c>
      <c r="C45" s="1286">
        <f t="shared" si="4"/>
        <v>0</v>
      </c>
      <c r="D45" s="848"/>
      <c r="E45" s="849">
        <f>前年度登録!T42</f>
        <v>0</v>
      </c>
      <c r="F45" s="694" t="str">
        <f>前年度登録!DB42</f>
        <v/>
      </c>
      <c r="G45" s="1134" t="str">
        <f>前年度登録!AO42</f>
        <v/>
      </c>
      <c r="H45" s="663" t="str">
        <f>前年度登録!DB42</f>
        <v/>
      </c>
      <c r="I45" s="290" t="str">
        <f>前年度登録!AN42</f>
        <v/>
      </c>
      <c r="J45" s="359" t="str">
        <f>前年度登録!DC42</f>
        <v/>
      </c>
      <c r="K45" s="1247">
        <f>前年度登録!DE42</f>
        <v>0</v>
      </c>
      <c r="L45" s="1037" t="str">
        <f>前年度登録!DJ42</f>
        <v>00</v>
      </c>
      <c r="M45" s="844" t="s">
        <v>1061</v>
      </c>
      <c r="N45" s="1248">
        <f>前年度登録!S42</f>
        <v>0</v>
      </c>
      <c r="O45" s="291"/>
      <c r="P45" s="292" t="str">
        <f t="shared" si="5"/>
        <v/>
      </c>
      <c r="Q45" s="623" t="str">
        <f>IF(O45="","",HLOOKUP(O45,前年度登録!$AW$3:$CW$118,40,FALSE))</f>
        <v/>
      </c>
      <c r="R45" s="773" t="str">
        <f t="shared" si="6"/>
        <v/>
      </c>
      <c r="S45" s="774" t="str">
        <f t="shared" si="7"/>
        <v/>
      </c>
      <c r="T45" s="293"/>
      <c r="U45" s="850" t="str">
        <f t="shared" si="8"/>
        <v/>
      </c>
      <c r="V45" s="1290"/>
      <c r="W45" s="773" t="str">
        <f t="shared" si="9"/>
        <v/>
      </c>
      <c r="X45" s="774" t="str">
        <f t="shared" si="10"/>
        <v/>
      </c>
      <c r="Y45" s="1311"/>
      <c r="Z45" s="1308" t="str">
        <f t="shared" si="11"/>
        <v/>
      </c>
      <c r="AA45" s="777"/>
      <c r="AB45" s="780"/>
      <c r="AC45" s="851" t="str">
        <f>IF(AB45="","",IF(I45=1,VLOOKUP(AB45,男子種目コード!$D$2:$E$16,2,FALSE),IF(I45=2,VLOOKUP(AB45,女子種目コード!$D$2:$E$16,2,FALSE))))</f>
        <v/>
      </c>
      <c r="AD45" s="845"/>
      <c r="AE45" s="781"/>
      <c r="AF45" s="851"/>
      <c r="AG45" s="846"/>
      <c r="AH45" s="802"/>
      <c r="AI45" s="802"/>
      <c r="AK45" s="868"/>
      <c r="AL45" s="797" t="str">
        <f t="shared" si="12"/>
        <v/>
      </c>
      <c r="AM45" s="1296" t="s">
        <v>232</v>
      </c>
      <c r="AN45" s="1297"/>
      <c r="AO45" s="1298">
        <v>28</v>
      </c>
      <c r="AP45" s="1288">
        <f>COUNTIF($Y$7:$Y$116,AM45)</f>
        <v>0</v>
      </c>
      <c r="AQ45" s="1288"/>
      <c r="AR45" s="807"/>
      <c r="AS45" s="807"/>
      <c r="AT45" s="847">
        <f t="shared" si="23"/>
        <v>0</v>
      </c>
      <c r="AU45" s="807"/>
      <c r="AV45" s="797">
        <f t="shared" si="13"/>
        <v>0</v>
      </c>
      <c r="AW45" s="797" t="str">
        <f t="shared" si="24"/>
        <v/>
      </c>
      <c r="AX45" s="797" t="str">
        <f t="shared" si="25"/>
        <v/>
      </c>
      <c r="AY45" s="853" t="str">
        <f t="shared" ca="1" si="27"/>
        <v/>
      </c>
      <c r="AZ45" s="856" t="str">
        <f t="shared" ca="1" si="27"/>
        <v/>
      </c>
      <c r="BA45" s="807"/>
      <c r="BB45" s="807"/>
      <c r="BC45" s="372" t="e">
        <f ca="1">VLookUpX("B",$C$7:$F$116,6,3)</f>
        <v>#N/A</v>
      </c>
      <c r="BD45" s="372" t="e">
        <f ca="1">VLookUpX("B",$C$7:$F$116,6,4)</f>
        <v>#N/A</v>
      </c>
      <c r="BE45" s="372" t="e">
        <f ca="1">VLookUpX("B",$C$7:$I$116,6,7)</f>
        <v>#N/A</v>
      </c>
      <c r="BG45" s="807"/>
      <c r="BH45" s="1169"/>
      <c r="BI45" s="1169"/>
      <c r="BJ45" s="1169"/>
      <c r="BK45" s="1169"/>
      <c r="BL45" s="1169"/>
    </row>
    <row r="46" spans="1:72">
      <c r="A46" s="839">
        <f t="shared" si="3"/>
        <v>0</v>
      </c>
      <c r="B46" s="844" t="str">
        <f>前年度登録!AE43</f>
        <v/>
      </c>
      <c r="C46" s="1286">
        <f t="shared" si="4"/>
        <v>0</v>
      </c>
      <c r="D46" s="848"/>
      <c r="E46" s="849">
        <f>前年度登録!T43</f>
        <v>0</v>
      </c>
      <c r="F46" s="694" t="str">
        <f>前年度登録!DB43</f>
        <v/>
      </c>
      <c r="G46" s="1134" t="str">
        <f>前年度登録!AO43</f>
        <v/>
      </c>
      <c r="H46" s="663" t="str">
        <f>前年度登録!DB43</f>
        <v/>
      </c>
      <c r="I46" s="290" t="str">
        <f>前年度登録!AN43</f>
        <v/>
      </c>
      <c r="J46" s="359" t="str">
        <f>前年度登録!DC43</f>
        <v/>
      </c>
      <c r="K46" s="1247">
        <f>前年度登録!DE43</f>
        <v>0</v>
      </c>
      <c r="L46" s="1037" t="str">
        <f>前年度登録!DJ43</f>
        <v>00</v>
      </c>
      <c r="M46" s="844" t="s">
        <v>1061</v>
      </c>
      <c r="N46" s="1248">
        <f>前年度登録!S43</f>
        <v>0</v>
      </c>
      <c r="O46" s="291"/>
      <c r="P46" s="292" t="str">
        <f t="shared" si="5"/>
        <v/>
      </c>
      <c r="Q46" s="623" t="str">
        <f>IF(O46="","",HLOOKUP(O46,前年度登録!$AW$3:$CW$118,41,FALSE))</f>
        <v/>
      </c>
      <c r="R46" s="773" t="str">
        <f t="shared" si="6"/>
        <v/>
      </c>
      <c r="S46" s="774" t="str">
        <f t="shared" si="7"/>
        <v/>
      </c>
      <c r="T46" s="293"/>
      <c r="U46" s="850" t="str">
        <f t="shared" si="8"/>
        <v/>
      </c>
      <c r="V46" s="1290"/>
      <c r="W46" s="773" t="str">
        <f t="shared" si="9"/>
        <v/>
      </c>
      <c r="X46" s="774" t="str">
        <f t="shared" si="10"/>
        <v/>
      </c>
      <c r="Y46" s="1311"/>
      <c r="Z46" s="1308" t="str">
        <f t="shared" si="11"/>
        <v/>
      </c>
      <c r="AA46" s="777"/>
      <c r="AB46" s="780"/>
      <c r="AC46" s="851" t="str">
        <f>IF(AB46="","",IF(I46=1,VLOOKUP(AB46,男子種目コード!$D$2:$E$16,2,FALSE),IF(I46=2,VLOOKUP(AB46,女子種目コード!$D$2:$E$16,2,FALSE))))</f>
        <v/>
      </c>
      <c r="AD46" s="845"/>
      <c r="AE46" s="781"/>
      <c r="AF46" s="851"/>
      <c r="AG46" s="846"/>
      <c r="AH46" s="802"/>
      <c r="AI46" s="802"/>
      <c r="AK46" s="868"/>
      <c r="AL46" s="797" t="str">
        <f t="shared" si="12"/>
        <v/>
      </c>
      <c r="AM46" s="1296" t="s">
        <v>233</v>
      </c>
      <c r="AN46" s="1297"/>
      <c r="AO46" s="1298">
        <v>28</v>
      </c>
      <c r="AP46" s="1288">
        <f t="shared" ref="AP46:AP47" si="28">COUNTIF($Y$7:$Y$116,AM46)</f>
        <v>0</v>
      </c>
      <c r="AQ46" s="1288"/>
      <c r="AR46" s="807"/>
      <c r="AS46" s="807"/>
      <c r="AT46" s="847">
        <f t="shared" si="23"/>
        <v>0</v>
      </c>
      <c r="AU46" s="807"/>
      <c r="AV46" s="797">
        <f t="shared" si="13"/>
        <v>0</v>
      </c>
      <c r="AW46" s="797" t="str">
        <f t="shared" si="24"/>
        <v/>
      </c>
      <c r="AX46" s="797" t="str">
        <f t="shared" si="25"/>
        <v/>
      </c>
      <c r="AY46" s="1437" t="s">
        <v>1125</v>
      </c>
      <c r="AZ46" s="1438"/>
      <c r="BA46" s="807"/>
      <c r="BB46" s="807"/>
      <c r="BG46" s="807"/>
      <c r="BH46" s="1169"/>
      <c r="BI46" s="1169"/>
      <c r="BJ46" s="1169"/>
      <c r="BK46" s="1169"/>
      <c r="BL46" s="1169"/>
    </row>
    <row r="47" spans="1:72">
      <c r="A47" s="839">
        <f t="shared" si="3"/>
        <v>0</v>
      </c>
      <c r="B47" s="844" t="str">
        <f>前年度登録!AE44</f>
        <v/>
      </c>
      <c r="C47" s="1286">
        <f t="shared" si="4"/>
        <v>0</v>
      </c>
      <c r="D47" s="848"/>
      <c r="E47" s="849">
        <f>前年度登録!T44</f>
        <v>0</v>
      </c>
      <c r="F47" s="694" t="str">
        <f>前年度登録!DB44</f>
        <v/>
      </c>
      <c r="G47" s="1134" t="str">
        <f>前年度登録!AO44</f>
        <v/>
      </c>
      <c r="H47" s="663" t="str">
        <f>前年度登録!DB44</f>
        <v/>
      </c>
      <c r="I47" s="290" t="str">
        <f>前年度登録!AN44</f>
        <v/>
      </c>
      <c r="J47" s="359" t="str">
        <f>前年度登録!DC44</f>
        <v/>
      </c>
      <c r="K47" s="1247">
        <f>前年度登録!DE44</f>
        <v>0</v>
      </c>
      <c r="L47" s="1037" t="str">
        <f>前年度登録!DJ44</f>
        <v>00</v>
      </c>
      <c r="M47" s="844" t="s">
        <v>1061</v>
      </c>
      <c r="N47" s="1248">
        <f>前年度登録!S44</f>
        <v>0</v>
      </c>
      <c r="O47" s="291"/>
      <c r="P47" s="292" t="str">
        <f t="shared" si="5"/>
        <v/>
      </c>
      <c r="Q47" s="623" t="str">
        <f>IF(O47="","",HLOOKUP(O47,前年度登録!$AW$3:$CW$118,42,FALSE))</f>
        <v/>
      </c>
      <c r="R47" s="773" t="str">
        <f t="shared" si="6"/>
        <v/>
      </c>
      <c r="S47" s="774" t="str">
        <f t="shared" si="7"/>
        <v/>
      </c>
      <c r="T47" s="293"/>
      <c r="U47" s="850" t="str">
        <f t="shared" si="8"/>
        <v/>
      </c>
      <c r="V47" s="1290"/>
      <c r="W47" s="773" t="str">
        <f t="shared" si="9"/>
        <v/>
      </c>
      <c r="X47" s="774" t="str">
        <f t="shared" si="10"/>
        <v/>
      </c>
      <c r="Y47" s="1311"/>
      <c r="Z47" s="1308" t="str">
        <f t="shared" si="11"/>
        <v/>
      </c>
      <c r="AA47" s="777"/>
      <c r="AB47" s="780"/>
      <c r="AC47" s="851" t="str">
        <f>IF(AB47="","",IF(I47=1,VLOOKUP(AB47,男子種目コード!$D$2:$E$16,2,FALSE),IF(I47=2,VLOOKUP(AB47,女子種目コード!$D$2:$E$16,2,FALSE))))</f>
        <v/>
      </c>
      <c r="AD47" s="845"/>
      <c r="AE47" s="781"/>
      <c r="AF47" s="851"/>
      <c r="AG47" s="846"/>
      <c r="AH47" s="802"/>
      <c r="AI47" s="802"/>
      <c r="AK47" s="868"/>
      <c r="AL47" s="797" t="str">
        <f t="shared" si="12"/>
        <v/>
      </c>
      <c r="AM47" s="1299" t="s">
        <v>234</v>
      </c>
      <c r="AN47" s="1297"/>
      <c r="AO47" s="1298">
        <v>28</v>
      </c>
      <c r="AP47" s="1288">
        <f t="shared" si="28"/>
        <v>0</v>
      </c>
      <c r="AQ47" s="1288"/>
      <c r="AR47" s="807"/>
      <c r="AS47" s="807"/>
      <c r="AT47" s="847">
        <f t="shared" si="23"/>
        <v>0</v>
      </c>
      <c r="AU47" s="807"/>
      <c r="AV47" s="797">
        <f t="shared" si="13"/>
        <v>0</v>
      </c>
      <c r="AW47" s="797" t="str">
        <f t="shared" si="24"/>
        <v/>
      </c>
      <c r="AX47" s="797" t="str">
        <f t="shared" si="25"/>
        <v/>
      </c>
      <c r="AY47" s="1439" t="s">
        <v>736</v>
      </c>
      <c r="AZ47" s="1440"/>
      <c r="BA47" s="807"/>
      <c r="BB47" s="807"/>
      <c r="BG47" s="807"/>
      <c r="BH47" s="1169"/>
      <c r="BI47" s="1169"/>
      <c r="BJ47" s="1169"/>
      <c r="BK47" s="1169"/>
      <c r="BL47" s="1169"/>
    </row>
    <row r="48" spans="1:72">
      <c r="A48" s="839">
        <f t="shared" si="3"/>
        <v>0</v>
      </c>
      <c r="B48" s="844" t="str">
        <f>前年度登録!AE45</f>
        <v/>
      </c>
      <c r="C48" s="1286">
        <f t="shared" si="4"/>
        <v>0</v>
      </c>
      <c r="D48" s="848"/>
      <c r="E48" s="849">
        <f>前年度登録!T45</f>
        <v>0</v>
      </c>
      <c r="F48" s="694" t="str">
        <f>前年度登録!DB45</f>
        <v/>
      </c>
      <c r="G48" s="1134" t="str">
        <f>前年度登録!AO45</f>
        <v/>
      </c>
      <c r="H48" s="663" t="str">
        <f>前年度登録!DB45</f>
        <v/>
      </c>
      <c r="I48" s="290" t="str">
        <f>前年度登録!AN45</f>
        <v/>
      </c>
      <c r="J48" s="359" t="str">
        <f>前年度登録!DC45</f>
        <v/>
      </c>
      <c r="K48" s="1247">
        <f>前年度登録!DE45</f>
        <v>0</v>
      </c>
      <c r="L48" s="1037" t="str">
        <f>前年度登録!DJ45</f>
        <v>00</v>
      </c>
      <c r="M48" s="844" t="s">
        <v>1061</v>
      </c>
      <c r="N48" s="1248">
        <f>前年度登録!S45</f>
        <v>0</v>
      </c>
      <c r="O48" s="291"/>
      <c r="P48" s="292" t="str">
        <f t="shared" si="5"/>
        <v/>
      </c>
      <c r="Q48" s="623" t="str">
        <f>IF(O48="","",HLOOKUP(O48,前年度登録!$AW$3:$CW$118,43,FALSE))</f>
        <v/>
      </c>
      <c r="R48" s="773" t="str">
        <f t="shared" si="6"/>
        <v/>
      </c>
      <c r="S48" s="774" t="str">
        <f t="shared" si="7"/>
        <v/>
      </c>
      <c r="T48" s="293"/>
      <c r="U48" s="850" t="str">
        <f t="shared" si="8"/>
        <v/>
      </c>
      <c r="V48" s="1290"/>
      <c r="W48" s="773" t="str">
        <f t="shared" si="9"/>
        <v/>
      </c>
      <c r="X48" s="774" t="str">
        <f t="shared" si="10"/>
        <v/>
      </c>
      <c r="Y48" s="1311"/>
      <c r="Z48" s="1308" t="str">
        <f t="shared" si="11"/>
        <v/>
      </c>
      <c r="AA48" s="777"/>
      <c r="AB48" s="780"/>
      <c r="AC48" s="851" t="str">
        <f>IF(AB48="","",IF(I48=1,VLOOKUP(AB48,男子種目コード!$D$2:$E$16,2,FALSE),IF(I48=2,VLOOKUP(AB48,女子種目コード!$D$2:$E$16,2,FALSE))))</f>
        <v/>
      </c>
      <c r="AD48" s="845"/>
      <c r="AE48" s="781"/>
      <c r="AF48" s="851"/>
      <c r="AG48" s="846"/>
      <c r="AH48" s="802"/>
      <c r="AI48" s="802"/>
      <c r="AK48" s="868"/>
      <c r="AL48" s="797" t="str">
        <f t="shared" si="12"/>
        <v/>
      </c>
      <c r="AM48" s="1296"/>
      <c r="AN48" s="1297"/>
      <c r="AO48" s="1298"/>
      <c r="AP48" s="1288">
        <f>COUNTIF(AP39:AP47,0)</f>
        <v>9</v>
      </c>
      <c r="AQ48" s="1288">
        <f>9-AP48</f>
        <v>0</v>
      </c>
      <c r="AR48" s="807"/>
      <c r="AS48" s="807"/>
      <c r="AT48" s="847">
        <f t="shared" si="23"/>
        <v>0</v>
      </c>
      <c r="AU48" s="807"/>
      <c r="AV48" s="797">
        <f t="shared" si="13"/>
        <v>0</v>
      </c>
      <c r="AW48" s="797" t="str">
        <f t="shared" si="24"/>
        <v/>
      </c>
      <c r="AX48" s="797" t="str">
        <f t="shared" si="25"/>
        <v/>
      </c>
      <c r="AY48" s="853" t="str">
        <f ca="1">IF(ISERROR(BC48),"",BC48)</f>
        <v/>
      </c>
      <c r="AZ48" s="856" t="str">
        <f ca="1">IF(ISERROR(BD48),"",BD48)</f>
        <v/>
      </c>
      <c r="BA48" s="807"/>
      <c r="BB48" s="807"/>
      <c r="BC48" s="372" t="e">
        <f ca="1">VLookUpX("C",$C$7:$F$116,1,3)</f>
        <v>#N/A</v>
      </c>
      <c r="BD48" s="372" t="e">
        <f ca="1">VLookUpX("C",$C$7:$F$116,1,4)</f>
        <v>#N/A</v>
      </c>
      <c r="BE48" s="372" t="e">
        <f ca="1">VLookUpX("C",$C$7:$I$116,1,7)</f>
        <v>#N/A</v>
      </c>
      <c r="BG48" s="807"/>
      <c r="BH48" s="1169"/>
      <c r="BI48" s="1169"/>
      <c r="BJ48" s="1169"/>
      <c r="BK48" s="1169"/>
      <c r="BL48" s="1169"/>
    </row>
    <row r="49" spans="1:64">
      <c r="A49" s="839">
        <f t="shared" si="3"/>
        <v>0</v>
      </c>
      <c r="B49" s="844" t="str">
        <f>前年度登録!AE46</f>
        <v/>
      </c>
      <c r="C49" s="1286">
        <f t="shared" si="4"/>
        <v>0</v>
      </c>
      <c r="D49" s="848"/>
      <c r="E49" s="849">
        <f>前年度登録!T46</f>
        <v>0</v>
      </c>
      <c r="F49" s="694" t="str">
        <f>前年度登録!DB46</f>
        <v/>
      </c>
      <c r="G49" s="1134" t="str">
        <f>前年度登録!AO46</f>
        <v/>
      </c>
      <c r="H49" s="663" t="str">
        <f>前年度登録!DB46</f>
        <v/>
      </c>
      <c r="I49" s="290" t="str">
        <f>前年度登録!AN46</f>
        <v/>
      </c>
      <c r="J49" s="359" t="str">
        <f>前年度登録!DC46</f>
        <v/>
      </c>
      <c r="K49" s="1247">
        <f>前年度登録!DE46</f>
        <v>0</v>
      </c>
      <c r="L49" s="1037" t="str">
        <f>前年度登録!DJ46</f>
        <v>00</v>
      </c>
      <c r="M49" s="844" t="s">
        <v>1061</v>
      </c>
      <c r="N49" s="1248">
        <f>前年度登録!S46</f>
        <v>0</v>
      </c>
      <c r="O49" s="291"/>
      <c r="P49" s="292" t="str">
        <f t="shared" si="5"/>
        <v/>
      </c>
      <c r="Q49" s="623" t="str">
        <f>IF(O49="","",HLOOKUP(O49,前年度登録!$AW$3:$CW$118,44,FALSE))</f>
        <v/>
      </c>
      <c r="R49" s="773" t="str">
        <f t="shared" si="6"/>
        <v/>
      </c>
      <c r="S49" s="774" t="str">
        <f t="shared" si="7"/>
        <v/>
      </c>
      <c r="T49" s="293"/>
      <c r="U49" s="850" t="str">
        <f t="shared" si="8"/>
        <v/>
      </c>
      <c r="V49" s="1290"/>
      <c r="W49" s="773" t="str">
        <f t="shared" si="9"/>
        <v/>
      </c>
      <c r="X49" s="774" t="str">
        <f t="shared" si="10"/>
        <v/>
      </c>
      <c r="Y49" s="1311"/>
      <c r="Z49" s="1308" t="str">
        <f t="shared" si="11"/>
        <v/>
      </c>
      <c r="AA49" s="777"/>
      <c r="AB49" s="780"/>
      <c r="AC49" s="851" t="str">
        <f>IF(AB49="","",IF(I49=1,VLOOKUP(AB49,男子種目コード!$D$2:$E$16,2,FALSE),IF(I49=2,VLOOKUP(AB49,女子種目コード!$D$2:$E$16,2,FALSE))))</f>
        <v/>
      </c>
      <c r="AD49" s="845"/>
      <c r="AE49" s="781"/>
      <c r="AF49" s="851"/>
      <c r="AG49" s="846"/>
      <c r="AH49" s="802"/>
      <c r="AI49" s="802"/>
      <c r="AK49" s="868"/>
      <c r="AL49" s="797" t="str">
        <f t="shared" si="12"/>
        <v/>
      </c>
      <c r="AM49" s="1296"/>
      <c r="AN49" s="1297"/>
      <c r="AO49" s="1298"/>
      <c r="AP49" s="807"/>
      <c r="AQ49" s="807"/>
      <c r="AR49" s="807"/>
      <c r="AS49" s="807"/>
      <c r="AT49" s="847">
        <f t="shared" si="23"/>
        <v>0</v>
      </c>
      <c r="AU49" s="807"/>
      <c r="AV49" s="797">
        <f t="shared" si="13"/>
        <v>0</v>
      </c>
      <c r="AW49" s="797" t="str">
        <f t="shared" si="24"/>
        <v/>
      </c>
      <c r="AX49" s="797" t="str">
        <f t="shared" si="25"/>
        <v/>
      </c>
      <c r="AY49" s="853" t="str">
        <f t="shared" ref="AY49:AZ53" ca="1" si="29">IF(ISERROR(BC49),"",BC49)</f>
        <v/>
      </c>
      <c r="AZ49" s="856" t="str">
        <f t="shared" ca="1" si="29"/>
        <v/>
      </c>
      <c r="BA49" s="807"/>
      <c r="BB49" s="807"/>
      <c r="BC49" s="372" t="e">
        <f ca="1">VLookUpX("C",$C$7:$F$116,2,3)</f>
        <v>#N/A</v>
      </c>
      <c r="BD49" s="372" t="e">
        <f ca="1">VLookUpX("C",$C$7:$F$116,2,4)</f>
        <v>#N/A</v>
      </c>
      <c r="BE49" s="372" t="e">
        <f ca="1">VLookUpX("C",$C$7:$I$116,2,7)</f>
        <v>#N/A</v>
      </c>
      <c r="BG49" s="807"/>
      <c r="BH49" s="1169"/>
      <c r="BI49" s="1169"/>
      <c r="BJ49" s="1169"/>
      <c r="BK49" s="1169"/>
      <c r="BL49" s="1169"/>
    </row>
    <row r="50" spans="1:64">
      <c r="A50" s="839">
        <f t="shared" si="3"/>
        <v>0</v>
      </c>
      <c r="B50" s="844" t="str">
        <f>前年度登録!AE47</f>
        <v/>
      </c>
      <c r="C50" s="1286">
        <f t="shared" si="4"/>
        <v>0</v>
      </c>
      <c r="D50" s="848"/>
      <c r="E50" s="849">
        <f>前年度登録!T47</f>
        <v>0</v>
      </c>
      <c r="F50" s="694" t="str">
        <f>前年度登録!DB47</f>
        <v/>
      </c>
      <c r="G50" s="1134" t="str">
        <f>前年度登録!AO47</f>
        <v/>
      </c>
      <c r="H50" s="663" t="str">
        <f>前年度登録!DB47</f>
        <v/>
      </c>
      <c r="I50" s="290" t="str">
        <f>前年度登録!AN47</f>
        <v/>
      </c>
      <c r="J50" s="359" t="str">
        <f>前年度登録!DC47</f>
        <v/>
      </c>
      <c r="K50" s="1247">
        <f>前年度登録!DE47</f>
        <v>0</v>
      </c>
      <c r="L50" s="1037" t="str">
        <f>前年度登録!DJ47</f>
        <v>00</v>
      </c>
      <c r="M50" s="844" t="s">
        <v>1061</v>
      </c>
      <c r="N50" s="1248">
        <f>前年度登録!S47</f>
        <v>0</v>
      </c>
      <c r="O50" s="291"/>
      <c r="P50" s="292" t="str">
        <f t="shared" si="5"/>
        <v/>
      </c>
      <c r="Q50" s="623" t="str">
        <f>IF(O50="","",HLOOKUP(O50,前年度登録!$AW$3:$CW$118,45,FALSE))</f>
        <v/>
      </c>
      <c r="R50" s="773" t="str">
        <f t="shared" si="6"/>
        <v/>
      </c>
      <c r="S50" s="774" t="str">
        <f t="shared" si="7"/>
        <v/>
      </c>
      <c r="T50" s="293"/>
      <c r="U50" s="850" t="str">
        <f t="shared" si="8"/>
        <v/>
      </c>
      <c r="V50" s="1290"/>
      <c r="W50" s="773" t="str">
        <f t="shared" si="9"/>
        <v/>
      </c>
      <c r="X50" s="774" t="str">
        <f t="shared" si="10"/>
        <v/>
      </c>
      <c r="Y50" s="1311"/>
      <c r="Z50" s="1308" t="str">
        <f t="shared" si="11"/>
        <v/>
      </c>
      <c r="AA50" s="777"/>
      <c r="AB50" s="780"/>
      <c r="AC50" s="851" t="str">
        <f>IF(AB50="","",IF(I50=1,VLOOKUP(AB50,男子種目コード!$D$2:$E$16,2,FALSE),IF(I50=2,VLOOKUP(AB50,女子種目コード!$D$2:$E$16,2,FALSE))))</f>
        <v/>
      </c>
      <c r="AD50" s="845"/>
      <c r="AE50" s="781"/>
      <c r="AF50" s="851"/>
      <c r="AG50" s="846"/>
      <c r="AH50" s="802"/>
      <c r="AI50" s="802"/>
      <c r="AK50" s="868"/>
      <c r="AL50" s="797" t="str">
        <f t="shared" si="12"/>
        <v/>
      </c>
      <c r="AM50" s="1296"/>
      <c r="AN50" s="1297"/>
      <c r="AO50" s="1298"/>
      <c r="AP50" s="807"/>
      <c r="AQ50" s="807"/>
      <c r="AR50" s="807"/>
      <c r="AS50" s="807"/>
      <c r="AT50" s="847">
        <f t="shared" si="23"/>
        <v>0</v>
      </c>
      <c r="AU50" s="807"/>
      <c r="AV50" s="797">
        <f t="shared" si="13"/>
        <v>0</v>
      </c>
      <c r="AW50" s="797" t="str">
        <f t="shared" si="24"/>
        <v/>
      </c>
      <c r="AX50" s="797" t="str">
        <f t="shared" si="25"/>
        <v/>
      </c>
      <c r="AY50" s="853" t="str">
        <f t="shared" ca="1" si="29"/>
        <v/>
      </c>
      <c r="AZ50" s="856" t="str">
        <f t="shared" ca="1" si="29"/>
        <v/>
      </c>
      <c r="BA50" s="807"/>
      <c r="BB50" s="807"/>
      <c r="BC50" s="372" t="e">
        <f ca="1">VLookUpX("C",$C$7:$F$116,3,3)</f>
        <v>#N/A</v>
      </c>
      <c r="BD50" s="372" t="e">
        <f ca="1">VLookUpX("C",$C$7:$F$116,3,4)</f>
        <v>#N/A</v>
      </c>
      <c r="BE50" s="372" t="e">
        <f ca="1">VLookUpX("C",$C$7:$I$116,3,7)</f>
        <v>#N/A</v>
      </c>
      <c r="BG50" s="807"/>
      <c r="BH50" s="1169"/>
      <c r="BI50" s="1169"/>
      <c r="BJ50" s="1169"/>
      <c r="BK50" s="1169"/>
      <c r="BL50" s="1169"/>
    </row>
    <row r="51" spans="1:64">
      <c r="A51" s="839">
        <f t="shared" si="3"/>
        <v>0</v>
      </c>
      <c r="B51" s="844" t="str">
        <f>前年度登録!AE48</f>
        <v/>
      </c>
      <c r="C51" s="1286">
        <f t="shared" si="4"/>
        <v>0</v>
      </c>
      <c r="D51" s="848"/>
      <c r="E51" s="849">
        <f>前年度登録!T48</f>
        <v>0</v>
      </c>
      <c r="F51" s="694" t="str">
        <f>前年度登録!DB48</f>
        <v/>
      </c>
      <c r="G51" s="1134" t="str">
        <f>前年度登録!AO48</f>
        <v/>
      </c>
      <c r="H51" s="663" t="str">
        <f>前年度登録!DB48</f>
        <v/>
      </c>
      <c r="I51" s="290" t="str">
        <f>前年度登録!AN48</f>
        <v/>
      </c>
      <c r="J51" s="359" t="str">
        <f>前年度登録!DC48</f>
        <v/>
      </c>
      <c r="K51" s="1247">
        <f>前年度登録!DE48</f>
        <v>0</v>
      </c>
      <c r="L51" s="1037" t="str">
        <f>前年度登録!DJ48</f>
        <v>00</v>
      </c>
      <c r="M51" s="844" t="s">
        <v>1061</v>
      </c>
      <c r="N51" s="1248">
        <f>前年度登録!S48</f>
        <v>0</v>
      </c>
      <c r="O51" s="291"/>
      <c r="P51" s="292" t="str">
        <f t="shared" si="5"/>
        <v/>
      </c>
      <c r="Q51" s="623" t="str">
        <f>IF(O51="","",HLOOKUP(O51,前年度登録!$AW$3:$CW$118,46,FALSE))</f>
        <v/>
      </c>
      <c r="R51" s="773" t="str">
        <f t="shared" si="6"/>
        <v/>
      </c>
      <c r="S51" s="774" t="str">
        <f t="shared" si="7"/>
        <v/>
      </c>
      <c r="T51" s="293"/>
      <c r="U51" s="850" t="str">
        <f t="shared" si="8"/>
        <v/>
      </c>
      <c r="V51" s="1290"/>
      <c r="W51" s="773" t="str">
        <f t="shared" si="9"/>
        <v/>
      </c>
      <c r="X51" s="774" t="str">
        <f t="shared" si="10"/>
        <v/>
      </c>
      <c r="Y51" s="1311"/>
      <c r="Z51" s="1308" t="str">
        <f t="shared" si="11"/>
        <v/>
      </c>
      <c r="AA51" s="777"/>
      <c r="AB51" s="780"/>
      <c r="AC51" s="851" t="str">
        <f>IF(AB51="","",IF(I51=1,VLOOKUP(AB51,男子種目コード!$D$2:$E$16,2,FALSE),IF(I51=2,VLOOKUP(AB51,女子種目コード!$D$2:$E$16,2,FALSE))))</f>
        <v/>
      </c>
      <c r="AD51" s="845"/>
      <c r="AE51" s="781"/>
      <c r="AF51" s="851"/>
      <c r="AG51" s="846"/>
      <c r="AH51" s="802"/>
      <c r="AI51" s="802"/>
      <c r="AK51" s="868"/>
      <c r="AL51" s="797" t="str">
        <f t="shared" si="12"/>
        <v/>
      </c>
      <c r="AM51" s="1297"/>
      <c r="AN51" s="1297"/>
      <c r="AO51" s="1297"/>
      <c r="AP51" s="807"/>
      <c r="AQ51" s="807"/>
      <c r="AR51" s="807"/>
      <c r="AS51" s="807"/>
      <c r="AT51" s="847">
        <f t="shared" si="23"/>
        <v>0</v>
      </c>
      <c r="AU51" s="807"/>
      <c r="AV51" s="797">
        <f t="shared" si="13"/>
        <v>0</v>
      </c>
      <c r="AW51" s="797" t="str">
        <f t="shared" si="24"/>
        <v/>
      </c>
      <c r="AX51" s="797" t="str">
        <f t="shared" si="25"/>
        <v/>
      </c>
      <c r="AY51" s="853" t="str">
        <f t="shared" ca="1" si="29"/>
        <v/>
      </c>
      <c r="AZ51" s="856" t="str">
        <f t="shared" ca="1" si="29"/>
        <v/>
      </c>
      <c r="BA51" s="807"/>
      <c r="BB51" s="807"/>
      <c r="BC51" s="372" t="e">
        <f ca="1">VLookUpX("C",$C$7:$F$116,4,3)</f>
        <v>#N/A</v>
      </c>
      <c r="BD51" s="372" t="e">
        <f ca="1">VLookUpX("C",$C$7:$F$116,4,4)</f>
        <v>#N/A</v>
      </c>
      <c r="BE51" s="372" t="e">
        <f ca="1">VLookUpX("C",$C$7:$I$116,4,7)</f>
        <v>#N/A</v>
      </c>
      <c r="BG51" s="807"/>
      <c r="BH51" s="1169"/>
      <c r="BI51" s="1169"/>
      <c r="BJ51" s="1169"/>
      <c r="BK51" s="1169"/>
      <c r="BL51" s="1169"/>
    </row>
    <row r="52" spans="1:64">
      <c r="A52" s="839">
        <f t="shared" si="3"/>
        <v>0</v>
      </c>
      <c r="B52" s="844" t="str">
        <f>前年度登録!AE49</f>
        <v/>
      </c>
      <c r="C52" s="1286">
        <f t="shared" si="4"/>
        <v>0</v>
      </c>
      <c r="D52" s="848"/>
      <c r="E52" s="849">
        <f>前年度登録!T49</f>
        <v>0</v>
      </c>
      <c r="F52" s="694" t="str">
        <f>前年度登録!DB49</f>
        <v/>
      </c>
      <c r="G52" s="1134" t="str">
        <f>前年度登録!AO49</f>
        <v/>
      </c>
      <c r="H52" s="663" t="str">
        <f>前年度登録!DB49</f>
        <v/>
      </c>
      <c r="I52" s="290" t="str">
        <f>前年度登録!AN49</f>
        <v/>
      </c>
      <c r="J52" s="359" t="str">
        <f>前年度登録!DC49</f>
        <v/>
      </c>
      <c r="K52" s="1247">
        <f>前年度登録!DE49</f>
        <v>0</v>
      </c>
      <c r="L52" s="1037" t="str">
        <f>前年度登録!DJ49</f>
        <v>00</v>
      </c>
      <c r="M52" s="844" t="s">
        <v>1061</v>
      </c>
      <c r="N52" s="1248">
        <f>前年度登録!S49</f>
        <v>0</v>
      </c>
      <c r="O52" s="291"/>
      <c r="P52" s="292" t="str">
        <f t="shared" si="5"/>
        <v/>
      </c>
      <c r="Q52" s="623" t="str">
        <f>IF(O52="","",HLOOKUP(O52,前年度登録!$AW$3:$CW$118,47,FALSE))</f>
        <v/>
      </c>
      <c r="R52" s="773" t="str">
        <f t="shared" si="6"/>
        <v/>
      </c>
      <c r="S52" s="774" t="str">
        <f t="shared" si="7"/>
        <v/>
      </c>
      <c r="T52" s="293"/>
      <c r="U52" s="850" t="str">
        <f t="shared" si="8"/>
        <v/>
      </c>
      <c r="V52" s="1290"/>
      <c r="W52" s="773" t="str">
        <f t="shared" si="9"/>
        <v/>
      </c>
      <c r="X52" s="774" t="str">
        <f t="shared" si="10"/>
        <v/>
      </c>
      <c r="Y52" s="1311"/>
      <c r="Z52" s="1308" t="str">
        <f t="shared" si="11"/>
        <v/>
      </c>
      <c r="AA52" s="777"/>
      <c r="AB52" s="780"/>
      <c r="AC52" s="851" t="str">
        <f>IF(AB52="","",IF(I52=1,VLOOKUP(AB52,男子種目コード!$D$2:$E$16,2,FALSE),IF(I52=2,VLOOKUP(AB52,女子種目コード!$D$2:$E$16,2,FALSE))))</f>
        <v/>
      </c>
      <c r="AD52" s="845"/>
      <c r="AE52" s="781"/>
      <c r="AF52" s="851"/>
      <c r="AG52" s="846"/>
      <c r="AH52" s="802"/>
      <c r="AI52" s="802"/>
      <c r="AK52" s="868"/>
      <c r="AL52" s="797" t="str">
        <f t="shared" si="12"/>
        <v/>
      </c>
      <c r="AM52" s="1297"/>
      <c r="AN52" s="1297"/>
      <c r="AO52" s="1297"/>
      <c r="AP52" s="807"/>
      <c r="AQ52" s="807"/>
      <c r="AR52" s="807"/>
      <c r="AS52" s="807"/>
      <c r="AT52" s="847">
        <f t="shared" si="23"/>
        <v>0</v>
      </c>
      <c r="AU52" s="807"/>
      <c r="AV52" s="797">
        <f t="shared" si="13"/>
        <v>0</v>
      </c>
      <c r="AW52" s="797" t="str">
        <f t="shared" si="24"/>
        <v/>
      </c>
      <c r="AX52" s="797" t="str">
        <f t="shared" si="25"/>
        <v/>
      </c>
      <c r="AY52" s="853" t="str">
        <f t="shared" ca="1" si="29"/>
        <v/>
      </c>
      <c r="AZ52" s="856" t="str">
        <f t="shared" ca="1" si="29"/>
        <v/>
      </c>
      <c r="BA52" s="807"/>
      <c r="BB52" s="807"/>
      <c r="BC52" s="372" t="e">
        <f ca="1">VLookUpX("C",$C$7:$F$116,5,3)</f>
        <v>#N/A</v>
      </c>
      <c r="BD52" s="372" t="e">
        <f ca="1">VLookUpX("C",$C$7:$F$116,5,4)</f>
        <v>#N/A</v>
      </c>
      <c r="BE52" s="372" t="e">
        <f ca="1">VLookUpX("C",$C$7:$I$116,5,7)</f>
        <v>#N/A</v>
      </c>
      <c r="BG52" s="807"/>
      <c r="BH52" s="1169"/>
      <c r="BI52" s="1169"/>
      <c r="BJ52" s="1169"/>
      <c r="BK52" s="1169"/>
      <c r="BL52" s="1169"/>
    </row>
    <row r="53" spans="1:64" ht="14.25" thickBot="1">
      <c r="A53" s="839">
        <f t="shared" si="3"/>
        <v>0</v>
      </c>
      <c r="B53" s="844" t="str">
        <f>前年度登録!AE50</f>
        <v/>
      </c>
      <c r="C53" s="1286">
        <f t="shared" si="4"/>
        <v>0</v>
      </c>
      <c r="D53" s="848"/>
      <c r="E53" s="849">
        <f>前年度登録!T50</f>
        <v>0</v>
      </c>
      <c r="F53" s="694" t="str">
        <f>前年度登録!DB50</f>
        <v/>
      </c>
      <c r="G53" s="1134" t="str">
        <f>前年度登録!AO50</f>
        <v/>
      </c>
      <c r="H53" s="663" t="str">
        <f>前年度登録!DB50</f>
        <v/>
      </c>
      <c r="I53" s="290" t="str">
        <f>前年度登録!AN50</f>
        <v/>
      </c>
      <c r="J53" s="359" t="str">
        <f>前年度登録!DC50</f>
        <v/>
      </c>
      <c r="K53" s="1247">
        <f>前年度登録!DE50</f>
        <v>0</v>
      </c>
      <c r="L53" s="1037" t="str">
        <f>前年度登録!DJ50</f>
        <v>00</v>
      </c>
      <c r="M53" s="844" t="s">
        <v>1061</v>
      </c>
      <c r="N53" s="1248">
        <f>前年度登録!S50</f>
        <v>0</v>
      </c>
      <c r="O53" s="291"/>
      <c r="P53" s="292" t="str">
        <f t="shared" si="5"/>
        <v/>
      </c>
      <c r="Q53" s="623" t="str">
        <f>IF(O53="","",HLOOKUP(O53,前年度登録!$AW$3:$CW$118,48,FALSE))</f>
        <v/>
      </c>
      <c r="R53" s="773" t="str">
        <f t="shared" si="6"/>
        <v/>
      </c>
      <c r="S53" s="774" t="str">
        <f t="shared" si="7"/>
        <v/>
      </c>
      <c r="T53" s="293"/>
      <c r="U53" s="850" t="str">
        <f t="shared" si="8"/>
        <v/>
      </c>
      <c r="V53" s="1290"/>
      <c r="W53" s="773" t="str">
        <f t="shared" si="9"/>
        <v/>
      </c>
      <c r="X53" s="774" t="str">
        <f t="shared" si="10"/>
        <v/>
      </c>
      <c r="Y53" s="1311"/>
      <c r="Z53" s="1308" t="str">
        <f t="shared" si="11"/>
        <v/>
      </c>
      <c r="AA53" s="777"/>
      <c r="AB53" s="780"/>
      <c r="AC53" s="851" t="str">
        <f>IF(AB53="","",IF(I53=1,VLOOKUP(AB53,男子種目コード!$D$2:$E$16,2,FALSE),IF(I53=2,VLOOKUP(AB53,女子種目コード!$D$2:$E$16,2,FALSE))))</f>
        <v/>
      </c>
      <c r="AD53" s="845"/>
      <c r="AE53" s="781"/>
      <c r="AF53" s="851"/>
      <c r="AG53" s="846"/>
      <c r="AH53" s="802"/>
      <c r="AI53" s="802"/>
      <c r="AK53" s="868"/>
      <c r="AL53" s="797" t="str">
        <f t="shared" si="12"/>
        <v/>
      </c>
      <c r="AM53" s="1297"/>
      <c r="AN53" s="1297"/>
      <c r="AO53" s="1297"/>
      <c r="AP53" s="807"/>
      <c r="AQ53" s="807"/>
      <c r="AR53" s="807"/>
      <c r="AS53" s="807"/>
      <c r="AT53" s="847">
        <f t="shared" si="23"/>
        <v>0</v>
      </c>
      <c r="AU53" s="807"/>
      <c r="AV53" s="797">
        <f t="shared" si="13"/>
        <v>0</v>
      </c>
      <c r="AW53" s="797" t="str">
        <f t="shared" si="24"/>
        <v/>
      </c>
      <c r="AX53" s="797" t="str">
        <f t="shared" si="25"/>
        <v/>
      </c>
      <c r="AY53" s="869" t="str">
        <f t="shared" ca="1" si="29"/>
        <v/>
      </c>
      <c r="AZ53" s="872" t="str">
        <f t="shared" ca="1" si="29"/>
        <v/>
      </c>
      <c r="BA53" s="807"/>
      <c r="BB53" s="807"/>
      <c r="BC53" s="372" t="e">
        <f ca="1">VLookUpX("C",$C$7:$F$116,6,3)</f>
        <v>#N/A</v>
      </c>
      <c r="BD53" s="372" t="e">
        <f ca="1">VLookUpX("C",$C$7:$F$116,6,4)</f>
        <v>#N/A</v>
      </c>
      <c r="BE53" s="372" t="e">
        <f ca="1">VLookUpX("C",$C$7:$I$116,6,7)</f>
        <v>#N/A</v>
      </c>
      <c r="BG53" s="807"/>
      <c r="BH53" s="1169"/>
      <c r="BI53" s="1169"/>
      <c r="BJ53" s="1169"/>
      <c r="BK53" s="1169"/>
      <c r="BL53" s="1169"/>
    </row>
    <row r="54" spans="1:64">
      <c r="A54" s="839">
        <f t="shared" si="3"/>
        <v>0</v>
      </c>
      <c r="B54" s="844" t="str">
        <f>前年度登録!AE51</f>
        <v/>
      </c>
      <c r="C54" s="1286">
        <f t="shared" si="4"/>
        <v>0</v>
      </c>
      <c r="D54" s="848"/>
      <c r="E54" s="849">
        <f>前年度登録!T51</f>
        <v>0</v>
      </c>
      <c r="F54" s="694" t="str">
        <f>前年度登録!DB51</f>
        <v/>
      </c>
      <c r="G54" s="1134" t="str">
        <f>前年度登録!AO51</f>
        <v/>
      </c>
      <c r="H54" s="663" t="str">
        <f>前年度登録!DB51</f>
        <v/>
      </c>
      <c r="I54" s="290" t="str">
        <f>前年度登録!AN51</f>
        <v/>
      </c>
      <c r="J54" s="359" t="str">
        <f>前年度登録!DC51</f>
        <v/>
      </c>
      <c r="K54" s="1247">
        <f>前年度登録!DE51</f>
        <v>0</v>
      </c>
      <c r="L54" s="1037" t="str">
        <f>前年度登録!DJ51</f>
        <v>00</v>
      </c>
      <c r="M54" s="844" t="s">
        <v>1061</v>
      </c>
      <c r="N54" s="1248">
        <f>前年度登録!S51</f>
        <v>0</v>
      </c>
      <c r="O54" s="291"/>
      <c r="P54" s="292" t="str">
        <f t="shared" si="5"/>
        <v/>
      </c>
      <c r="Q54" s="623" t="str">
        <f>IF(O54="","",HLOOKUP(O54,前年度登録!$AW$3:$CW$118,49,FALSE))</f>
        <v/>
      </c>
      <c r="R54" s="773" t="str">
        <f t="shared" si="6"/>
        <v/>
      </c>
      <c r="S54" s="774" t="str">
        <f t="shared" si="7"/>
        <v/>
      </c>
      <c r="T54" s="293"/>
      <c r="U54" s="850" t="str">
        <f t="shared" si="8"/>
        <v/>
      </c>
      <c r="V54" s="1290"/>
      <c r="W54" s="773" t="str">
        <f t="shared" si="9"/>
        <v/>
      </c>
      <c r="X54" s="774" t="str">
        <f t="shared" si="10"/>
        <v/>
      </c>
      <c r="Y54" s="1311"/>
      <c r="Z54" s="1308" t="str">
        <f t="shared" si="11"/>
        <v/>
      </c>
      <c r="AA54" s="777"/>
      <c r="AB54" s="780"/>
      <c r="AC54" s="851" t="str">
        <f>IF(AB54="","",IF(I54=1,VLOOKUP(AB54,男子種目コード!$D$2:$E$16,2,FALSE),IF(I54=2,VLOOKUP(AB54,女子種目コード!$D$2:$E$16,2,FALSE))))</f>
        <v/>
      </c>
      <c r="AD54" s="845"/>
      <c r="AE54" s="781"/>
      <c r="AF54" s="851"/>
      <c r="AG54" s="846"/>
      <c r="AH54" s="802"/>
      <c r="AI54" s="802"/>
      <c r="AK54" s="868"/>
      <c r="AL54" s="797" t="str">
        <f t="shared" si="12"/>
        <v/>
      </c>
      <c r="AM54" s="1297"/>
      <c r="AN54" s="1297"/>
      <c r="AO54" s="1297"/>
      <c r="AP54" s="807"/>
      <c r="AQ54" s="807"/>
      <c r="AR54" s="807"/>
      <c r="AS54" s="807"/>
      <c r="AT54" s="847">
        <f t="shared" si="23"/>
        <v>0</v>
      </c>
      <c r="AU54" s="807"/>
      <c r="AV54" s="797">
        <f t="shared" si="13"/>
        <v>0</v>
      </c>
      <c r="AW54" s="797" t="str">
        <f t="shared" si="24"/>
        <v/>
      </c>
      <c r="AX54" s="797" t="str">
        <f t="shared" si="25"/>
        <v/>
      </c>
      <c r="AY54" s="807"/>
      <c r="AZ54" s="807"/>
      <c r="BA54" s="807"/>
      <c r="BB54" s="807"/>
      <c r="BG54" s="807"/>
      <c r="BH54" s="1169"/>
      <c r="BI54" s="1169"/>
      <c r="BJ54" s="1169"/>
      <c r="BK54" s="1169"/>
      <c r="BL54" s="1169"/>
    </row>
    <row r="55" spans="1:64">
      <c r="A55" s="839">
        <f t="shared" si="3"/>
        <v>0</v>
      </c>
      <c r="B55" s="844" t="str">
        <f>前年度登録!AE52</f>
        <v/>
      </c>
      <c r="C55" s="1286">
        <f t="shared" si="4"/>
        <v>0</v>
      </c>
      <c r="D55" s="848"/>
      <c r="E55" s="849">
        <f>前年度登録!T52</f>
        <v>0</v>
      </c>
      <c r="F55" s="694" t="str">
        <f>前年度登録!DB52</f>
        <v/>
      </c>
      <c r="G55" s="1134" t="str">
        <f>前年度登録!AO52</f>
        <v/>
      </c>
      <c r="H55" s="663" t="str">
        <f>前年度登録!DB52</f>
        <v/>
      </c>
      <c r="I55" s="290" t="str">
        <f>前年度登録!AN52</f>
        <v/>
      </c>
      <c r="J55" s="359" t="str">
        <f>前年度登録!DC52</f>
        <v/>
      </c>
      <c r="K55" s="1247">
        <f>前年度登録!DE52</f>
        <v>0</v>
      </c>
      <c r="L55" s="1037" t="str">
        <f>前年度登録!DJ52</f>
        <v>00</v>
      </c>
      <c r="M55" s="844" t="s">
        <v>1061</v>
      </c>
      <c r="N55" s="1248">
        <f>前年度登録!S52</f>
        <v>0</v>
      </c>
      <c r="O55" s="291"/>
      <c r="P55" s="292" t="str">
        <f t="shared" si="5"/>
        <v/>
      </c>
      <c r="Q55" s="623" t="str">
        <f>IF(O55="","",HLOOKUP(O55,前年度登録!$AW$3:$CW$118,50,FALSE))</f>
        <v/>
      </c>
      <c r="R55" s="773" t="str">
        <f t="shared" si="6"/>
        <v/>
      </c>
      <c r="S55" s="774" t="str">
        <f t="shared" si="7"/>
        <v/>
      </c>
      <c r="T55" s="293"/>
      <c r="U55" s="850" t="str">
        <f t="shared" si="8"/>
        <v/>
      </c>
      <c r="V55" s="1290"/>
      <c r="W55" s="773" t="str">
        <f t="shared" si="9"/>
        <v/>
      </c>
      <c r="X55" s="774" t="str">
        <f t="shared" si="10"/>
        <v/>
      </c>
      <c r="Y55" s="1311"/>
      <c r="Z55" s="1308" t="str">
        <f t="shared" si="11"/>
        <v/>
      </c>
      <c r="AA55" s="777"/>
      <c r="AB55" s="780"/>
      <c r="AC55" s="851" t="str">
        <f>IF(AB55="","",IF(I55=1,VLOOKUP(AB55,男子種目コード!$D$2:$E$16,2,FALSE),IF(I55=2,VLOOKUP(AB55,女子種目コード!$D$2:$E$16,2,FALSE))))</f>
        <v/>
      </c>
      <c r="AD55" s="845"/>
      <c r="AE55" s="781"/>
      <c r="AF55" s="851"/>
      <c r="AG55" s="846"/>
      <c r="AH55" s="802"/>
      <c r="AI55" s="802"/>
      <c r="AK55" s="868"/>
      <c r="AL55" s="797" t="str">
        <f t="shared" si="12"/>
        <v/>
      </c>
      <c r="AM55" s="1297"/>
      <c r="AN55" s="1297"/>
      <c r="AO55" s="1297"/>
      <c r="AP55" s="807"/>
      <c r="AQ55" s="807"/>
      <c r="AR55" s="807"/>
      <c r="AS55" s="807"/>
      <c r="AT55" s="847">
        <f t="shared" si="23"/>
        <v>0</v>
      </c>
      <c r="AU55" s="807"/>
      <c r="AV55" s="797">
        <f t="shared" si="13"/>
        <v>0</v>
      </c>
      <c r="AW55" s="797" t="str">
        <f t="shared" si="24"/>
        <v/>
      </c>
      <c r="AX55" s="797" t="str">
        <f t="shared" si="25"/>
        <v/>
      </c>
      <c r="AY55" s="807"/>
      <c r="AZ55" s="807"/>
      <c r="BA55" s="807"/>
      <c r="BB55" s="807"/>
      <c r="BG55" s="807"/>
      <c r="BH55" s="1169"/>
      <c r="BI55" s="1169"/>
      <c r="BJ55" s="1169"/>
      <c r="BK55" s="1169"/>
      <c r="BL55" s="1169"/>
    </row>
    <row r="56" spans="1:64">
      <c r="A56" s="839">
        <f t="shared" si="3"/>
        <v>0</v>
      </c>
      <c r="B56" s="844" t="str">
        <f>前年度登録!AE53</f>
        <v/>
      </c>
      <c r="C56" s="1286">
        <f t="shared" si="4"/>
        <v>0</v>
      </c>
      <c r="D56" s="848"/>
      <c r="E56" s="849">
        <f>前年度登録!T53</f>
        <v>0</v>
      </c>
      <c r="F56" s="694" t="str">
        <f>前年度登録!DB53</f>
        <v/>
      </c>
      <c r="G56" s="1134" t="str">
        <f>前年度登録!AO53</f>
        <v/>
      </c>
      <c r="H56" s="663" t="str">
        <f>前年度登録!DB53</f>
        <v/>
      </c>
      <c r="I56" s="290" t="str">
        <f>前年度登録!AN53</f>
        <v/>
      </c>
      <c r="J56" s="359" t="str">
        <f>前年度登録!DC53</f>
        <v/>
      </c>
      <c r="K56" s="1247">
        <f>前年度登録!DE53</f>
        <v>0</v>
      </c>
      <c r="L56" s="1037" t="str">
        <f>前年度登録!DJ53</f>
        <v>00</v>
      </c>
      <c r="M56" s="844" t="s">
        <v>1061</v>
      </c>
      <c r="N56" s="1248">
        <f>前年度登録!S53</f>
        <v>0</v>
      </c>
      <c r="O56" s="291"/>
      <c r="P56" s="292" t="str">
        <f t="shared" si="5"/>
        <v/>
      </c>
      <c r="Q56" s="623" t="str">
        <f>IF(O56="","",HLOOKUP(O56,前年度登録!$AW$3:$CW$118,51,FALSE))</f>
        <v/>
      </c>
      <c r="R56" s="773" t="str">
        <f t="shared" si="6"/>
        <v/>
      </c>
      <c r="S56" s="774" t="str">
        <f t="shared" si="7"/>
        <v/>
      </c>
      <c r="T56" s="293"/>
      <c r="U56" s="850" t="str">
        <f t="shared" si="8"/>
        <v/>
      </c>
      <c r="V56" s="1290"/>
      <c r="W56" s="773" t="str">
        <f t="shared" si="9"/>
        <v/>
      </c>
      <c r="X56" s="774" t="str">
        <f t="shared" si="10"/>
        <v/>
      </c>
      <c r="Y56" s="1311"/>
      <c r="Z56" s="1308" t="str">
        <f t="shared" si="11"/>
        <v/>
      </c>
      <c r="AA56" s="777"/>
      <c r="AB56" s="780"/>
      <c r="AC56" s="851" t="str">
        <f>IF(AB56="","",IF(I56=1,VLOOKUP(AB56,男子種目コード!$D$2:$E$16,2,FALSE),IF(I56=2,VLOOKUP(AB56,女子種目コード!$D$2:$E$16,2,FALSE))))</f>
        <v/>
      </c>
      <c r="AD56" s="845"/>
      <c r="AE56" s="781"/>
      <c r="AF56" s="851"/>
      <c r="AG56" s="846"/>
      <c r="AH56" s="802"/>
      <c r="AI56" s="802"/>
      <c r="AK56" s="868"/>
      <c r="AL56" s="797" t="str">
        <f t="shared" si="12"/>
        <v/>
      </c>
      <c r="AM56" s="1297"/>
      <c r="AN56" s="1297"/>
      <c r="AO56" s="1297"/>
      <c r="AP56" s="807"/>
      <c r="AQ56" s="807"/>
      <c r="AR56" s="807"/>
      <c r="AS56" s="807"/>
      <c r="AT56" s="847">
        <f t="shared" si="23"/>
        <v>0</v>
      </c>
      <c r="AU56" s="807"/>
      <c r="AV56" s="797">
        <f t="shared" si="13"/>
        <v>0</v>
      </c>
      <c r="AW56" s="797" t="str">
        <f t="shared" si="24"/>
        <v/>
      </c>
      <c r="AX56" s="797" t="str">
        <f t="shared" si="25"/>
        <v/>
      </c>
      <c r="AY56" s="807"/>
      <c r="AZ56" s="807"/>
      <c r="BA56" s="807"/>
      <c r="BB56" s="807"/>
      <c r="BG56" s="807"/>
      <c r="BH56" s="1169"/>
      <c r="BI56" s="1169"/>
      <c r="BJ56" s="1169"/>
      <c r="BK56" s="1169"/>
      <c r="BL56" s="1169"/>
    </row>
    <row r="57" spans="1:64">
      <c r="A57" s="839">
        <f t="shared" si="3"/>
        <v>0</v>
      </c>
      <c r="B57" s="844" t="str">
        <f>前年度登録!AE54</f>
        <v/>
      </c>
      <c r="C57" s="1286">
        <f t="shared" si="4"/>
        <v>0</v>
      </c>
      <c r="D57" s="848"/>
      <c r="E57" s="849">
        <f>前年度登録!T54</f>
        <v>0</v>
      </c>
      <c r="F57" s="694" t="str">
        <f>前年度登録!DB54</f>
        <v/>
      </c>
      <c r="G57" s="1134" t="str">
        <f>前年度登録!AO54</f>
        <v/>
      </c>
      <c r="H57" s="663" t="str">
        <f>前年度登録!DB54</f>
        <v/>
      </c>
      <c r="I57" s="290" t="str">
        <f>前年度登録!AN54</f>
        <v/>
      </c>
      <c r="J57" s="359" t="str">
        <f>前年度登録!DC54</f>
        <v/>
      </c>
      <c r="K57" s="1247">
        <f>前年度登録!DE54</f>
        <v>0</v>
      </c>
      <c r="L57" s="1037" t="str">
        <f>前年度登録!DJ54</f>
        <v>00</v>
      </c>
      <c r="M57" s="844" t="s">
        <v>1061</v>
      </c>
      <c r="N57" s="1248">
        <f>前年度登録!S54</f>
        <v>0</v>
      </c>
      <c r="O57" s="291"/>
      <c r="P57" s="292" t="str">
        <f t="shared" si="5"/>
        <v/>
      </c>
      <c r="Q57" s="623" t="str">
        <f>IF(O57="","",HLOOKUP(O57,前年度登録!$AW$3:$CW$118,52,FALSE))</f>
        <v/>
      </c>
      <c r="R57" s="773" t="str">
        <f t="shared" si="6"/>
        <v/>
      </c>
      <c r="S57" s="774" t="str">
        <f t="shared" si="7"/>
        <v/>
      </c>
      <c r="T57" s="293"/>
      <c r="U57" s="850" t="str">
        <f t="shared" si="8"/>
        <v/>
      </c>
      <c r="V57" s="1290"/>
      <c r="W57" s="773" t="str">
        <f t="shared" si="9"/>
        <v/>
      </c>
      <c r="X57" s="774" t="str">
        <f t="shared" si="10"/>
        <v/>
      </c>
      <c r="Y57" s="1311"/>
      <c r="Z57" s="1308" t="str">
        <f t="shared" si="11"/>
        <v/>
      </c>
      <c r="AA57" s="777"/>
      <c r="AB57" s="780"/>
      <c r="AC57" s="851" t="str">
        <f>IF(AB57="","",IF(I57=1,VLOOKUP(AB57,男子種目コード!$D$2:$E$16,2,FALSE),IF(I57=2,VLOOKUP(AB57,女子種目コード!$D$2:$E$16,2,FALSE))))</f>
        <v/>
      </c>
      <c r="AD57" s="845"/>
      <c r="AE57" s="781"/>
      <c r="AF57" s="851"/>
      <c r="AG57" s="846"/>
      <c r="AH57" s="802"/>
      <c r="AI57" s="802"/>
      <c r="AK57" s="868"/>
      <c r="AL57" s="797" t="str">
        <f t="shared" si="12"/>
        <v/>
      </c>
      <c r="AM57" s="1297"/>
      <c r="AN57" s="1297"/>
      <c r="AO57" s="1297"/>
      <c r="AP57" s="807"/>
      <c r="AQ57" s="807"/>
      <c r="AR57" s="807"/>
      <c r="AS57" s="807"/>
      <c r="AT57" s="847">
        <f t="shared" si="23"/>
        <v>0</v>
      </c>
      <c r="AU57" s="807"/>
      <c r="AV57" s="797">
        <f t="shared" si="13"/>
        <v>0</v>
      </c>
      <c r="AW57" s="797" t="str">
        <f t="shared" si="24"/>
        <v/>
      </c>
      <c r="AX57" s="797" t="str">
        <f t="shared" si="25"/>
        <v/>
      </c>
      <c r="AY57" s="807"/>
      <c r="AZ57" s="807"/>
      <c r="BA57" s="807"/>
      <c r="BB57" s="807"/>
      <c r="BG57" s="807"/>
      <c r="BH57" s="1169"/>
      <c r="BI57" s="1169"/>
      <c r="BJ57" s="1169"/>
      <c r="BK57" s="1169"/>
      <c r="BL57" s="1169"/>
    </row>
    <row r="58" spans="1:64">
      <c r="A58" s="839">
        <f t="shared" si="3"/>
        <v>0</v>
      </c>
      <c r="B58" s="844" t="str">
        <f>前年度登録!AE55</f>
        <v/>
      </c>
      <c r="C58" s="1286">
        <f t="shared" si="4"/>
        <v>0</v>
      </c>
      <c r="D58" s="848"/>
      <c r="E58" s="849">
        <f>前年度登録!T55</f>
        <v>0</v>
      </c>
      <c r="F58" s="694" t="str">
        <f>前年度登録!DB55</f>
        <v/>
      </c>
      <c r="G58" s="1134" t="str">
        <f>前年度登録!AO55</f>
        <v/>
      </c>
      <c r="H58" s="663" t="str">
        <f>前年度登録!DB55</f>
        <v/>
      </c>
      <c r="I58" s="290" t="str">
        <f>前年度登録!AN55</f>
        <v/>
      </c>
      <c r="J58" s="359" t="str">
        <f>前年度登録!DC55</f>
        <v/>
      </c>
      <c r="K58" s="1247">
        <f>前年度登録!DE55</f>
        <v>0</v>
      </c>
      <c r="L58" s="1037" t="str">
        <f>前年度登録!DJ55</f>
        <v>00</v>
      </c>
      <c r="M58" s="844" t="s">
        <v>1061</v>
      </c>
      <c r="N58" s="1248">
        <f>前年度登録!S55</f>
        <v>0</v>
      </c>
      <c r="O58" s="291"/>
      <c r="P58" s="292" t="str">
        <f t="shared" si="5"/>
        <v/>
      </c>
      <c r="Q58" s="623" t="str">
        <f>IF(O58="","",HLOOKUP(O58,前年度登録!$AW$3:$CW$118,53,FALSE))</f>
        <v/>
      </c>
      <c r="R58" s="773" t="str">
        <f t="shared" si="6"/>
        <v/>
      </c>
      <c r="S58" s="774" t="str">
        <f t="shared" si="7"/>
        <v/>
      </c>
      <c r="T58" s="293"/>
      <c r="U58" s="850" t="str">
        <f t="shared" si="8"/>
        <v/>
      </c>
      <c r="V58" s="1290"/>
      <c r="W58" s="773" t="str">
        <f t="shared" si="9"/>
        <v/>
      </c>
      <c r="X58" s="774" t="str">
        <f t="shared" si="10"/>
        <v/>
      </c>
      <c r="Y58" s="1311"/>
      <c r="Z58" s="1308" t="str">
        <f t="shared" si="11"/>
        <v/>
      </c>
      <c r="AA58" s="777"/>
      <c r="AB58" s="780"/>
      <c r="AC58" s="851" t="str">
        <f>IF(AB58="","",IF(I58=1,VLOOKUP(AB58,男子種目コード!$D$2:$E$16,2,FALSE),IF(I58=2,VLOOKUP(AB58,女子種目コード!$D$2:$E$16,2,FALSE))))</f>
        <v/>
      </c>
      <c r="AD58" s="845"/>
      <c r="AE58" s="781"/>
      <c r="AF58" s="851"/>
      <c r="AG58" s="846"/>
      <c r="AH58" s="802"/>
      <c r="AI58" s="802"/>
      <c r="AK58" s="868"/>
      <c r="AL58" s="797" t="str">
        <f t="shared" si="12"/>
        <v/>
      </c>
      <c r="AM58" s="1297"/>
      <c r="AN58" s="1297"/>
      <c r="AO58" s="1297"/>
      <c r="AP58" s="807"/>
      <c r="AQ58" s="807"/>
      <c r="AR58" s="807"/>
      <c r="AS58" s="807"/>
      <c r="AT58" s="847">
        <f t="shared" si="23"/>
        <v>0</v>
      </c>
      <c r="AU58" s="807"/>
      <c r="AV58" s="797">
        <f t="shared" si="13"/>
        <v>0</v>
      </c>
      <c r="AW58" s="797" t="str">
        <f t="shared" si="24"/>
        <v/>
      </c>
      <c r="AX58" s="797" t="str">
        <f t="shared" si="25"/>
        <v/>
      </c>
      <c r="AY58" s="807"/>
      <c r="AZ58" s="807"/>
      <c r="BA58" s="807"/>
      <c r="BB58" s="807"/>
      <c r="BG58" s="807"/>
      <c r="BH58" s="1169"/>
      <c r="BI58" s="1169"/>
      <c r="BJ58" s="1169"/>
      <c r="BK58" s="1169"/>
      <c r="BL58" s="1169"/>
    </row>
    <row r="59" spans="1:64">
      <c r="A59" s="839">
        <f t="shared" si="3"/>
        <v>0</v>
      </c>
      <c r="B59" s="844" t="str">
        <f>前年度登録!AE56</f>
        <v/>
      </c>
      <c r="C59" s="1286">
        <f t="shared" si="4"/>
        <v>0</v>
      </c>
      <c r="D59" s="848"/>
      <c r="E59" s="849">
        <f>前年度登録!T56</f>
        <v>0</v>
      </c>
      <c r="F59" s="694" t="str">
        <f>前年度登録!DB56</f>
        <v/>
      </c>
      <c r="G59" s="1134" t="str">
        <f>前年度登録!AO56</f>
        <v/>
      </c>
      <c r="H59" s="663" t="str">
        <f>前年度登録!DB56</f>
        <v/>
      </c>
      <c r="I59" s="290" t="str">
        <f>前年度登録!AN56</f>
        <v/>
      </c>
      <c r="J59" s="359" t="str">
        <f>前年度登録!DC56</f>
        <v/>
      </c>
      <c r="K59" s="1247">
        <f>前年度登録!DE56</f>
        <v>0</v>
      </c>
      <c r="L59" s="1037" t="str">
        <f>前年度登録!DJ56</f>
        <v>00</v>
      </c>
      <c r="M59" s="844" t="s">
        <v>1061</v>
      </c>
      <c r="N59" s="1248">
        <f>前年度登録!S56</f>
        <v>0</v>
      </c>
      <c r="O59" s="291"/>
      <c r="P59" s="292" t="str">
        <f t="shared" si="5"/>
        <v/>
      </c>
      <c r="Q59" s="623" t="str">
        <f>IF(O59="","",HLOOKUP(O59,前年度登録!$AW$3:$CW$118,54,FALSE))</f>
        <v/>
      </c>
      <c r="R59" s="773" t="str">
        <f t="shared" si="6"/>
        <v/>
      </c>
      <c r="S59" s="774" t="str">
        <f t="shared" si="7"/>
        <v/>
      </c>
      <c r="T59" s="293"/>
      <c r="U59" s="850" t="str">
        <f t="shared" si="8"/>
        <v/>
      </c>
      <c r="V59" s="1290"/>
      <c r="W59" s="773" t="str">
        <f t="shared" si="9"/>
        <v/>
      </c>
      <c r="X59" s="774" t="str">
        <f t="shared" si="10"/>
        <v/>
      </c>
      <c r="Y59" s="1311"/>
      <c r="Z59" s="1308" t="str">
        <f t="shared" si="11"/>
        <v/>
      </c>
      <c r="AA59" s="777"/>
      <c r="AB59" s="780"/>
      <c r="AC59" s="851" t="str">
        <f>IF(AB59="","",IF(I59=1,VLOOKUP(AB59,男子種目コード!$D$2:$E$16,2,FALSE),IF(I59=2,VLOOKUP(AB59,女子種目コード!$D$2:$E$16,2,FALSE))))</f>
        <v/>
      </c>
      <c r="AD59" s="845"/>
      <c r="AE59" s="781"/>
      <c r="AF59" s="851"/>
      <c r="AG59" s="846"/>
      <c r="AH59" s="802"/>
      <c r="AI59" s="802"/>
      <c r="AK59" s="868"/>
      <c r="AL59" s="797" t="str">
        <f t="shared" si="12"/>
        <v/>
      </c>
      <c r="AM59" s="1297"/>
      <c r="AN59" s="1297"/>
      <c r="AO59" s="1297"/>
      <c r="AP59" s="807"/>
      <c r="AQ59" s="807"/>
      <c r="AR59" s="807"/>
      <c r="AS59" s="807"/>
      <c r="AT59" s="847">
        <f t="shared" si="23"/>
        <v>0</v>
      </c>
      <c r="AU59" s="807"/>
      <c r="AV59" s="797">
        <f t="shared" si="13"/>
        <v>0</v>
      </c>
      <c r="AW59" s="797" t="str">
        <f t="shared" si="24"/>
        <v/>
      </c>
      <c r="AX59" s="797" t="str">
        <f t="shared" si="25"/>
        <v/>
      </c>
      <c r="AY59" s="807"/>
      <c r="AZ59" s="807"/>
      <c r="BA59" s="807"/>
      <c r="BB59" s="807"/>
      <c r="BG59" s="807"/>
      <c r="BH59" s="1169"/>
      <c r="BI59" s="1169"/>
      <c r="BJ59" s="1169"/>
      <c r="BK59" s="1169"/>
      <c r="BL59" s="1169"/>
    </row>
    <row r="60" spans="1:64">
      <c r="A60" s="839">
        <f t="shared" si="3"/>
        <v>0</v>
      </c>
      <c r="B60" s="844" t="str">
        <f>前年度登録!AE57</f>
        <v/>
      </c>
      <c r="C60" s="1286">
        <f t="shared" si="4"/>
        <v>0</v>
      </c>
      <c r="D60" s="848"/>
      <c r="E60" s="849">
        <f>前年度登録!T57</f>
        <v>0</v>
      </c>
      <c r="F60" s="694" t="str">
        <f>前年度登録!DB57</f>
        <v/>
      </c>
      <c r="G60" s="1134" t="str">
        <f>前年度登録!AO57</f>
        <v/>
      </c>
      <c r="H60" s="663" t="str">
        <f>前年度登録!DB57</f>
        <v/>
      </c>
      <c r="I60" s="290" t="str">
        <f>前年度登録!AN57</f>
        <v/>
      </c>
      <c r="J60" s="359" t="str">
        <f>前年度登録!DC57</f>
        <v/>
      </c>
      <c r="K60" s="1247">
        <f>前年度登録!DE57</f>
        <v>0</v>
      </c>
      <c r="L60" s="1037" t="str">
        <f>前年度登録!DJ57</f>
        <v>00</v>
      </c>
      <c r="M60" s="844" t="s">
        <v>1061</v>
      </c>
      <c r="N60" s="1248">
        <f>前年度登録!S57</f>
        <v>0</v>
      </c>
      <c r="O60" s="291"/>
      <c r="P60" s="292" t="str">
        <f t="shared" si="5"/>
        <v/>
      </c>
      <c r="Q60" s="623" t="str">
        <f>IF(O60="","",HLOOKUP(O60,前年度登録!$AW$3:$CW$118,55,FALSE))</f>
        <v/>
      </c>
      <c r="R60" s="773" t="str">
        <f t="shared" si="6"/>
        <v/>
      </c>
      <c r="S60" s="774" t="str">
        <f t="shared" si="7"/>
        <v/>
      </c>
      <c r="T60" s="293"/>
      <c r="U60" s="850" t="str">
        <f t="shared" si="8"/>
        <v/>
      </c>
      <c r="V60" s="1290"/>
      <c r="W60" s="773" t="str">
        <f t="shared" si="9"/>
        <v/>
      </c>
      <c r="X60" s="774" t="str">
        <f t="shared" si="10"/>
        <v/>
      </c>
      <c r="Y60" s="1311"/>
      <c r="Z60" s="1308" t="str">
        <f t="shared" si="11"/>
        <v/>
      </c>
      <c r="AA60" s="777"/>
      <c r="AB60" s="780"/>
      <c r="AC60" s="851" t="str">
        <f>IF(AB60="","",IF(I60=1,VLOOKUP(AB60,男子種目コード!$D$2:$E$16,2,FALSE),IF(I60=2,VLOOKUP(AB60,女子種目コード!$D$2:$E$16,2,FALSE))))</f>
        <v/>
      </c>
      <c r="AD60" s="845"/>
      <c r="AE60" s="781"/>
      <c r="AF60" s="851"/>
      <c r="AG60" s="846"/>
      <c r="AH60" s="802"/>
      <c r="AI60" s="802"/>
      <c r="AK60" s="868"/>
      <c r="AL60" s="797" t="str">
        <f t="shared" si="12"/>
        <v/>
      </c>
      <c r="AM60" s="1297"/>
      <c r="AN60" s="1297"/>
      <c r="AO60" s="1297"/>
      <c r="AP60" s="807"/>
      <c r="AQ60" s="807"/>
      <c r="AR60" s="807"/>
      <c r="AS60" s="807"/>
      <c r="AT60" s="847">
        <f t="shared" si="23"/>
        <v>0</v>
      </c>
      <c r="AU60" s="807"/>
      <c r="AV60" s="797">
        <f t="shared" si="13"/>
        <v>0</v>
      </c>
      <c r="AW60" s="797" t="str">
        <f t="shared" si="24"/>
        <v/>
      </c>
      <c r="AX60" s="797" t="str">
        <f t="shared" si="25"/>
        <v/>
      </c>
      <c r="AY60" s="807"/>
      <c r="AZ60" s="807"/>
      <c r="BA60" s="807"/>
      <c r="BB60" s="807"/>
      <c r="BG60" s="807"/>
      <c r="BH60" s="1169"/>
      <c r="BI60" s="1169"/>
      <c r="BJ60" s="1169"/>
      <c r="BK60" s="1169"/>
      <c r="BL60" s="1169"/>
    </row>
    <row r="61" spans="1:64">
      <c r="A61" s="839">
        <f t="shared" si="3"/>
        <v>0</v>
      </c>
      <c r="B61" s="844" t="str">
        <f>前年度登録!AE58</f>
        <v/>
      </c>
      <c r="C61" s="1286">
        <f t="shared" si="4"/>
        <v>0</v>
      </c>
      <c r="D61" s="848"/>
      <c r="E61" s="849">
        <f>前年度登録!T58</f>
        <v>0</v>
      </c>
      <c r="F61" s="694" t="str">
        <f>前年度登録!DB58</f>
        <v/>
      </c>
      <c r="G61" s="1134" t="str">
        <f>前年度登録!AO58</f>
        <v/>
      </c>
      <c r="H61" s="663" t="str">
        <f>前年度登録!DB58</f>
        <v/>
      </c>
      <c r="I61" s="290" t="str">
        <f>前年度登録!AN58</f>
        <v/>
      </c>
      <c r="J61" s="359" t="str">
        <f>前年度登録!DC58</f>
        <v/>
      </c>
      <c r="K61" s="1247">
        <f>前年度登録!DE58</f>
        <v>0</v>
      </c>
      <c r="L61" s="1037" t="str">
        <f>前年度登録!DJ58</f>
        <v>00</v>
      </c>
      <c r="M61" s="844" t="s">
        <v>1061</v>
      </c>
      <c r="N61" s="1248">
        <f>前年度登録!S58</f>
        <v>0</v>
      </c>
      <c r="O61" s="291"/>
      <c r="P61" s="292" t="str">
        <f t="shared" si="5"/>
        <v/>
      </c>
      <c r="Q61" s="623" t="str">
        <f>IF(O61="","",HLOOKUP(O61,前年度登録!$AW$3:$CW$118,56,FALSE))</f>
        <v/>
      </c>
      <c r="R61" s="773" t="str">
        <f t="shared" si="6"/>
        <v/>
      </c>
      <c r="S61" s="774" t="str">
        <f t="shared" si="7"/>
        <v/>
      </c>
      <c r="T61" s="293"/>
      <c r="U61" s="850" t="str">
        <f t="shared" si="8"/>
        <v/>
      </c>
      <c r="V61" s="1290"/>
      <c r="W61" s="773" t="str">
        <f t="shared" si="9"/>
        <v/>
      </c>
      <c r="X61" s="774" t="str">
        <f t="shared" si="10"/>
        <v/>
      </c>
      <c r="Y61" s="1311"/>
      <c r="Z61" s="1308" t="str">
        <f t="shared" si="11"/>
        <v/>
      </c>
      <c r="AA61" s="777"/>
      <c r="AB61" s="780"/>
      <c r="AC61" s="851" t="str">
        <f>IF(AB61="","",IF(I61=1,VLOOKUP(AB61,男子種目コード!$D$2:$E$16,2,FALSE),IF(I61=2,VLOOKUP(AB61,女子種目コード!$D$2:$E$16,2,FALSE))))</f>
        <v/>
      </c>
      <c r="AD61" s="845"/>
      <c r="AE61" s="781"/>
      <c r="AF61" s="851"/>
      <c r="AG61" s="846"/>
      <c r="AH61" s="802"/>
      <c r="AI61" s="802"/>
      <c r="AK61" s="868"/>
      <c r="AL61" s="797" t="str">
        <f t="shared" si="12"/>
        <v/>
      </c>
      <c r="AM61" s="1297"/>
      <c r="AN61" s="1297"/>
      <c r="AO61" s="1297"/>
      <c r="AP61" s="807"/>
      <c r="AQ61" s="807"/>
      <c r="AR61" s="807"/>
      <c r="AS61" s="807"/>
      <c r="AT61" s="847">
        <f t="shared" si="23"/>
        <v>0</v>
      </c>
      <c r="AU61" s="807"/>
      <c r="AV61" s="797">
        <f t="shared" si="13"/>
        <v>0</v>
      </c>
      <c r="AW61" s="797" t="str">
        <f t="shared" si="24"/>
        <v/>
      </c>
      <c r="AX61" s="797" t="str">
        <f t="shared" si="25"/>
        <v/>
      </c>
      <c r="AY61" s="807"/>
      <c r="AZ61" s="807"/>
      <c r="BA61" s="807"/>
      <c r="BB61" s="807"/>
      <c r="BG61" s="807"/>
      <c r="BH61" s="1169"/>
      <c r="BI61" s="1169"/>
      <c r="BJ61" s="1169"/>
      <c r="BK61" s="1169"/>
      <c r="BL61" s="1169"/>
    </row>
    <row r="62" spans="1:64">
      <c r="A62" s="839">
        <f t="shared" si="3"/>
        <v>0</v>
      </c>
      <c r="B62" s="844" t="str">
        <f>前年度登録!AE59</f>
        <v/>
      </c>
      <c r="C62" s="1286">
        <f t="shared" si="4"/>
        <v>0</v>
      </c>
      <c r="D62" s="848"/>
      <c r="E62" s="849">
        <f>前年度登録!T59</f>
        <v>0</v>
      </c>
      <c r="F62" s="694" t="str">
        <f>前年度登録!DB59</f>
        <v/>
      </c>
      <c r="G62" s="1134" t="str">
        <f>前年度登録!AO59</f>
        <v/>
      </c>
      <c r="H62" s="663" t="str">
        <f>前年度登録!DB59</f>
        <v/>
      </c>
      <c r="I62" s="290" t="str">
        <f>前年度登録!AN59</f>
        <v/>
      </c>
      <c r="J62" s="359" t="str">
        <f>前年度登録!DC59</f>
        <v/>
      </c>
      <c r="K62" s="1247">
        <f>前年度登録!DE59</f>
        <v>0</v>
      </c>
      <c r="L62" s="1037" t="str">
        <f>前年度登録!DJ59</f>
        <v>00</v>
      </c>
      <c r="M62" s="844" t="s">
        <v>1061</v>
      </c>
      <c r="N62" s="1248">
        <f>前年度登録!S59</f>
        <v>0</v>
      </c>
      <c r="O62" s="291"/>
      <c r="P62" s="292" t="str">
        <f t="shared" si="5"/>
        <v/>
      </c>
      <c r="Q62" s="623" t="str">
        <f>IF(O62="","",HLOOKUP(O62,前年度登録!$AW$3:$CW$118,57,FALSE))</f>
        <v/>
      </c>
      <c r="R62" s="773" t="str">
        <f t="shared" si="6"/>
        <v/>
      </c>
      <c r="S62" s="774" t="str">
        <f t="shared" si="7"/>
        <v/>
      </c>
      <c r="T62" s="293"/>
      <c r="U62" s="850" t="str">
        <f t="shared" si="8"/>
        <v/>
      </c>
      <c r="V62" s="1290"/>
      <c r="W62" s="773" t="str">
        <f t="shared" si="9"/>
        <v/>
      </c>
      <c r="X62" s="774" t="str">
        <f t="shared" si="10"/>
        <v/>
      </c>
      <c r="Y62" s="1311"/>
      <c r="Z62" s="1308" t="str">
        <f t="shared" si="11"/>
        <v/>
      </c>
      <c r="AA62" s="777"/>
      <c r="AB62" s="780"/>
      <c r="AC62" s="851" t="str">
        <f>IF(AB62="","",IF(I62=1,VLOOKUP(AB62,男子種目コード!$D$2:$E$16,2,FALSE),IF(I62=2,VLOOKUP(AB62,女子種目コード!$D$2:$E$16,2,FALSE))))</f>
        <v/>
      </c>
      <c r="AD62" s="845"/>
      <c r="AE62" s="781"/>
      <c r="AF62" s="851"/>
      <c r="AG62" s="846"/>
      <c r="AH62" s="802"/>
      <c r="AI62" s="802"/>
      <c r="AK62" s="868"/>
      <c r="AL62" s="797" t="str">
        <f t="shared" si="12"/>
        <v/>
      </c>
      <c r="AM62" s="1297"/>
      <c r="AN62" s="1297"/>
      <c r="AO62" s="1297"/>
      <c r="AP62" s="807"/>
      <c r="AQ62" s="807"/>
      <c r="AR62" s="807"/>
      <c r="AS62" s="807"/>
      <c r="AT62" s="847">
        <f t="shared" si="23"/>
        <v>0</v>
      </c>
      <c r="AU62" s="807"/>
      <c r="AV62" s="797">
        <f t="shared" si="13"/>
        <v>0</v>
      </c>
      <c r="AW62" s="797" t="str">
        <f t="shared" si="24"/>
        <v/>
      </c>
      <c r="AX62" s="797" t="str">
        <f t="shared" si="25"/>
        <v/>
      </c>
      <c r="AY62" s="807"/>
      <c r="AZ62" s="807"/>
      <c r="BA62" s="807"/>
      <c r="BB62" s="807"/>
      <c r="BG62" s="807"/>
      <c r="BH62" s="1169"/>
      <c r="BI62" s="1169"/>
      <c r="BJ62" s="1169"/>
      <c r="BK62" s="1169"/>
      <c r="BL62" s="1169"/>
    </row>
    <row r="63" spans="1:64">
      <c r="A63" s="839">
        <f t="shared" si="3"/>
        <v>0</v>
      </c>
      <c r="B63" s="844" t="str">
        <f>前年度登録!AE60</f>
        <v/>
      </c>
      <c r="C63" s="1286">
        <f t="shared" si="4"/>
        <v>0</v>
      </c>
      <c r="D63" s="848"/>
      <c r="E63" s="849">
        <f>前年度登録!T60</f>
        <v>0</v>
      </c>
      <c r="F63" s="694" t="str">
        <f>前年度登録!DB60</f>
        <v/>
      </c>
      <c r="G63" s="1134" t="str">
        <f>前年度登録!AO60</f>
        <v/>
      </c>
      <c r="H63" s="663" t="str">
        <f>前年度登録!DB60</f>
        <v/>
      </c>
      <c r="I63" s="290" t="str">
        <f>前年度登録!AN60</f>
        <v/>
      </c>
      <c r="J63" s="359" t="str">
        <f>前年度登録!DC60</f>
        <v/>
      </c>
      <c r="K63" s="1247">
        <f>前年度登録!DE60</f>
        <v>0</v>
      </c>
      <c r="L63" s="1037" t="str">
        <f>前年度登録!DJ60</f>
        <v>00</v>
      </c>
      <c r="M63" s="844" t="s">
        <v>1061</v>
      </c>
      <c r="N63" s="1248">
        <f>前年度登録!S60</f>
        <v>0</v>
      </c>
      <c r="O63" s="291"/>
      <c r="P63" s="292" t="str">
        <f t="shared" si="5"/>
        <v/>
      </c>
      <c r="Q63" s="623" t="str">
        <f>IF(O63="","",HLOOKUP(O63,前年度登録!$AW$3:$CW$118,58,FALSE))</f>
        <v/>
      </c>
      <c r="R63" s="773" t="str">
        <f t="shared" si="6"/>
        <v/>
      </c>
      <c r="S63" s="774" t="str">
        <f t="shared" si="7"/>
        <v/>
      </c>
      <c r="T63" s="293"/>
      <c r="U63" s="850" t="str">
        <f t="shared" si="8"/>
        <v/>
      </c>
      <c r="V63" s="1290"/>
      <c r="W63" s="773" t="str">
        <f t="shared" si="9"/>
        <v/>
      </c>
      <c r="X63" s="774" t="str">
        <f t="shared" si="10"/>
        <v/>
      </c>
      <c r="Y63" s="1311"/>
      <c r="Z63" s="1308" t="str">
        <f t="shared" si="11"/>
        <v/>
      </c>
      <c r="AA63" s="777"/>
      <c r="AB63" s="780"/>
      <c r="AC63" s="851" t="str">
        <f>IF(AB63="","",IF(I63=1,VLOOKUP(AB63,男子種目コード!$D$2:$E$16,2,FALSE),IF(I63=2,VLOOKUP(AB63,女子種目コード!$D$2:$E$16,2,FALSE))))</f>
        <v/>
      </c>
      <c r="AD63" s="845"/>
      <c r="AE63" s="781"/>
      <c r="AF63" s="851"/>
      <c r="AG63" s="846"/>
      <c r="AH63" s="802"/>
      <c r="AI63" s="802"/>
      <c r="AK63" s="868"/>
      <c r="AL63" s="797" t="str">
        <f t="shared" si="12"/>
        <v/>
      </c>
      <c r="AM63" s="1297"/>
      <c r="AN63" s="1297"/>
      <c r="AO63" s="1297"/>
      <c r="AP63" s="807"/>
      <c r="AQ63" s="807"/>
      <c r="AR63" s="807"/>
      <c r="AS63" s="807"/>
      <c r="AT63" s="847">
        <f t="shared" si="23"/>
        <v>0</v>
      </c>
      <c r="AU63" s="807"/>
      <c r="AV63" s="797">
        <f t="shared" si="13"/>
        <v>0</v>
      </c>
      <c r="AW63" s="797" t="str">
        <f t="shared" si="24"/>
        <v/>
      </c>
      <c r="AX63" s="797" t="str">
        <f t="shared" si="25"/>
        <v/>
      </c>
      <c r="AY63" s="807"/>
      <c r="AZ63" s="807"/>
      <c r="BA63" s="807"/>
      <c r="BB63" s="807"/>
      <c r="BG63" s="807"/>
      <c r="BH63" s="1169"/>
      <c r="BI63" s="1169"/>
      <c r="BJ63" s="1169"/>
      <c r="BK63" s="1169"/>
      <c r="BL63" s="1169"/>
    </row>
    <row r="64" spans="1:64">
      <c r="A64" s="839">
        <f t="shared" si="3"/>
        <v>0</v>
      </c>
      <c r="B64" s="844" t="str">
        <f>前年度登録!AE61</f>
        <v/>
      </c>
      <c r="C64" s="1286">
        <f t="shared" si="4"/>
        <v>0</v>
      </c>
      <c r="D64" s="848"/>
      <c r="E64" s="849">
        <f>前年度登録!T61</f>
        <v>0</v>
      </c>
      <c r="F64" s="694" t="str">
        <f>前年度登録!DB61</f>
        <v/>
      </c>
      <c r="G64" s="1134" t="str">
        <f>前年度登録!AO61</f>
        <v/>
      </c>
      <c r="H64" s="663" t="str">
        <f>前年度登録!DB61</f>
        <v/>
      </c>
      <c r="I64" s="290" t="str">
        <f>前年度登録!AN61</f>
        <v/>
      </c>
      <c r="J64" s="359" t="str">
        <f>前年度登録!DC61</f>
        <v/>
      </c>
      <c r="K64" s="1247">
        <f>前年度登録!DE61</f>
        <v>0</v>
      </c>
      <c r="L64" s="1037" t="str">
        <f>前年度登録!DJ61</f>
        <v>00</v>
      </c>
      <c r="M64" s="844" t="s">
        <v>1061</v>
      </c>
      <c r="N64" s="1248">
        <f>前年度登録!S61</f>
        <v>0</v>
      </c>
      <c r="O64" s="291"/>
      <c r="P64" s="292" t="str">
        <f t="shared" si="5"/>
        <v/>
      </c>
      <c r="Q64" s="623" t="str">
        <f>IF(O64="","",HLOOKUP(O64,前年度登録!$AW$3:$CW$118,59,FALSE))</f>
        <v/>
      </c>
      <c r="R64" s="773" t="str">
        <f t="shared" si="6"/>
        <v/>
      </c>
      <c r="S64" s="774" t="str">
        <f t="shared" si="7"/>
        <v/>
      </c>
      <c r="T64" s="293"/>
      <c r="U64" s="850" t="str">
        <f t="shared" si="8"/>
        <v/>
      </c>
      <c r="V64" s="1290"/>
      <c r="W64" s="773" t="str">
        <f t="shared" si="9"/>
        <v/>
      </c>
      <c r="X64" s="774" t="str">
        <f t="shared" si="10"/>
        <v/>
      </c>
      <c r="Y64" s="1311"/>
      <c r="Z64" s="1308" t="str">
        <f t="shared" si="11"/>
        <v/>
      </c>
      <c r="AA64" s="777"/>
      <c r="AB64" s="780"/>
      <c r="AC64" s="851" t="str">
        <f>IF(AB64="","",IF(I64=1,VLOOKUP(AB64,男子種目コード!$D$2:$E$16,2,FALSE),IF(I64=2,VLOOKUP(AB64,女子種目コード!$D$2:$E$16,2,FALSE))))</f>
        <v/>
      </c>
      <c r="AD64" s="845"/>
      <c r="AE64" s="781"/>
      <c r="AF64" s="851"/>
      <c r="AG64" s="846"/>
      <c r="AH64" s="802"/>
      <c r="AI64" s="802"/>
      <c r="AK64" s="868"/>
      <c r="AL64" s="797" t="str">
        <f t="shared" si="12"/>
        <v/>
      </c>
      <c r="AM64" s="1297"/>
      <c r="AN64" s="1297"/>
      <c r="AO64" s="1297"/>
      <c r="AP64" s="807"/>
      <c r="AQ64" s="807"/>
      <c r="AR64" s="807"/>
      <c r="AS64" s="807"/>
      <c r="AT64" s="847">
        <f t="shared" si="23"/>
        <v>0</v>
      </c>
      <c r="AU64" s="807"/>
      <c r="AV64" s="797">
        <f t="shared" si="13"/>
        <v>0</v>
      </c>
      <c r="AW64" s="797" t="str">
        <f t="shared" si="24"/>
        <v/>
      </c>
      <c r="AX64" s="797" t="str">
        <f t="shared" si="25"/>
        <v/>
      </c>
      <c r="AY64" s="807"/>
      <c r="AZ64" s="807"/>
      <c r="BA64" s="807"/>
      <c r="BB64" s="807"/>
      <c r="BG64" s="807"/>
      <c r="BH64" s="1169"/>
      <c r="BI64" s="1169"/>
      <c r="BJ64" s="1169"/>
      <c r="BK64" s="1169"/>
      <c r="BL64" s="1169"/>
    </row>
    <row r="65" spans="1:64">
      <c r="A65" s="839">
        <f t="shared" si="3"/>
        <v>0</v>
      </c>
      <c r="B65" s="844" t="str">
        <f>前年度登録!AE62</f>
        <v/>
      </c>
      <c r="C65" s="1286">
        <f t="shared" si="4"/>
        <v>0</v>
      </c>
      <c r="D65" s="848"/>
      <c r="E65" s="849">
        <f>前年度登録!T62</f>
        <v>0</v>
      </c>
      <c r="F65" s="694" t="str">
        <f>前年度登録!DB62</f>
        <v/>
      </c>
      <c r="G65" s="1134" t="str">
        <f>前年度登録!AO62</f>
        <v/>
      </c>
      <c r="H65" s="663" t="str">
        <f>前年度登録!DB62</f>
        <v/>
      </c>
      <c r="I65" s="290" t="str">
        <f>前年度登録!AN62</f>
        <v/>
      </c>
      <c r="J65" s="359" t="str">
        <f>前年度登録!DC62</f>
        <v/>
      </c>
      <c r="K65" s="1247">
        <f>前年度登録!DE62</f>
        <v>0</v>
      </c>
      <c r="L65" s="1037" t="str">
        <f>前年度登録!DJ62</f>
        <v>00</v>
      </c>
      <c r="M65" s="844" t="s">
        <v>1061</v>
      </c>
      <c r="N65" s="1248">
        <f>前年度登録!S62</f>
        <v>0</v>
      </c>
      <c r="O65" s="291"/>
      <c r="P65" s="292" t="str">
        <f t="shared" si="5"/>
        <v/>
      </c>
      <c r="Q65" s="623" t="str">
        <f>IF(O65="","",HLOOKUP(O65,前年度登録!$AW$3:$CW$118,60,FALSE))</f>
        <v/>
      </c>
      <c r="R65" s="773" t="str">
        <f t="shared" si="6"/>
        <v/>
      </c>
      <c r="S65" s="774" t="str">
        <f t="shared" si="7"/>
        <v/>
      </c>
      <c r="T65" s="293"/>
      <c r="U65" s="850" t="str">
        <f t="shared" si="8"/>
        <v/>
      </c>
      <c r="V65" s="1290"/>
      <c r="W65" s="773" t="str">
        <f t="shared" si="9"/>
        <v/>
      </c>
      <c r="X65" s="774" t="str">
        <f t="shared" si="10"/>
        <v/>
      </c>
      <c r="Y65" s="1311"/>
      <c r="Z65" s="1308" t="str">
        <f t="shared" si="11"/>
        <v/>
      </c>
      <c r="AA65" s="777"/>
      <c r="AB65" s="780"/>
      <c r="AC65" s="851" t="str">
        <f>IF(AB65="","",IF(I65=1,VLOOKUP(AB65,男子種目コード!$D$2:$E$16,2,FALSE),IF(I65=2,VLOOKUP(AB65,女子種目コード!$D$2:$E$16,2,FALSE))))</f>
        <v/>
      </c>
      <c r="AD65" s="845"/>
      <c r="AE65" s="781"/>
      <c r="AF65" s="851"/>
      <c r="AG65" s="846"/>
      <c r="AH65" s="802"/>
      <c r="AI65" s="802"/>
      <c r="AK65" s="868"/>
      <c r="AL65" s="797" t="str">
        <f t="shared" si="12"/>
        <v/>
      </c>
      <c r="AM65" s="1297"/>
      <c r="AN65" s="1297"/>
      <c r="AO65" s="1297"/>
      <c r="AP65" s="807"/>
      <c r="AQ65" s="807"/>
      <c r="AR65" s="807"/>
      <c r="AS65" s="807"/>
      <c r="AT65" s="847">
        <f t="shared" si="23"/>
        <v>0</v>
      </c>
      <c r="AU65" s="807"/>
      <c r="AV65" s="797">
        <f t="shared" si="13"/>
        <v>0</v>
      </c>
      <c r="AW65" s="797" t="str">
        <f t="shared" si="24"/>
        <v/>
      </c>
      <c r="AX65" s="797" t="str">
        <f t="shared" si="25"/>
        <v/>
      </c>
      <c r="AY65" s="807"/>
      <c r="AZ65" s="807"/>
      <c r="BA65" s="807"/>
      <c r="BB65" s="807"/>
      <c r="BG65" s="807"/>
      <c r="BH65" s="1169"/>
      <c r="BI65" s="1169"/>
      <c r="BJ65" s="1169"/>
      <c r="BK65" s="1169"/>
      <c r="BL65" s="1169"/>
    </row>
    <row r="66" spans="1:64">
      <c r="A66" s="839">
        <f t="shared" si="3"/>
        <v>0</v>
      </c>
      <c r="B66" s="844" t="str">
        <f>前年度登録!AE63</f>
        <v/>
      </c>
      <c r="C66" s="1286">
        <f t="shared" si="4"/>
        <v>0</v>
      </c>
      <c r="D66" s="848"/>
      <c r="E66" s="849">
        <f>前年度登録!T63</f>
        <v>0</v>
      </c>
      <c r="F66" s="694" t="str">
        <f>前年度登録!DB63</f>
        <v/>
      </c>
      <c r="G66" s="1134" t="str">
        <f>前年度登録!AO63</f>
        <v/>
      </c>
      <c r="H66" s="663" t="str">
        <f>前年度登録!DB63</f>
        <v/>
      </c>
      <c r="I66" s="290" t="str">
        <f>前年度登録!AN63</f>
        <v/>
      </c>
      <c r="J66" s="359" t="str">
        <f>前年度登録!DC63</f>
        <v/>
      </c>
      <c r="K66" s="1247">
        <f>前年度登録!DE63</f>
        <v>0</v>
      </c>
      <c r="L66" s="1037" t="str">
        <f>前年度登録!DJ63</f>
        <v>00</v>
      </c>
      <c r="M66" s="844" t="s">
        <v>1061</v>
      </c>
      <c r="N66" s="1248">
        <f>前年度登録!S63</f>
        <v>0</v>
      </c>
      <c r="O66" s="291"/>
      <c r="P66" s="292" t="str">
        <f t="shared" si="5"/>
        <v/>
      </c>
      <c r="Q66" s="623" t="str">
        <f>IF(O66="","",HLOOKUP(O66,前年度登録!$AW$3:$CW$118,61,FALSE))</f>
        <v/>
      </c>
      <c r="R66" s="773" t="str">
        <f t="shared" si="6"/>
        <v/>
      </c>
      <c r="S66" s="774" t="str">
        <f t="shared" si="7"/>
        <v/>
      </c>
      <c r="T66" s="293"/>
      <c r="U66" s="850" t="str">
        <f t="shared" si="8"/>
        <v/>
      </c>
      <c r="V66" s="1290"/>
      <c r="W66" s="773" t="str">
        <f t="shared" si="9"/>
        <v/>
      </c>
      <c r="X66" s="774" t="str">
        <f t="shared" si="10"/>
        <v/>
      </c>
      <c r="Y66" s="1311"/>
      <c r="Z66" s="1308" t="str">
        <f t="shared" si="11"/>
        <v/>
      </c>
      <c r="AA66" s="777"/>
      <c r="AB66" s="780"/>
      <c r="AC66" s="851" t="str">
        <f>IF(AB66="","",IF(I66=1,VLOOKUP(AB66,男子種目コード!$D$2:$E$16,2,FALSE),IF(I66=2,VLOOKUP(AB66,女子種目コード!$D$2:$E$16,2,FALSE))))</f>
        <v/>
      </c>
      <c r="AD66" s="845"/>
      <c r="AE66" s="781"/>
      <c r="AF66" s="851"/>
      <c r="AG66" s="846"/>
      <c r="AH66" s="802"/>
      <c r="AI66" s="802"/>
      <c r="AK66" s="868"/>
      <c r="AL66" s="797" t="str">
        <f t="shared" si="12"/>
        <v/>
      </c>
      <c r="AM66" s="807"/>
      <c r="AN66" s="807"/>
      <c r="AO66" s="807"/>
      <c r="AP66" s="807"/>
      <c r="AQ66" s="807"/>
      <c r="AR66" s="807"/>
      <c r="AS66" s="807"/>
      <c r="AT66" s="847">
        <f t="shared" si="23"/>
        <v>0</v>
      </c>
      <c r="AU66" s="807"/>
      <c r="AV66" s="797">
        <f t="shared" si="13"/>
        <v>0</v>
      </c>
      <c r="AW66" s="797" t="str">
        <f t="shared" si="24"/>
        <v/>
      </c>
      <c r="AX66" s="797" t="str">
        <f t="shared" si="25"/>
        <v/>
      </c>
      <c r="AY66" s="807"/>
      <c r="AZ66" s="807"/>
      <c r="BA66" s="807"/>
      <c r="BB66" s="807"/>
      <c r="BG66" s="807"/>
      <c r="BH66" s="1169"/>
      <c r="BI66" s="1169"/>
      <c r="BJ66" s="1169"/>
      <c r="BK66" s="1169"/>
      <c r="BL66" s="1169"/>
    </row>
    <row r="67" spans="1:64">
      <c r="A67" s="839">
        <f t="shared" si="3"/>
        <v>0</v>
      </c>
      <c r="B67" s="844" t="str">
        <f>前年度登録!AE64</f>
        <v/>
      </c>
      <c r="C67" s="1286">
        <f t="shared" si="4"/>
        <v>0</v>
      </c>
      <c r="D67" s="848"/>
      <c r="E67" s="849">
        <f>前年度登録!T64</f>
        <v>0</v>
      </c>
      <c r="F67" s="694" t="str">
        <f>前年度登録!DB64</f>
        <v/>
      </c>
      <c r="G67" s="1134" t="str">
        <f>前年度登録!AO64</f>
        <v/>
      </c>
      <c r="H67" s="663" t="str">
        <f>前年度登録!DB64</f>
        <v/>
      </c>
      <c r="I67" s="290" t="str">
        <f>前年度登録!AN64</f>
        <v/>
      </c>
      <c r="J67" s="359" t="str">
        <f>前年度登録!DC64</f>
        <v/>
      </c>
      <c r="K67" s="1247">
        <f>前年度登録!DE64</f>
        <v>0</v>
      </c>
      <c r="L67" s="1037" t="str">
        <f>前年度登録!DJ64</f>
        <v>00</v>
      </c>
      <c r="M67" s="844" t="s">
        <v>1061</v>
      </c>
      <c r="N67" s="1248">
        <f>前年度登録!S64</f>
        <v>0</v>
      </c>
      <c r="O67" s="291"/>
      <c r="P67" s="292" t="str">
        <f t="shared" si="5"/>
        <v/>
      </c>
      <c r="Q67" s="623" t="str">
        <f>IF(O67="","",HLOOKUP(O67,前年度登録!$AW$3:$CW$118,62,FALSE))</f>
        <v/>
      </c>
      <c r="R67" s="773" t="str">
        <f t="shared" si="6"/>
        <v/>
      </c>
      <c r="S67" s="774" t="str">
        <f t="shared" si="7"/>
        <v/>
      </c>
      <c r="T67" s="293"/>
      <c r="U67" s="850" t="str">
        <f t="shared" si="8"/>
        <v/>
      </c>
      <c r="V67" s="1290"/>
      <c r="W67" s="773" t="str">
        <f t="shared" si="9"/>
        <v/>
      </c>
      <c r="X67" s="774" t="str">
        <f t="shared" si="10"/>
        <v/>
      </c>
      <c r="Y67" s="1311"/>
      <c r="Z67" s="1308" t="str">
        <f t="shared" si="11"/>
        <v/>
      </c>
      <c r="AA67" s="777"/>
      <c r="AB67" s="780"/>
      <c r="AC67" s="851" t="str">
        <f>IF(AB67="","",IF(I67=1,VLOOKUP(AB67,男子種目コード!$D$2:$E$16,2,FALSE),IF(I67=2,VLOOKUP(AB67,女子種目コード!$D$2:$E$16,2,FALSE))))</f>
        <v/>
      </c>
      <c r="AD67" s="845"/>
      <c r="AE67" s="781"/>
      <c r="AF67" s="851"/>
      <c r="AG67" s="846"/>
      <c r="AH67" s="802"/>
      <c r="AI67" s="802"/>
      <c r="AK67" s="868"/>
      <c r="AL67" s="797" t="str">
        <f t="shared" si="12"/>
        <v/>
      </c>
      <c r="AM67" s="807"/>
      <c r="AN67" s="807"/>
      <c r="AO67" s="807"/>
      <c r="AP67" s="807"/>
      <c r="AQ67" s="807"/>
      <c r="AR67" s="807"/>
      <c r="AS67" s="807"/>
      <c r="AT67" s="847">
        <f t="shared" si="23"/>
        <v>0</v>
      </c>
      <c r="AU67" s="807"/>
      <c r="AV67" s="797">
        <f t="shared" si="13"/>
        <v>0</v>
      </c>
      <c r="AW67" s="797" t="str">
        <f t="shared" si="24"/>
        <v/>
      </c>
      <c r="AX67" s="797" t="str">
        <f t="shared" si="25"/>
        <v/>
      </c>
      <c r="AY67" s="807"/>
      <c r="AZ67" s="807"/>
      <c r="BA67" s="807"/>
      <c r="BB67" s="807"/>
      <c r="BG67" s="807"/>
      <c r="BH67" s="1169"/>
      <c r="BI67" s="1169"/>
      <c r="BJ67" s="1169"/>
      <c r="BK67" s="1169"/>
      <c r="BL67" s="1169"/>
    </row>
    <row r="68" spans="1:64">
      <c r="A68" s="839">
        <f t="shared" si="3"/>
        <v>0</v>
      </c>
      <c r="B68" s="844" t="str">
        <f>前年度登録!AE65</f>
        <v/>
      </c>
      <c r="C68" s="1286">
        <f t="shared" si="4"/>
        <v>0</v>
      </c>
      <c r="D68" s="848"/>
      <c r="E68" s="849">
        <f>前年度登録!T65</f>
        <v>0</v>
      </c>
      <c r="F68" s="694" t="str">
        <f>前年度登録!DB65</f>
        <v/>
      </c>
      <c r="G68" s="1134" t="str">
        <f>前年度登録!AO65</f>
        <v/>
      </c>
      <c r="H68" s="663" t="str">
        <f>前年度登録!DB65</f>
        <v/>
      </c>
      <c r="I68" s="290" t="str">
        <f>前年度登録!AN65</f>
        <v/>
      </c>
      <c r="J68" s="359" t="str">
        <f>前年度登録!DC65</f>
        <v/>
      </c>
      <c r="K68" s="1247">
        <f>前年度登録!DE65</f>
        <v>0</v>
      </c>
      <c r="L68" s="1037" t="str">
        <f>前年度登録!DJ65</f>
        <v>00</v>
      </c>
      <c r="M68" s="844" t="s">
        <v>1061</v>
      </c>
      <c r="N68" s="1248">
        <f>前年度登録!S65</f>
        <v>0</v>
      </c>
      <c r="O68" s="291"/>
      <c r="P68" s="292" t="str">
        <f t="shared" si="5"/>
        <v/>
      </c>
      <c r="Q68" s="623" t="str">
        <f>IF(O68="","",HLOOKUP(O68,前年度登録!$AW$3:$CW$118,63,FALSE))</f>
        <v/>
      </c>
      <c r="R68" s="773" t="str">
        <f t="shared" si="6"/>
        <v/>
      </c>
      <c r="S68" s="774" t="str">
        <f t="shared" si="7"/>
        <v/>
      </c>
      <c r="T68" s="293"/>
      <c r="U68" s="850" t="str">
        <f t="shared" si="8"/>
        <v/>
      </c>
      <c r="V68" s="1290"/>
      <c r="W68" s="773" t="str">
        <f t="shared" si="9"/>
        <v/>
      </c>
      <c r="X68" s="774" t="str">
        <f t="shared" si="10"/>
        <v/>
      </c>
      <c r="Y68" s="1311"/>
      <c r="Z68" s="1308" t="str">
        <f t="shared" si="11"/>
        <v/>
      </c>
      <c r="AA68" s="777"/>
      <c r="AB68" s="780"/>
      <c r="AC68" s="851" t="str">
        <f>IF(AB68="","",IF(I68=1,VLOOKUP(AB68,男子種目コード!$D$2:$E$16,2,FALSE),IF(I68=2,VLOOKUP(AB68,女子種目コード!$D$2:$E$16,2,FALSE))))</f>
        <v/>
      </c>
      <c r="AD68" s="845"/>
      <c r="AE68" s="781"/>
      <c r="AF68" s="851"/>
      <c r="AG68" s="846"/>
      <c r="AH68" s="802"/>
      <c r="AI68" s="802"/>
      <c r="AK68" s="868"/>
      <c r="AL68" s="797" t="str">
        <f t="shared" si="12"/>
        <v/>
      </c>
      <c r="AM68" s="807"/>
      <c r="AN68" s="807"/>
      <c r="AO68" s="807"/>
      <c r="AP68" s="807"/>
      <c r="AQ68" s="807"/>
      <c r="AR68" s="807"/>
      <c r="AS68" s="807"/>
      <c r="AT68" s="847">
        <f t="shared" si="23"/>
        <v>0</v>
      </c>
      <c r="AU68" s="807"/>
      <c r="AV68" s="797">
        <f t="shared" si="13"/>
        <v>0</v>
      </c>
      <c r="AW68" s="797" t="str">
        <f t="shared" si="24"/>
        <v/>
      </c>
      <c r="AX68" s="797" t="str">
        <f t="shared" si="25"/>
        <v/>
      </c>
      <c r="AY68" s="807"/>
      <c r="AZ68" s="807"/>
      <c r="BA68" s="807"/>
      <c r="BB68" s="807"/>
      <c r="BG68" s="807"/>
      <c r="BH68" s="1169"/>
      <c r="BI68" s="1169"/>
      <c r="BJ68" s="1169"/>
      <c r="BK68" s="1169"/>
      <c r="BL68" s="1169"/>
    </row>
    <row r="69" spans="1:64">
      <c r="A69" s="839">
        <f t="shared" si="3"/>
        <v>0</v>
      </c>
      <c r="B69" s="844" t="str">
        <f>前年度登録!AE66</f>
        <v/>
      </c>
      <c r="C69" s="1286">
        <f t="shared" si="4"/>
        <v>0</v>
      </c>
      <c r="D69" s="848"/>
      <c r="E69" s="849">
        <f>前年度登録!T66</f>
        <v>0</v>
      </c>
      <c r="F69" s="694" t="str">
        <f>前年度登録!DB66</f>
        <v/>
      </c>
      <c r="G69" s="1134" t="str">
        <f>前年度登録!AO66</f>
        <v/>
      </c>
      <c r="H69" s="663" t="str">
        <f>前年度登録!DB66</f>
        <v/>
      </c>
      <c r="I69" s="290" t="str">
        <f>前年度登録!AN66</f>
        <v/>
      </c>
      <c r="J69" s="359" t="str">
        <f>前年度登録!DC66</f>
        <v/>
      </c>
      <c r="K69" s="1247">
        <f>前年度登録!DE66</f>
        <v>0</v>
      </c>
      <c r="L69" s="1037" t="str">
        <f>前年度登録!DJ66</f>
        <v>00</v>
      </c>
      <c r="M69" s="844" t="s">
        <v>1061</v>
      </c>
      <c r="N69" s="1248">
        <f>前年度登録!S66</f>
        <v>0</v>
      </c>
      <c r="O69" s="291"/>
      <c r="P69" s="292" t="str">
        <f t="shared" si="5"/>
        <v/>
      </c>
      <c r="Q69" s="623" t="str">
        <f>IF(O69="","",HLOOKUP(O69,前年度登録!$AW$3:$CW$118,64,FALSE))</f>
        <v/>
      </c>
      <c r="R69" s="773" t="str">
        <f t="shared" si="6"/>
        <v/>
      </c>
      <c r="S69" s="774" t="str">
        <f t="shared" si="7"/>
        <v/>
      </c>
      <c r="T69" s="293"/>
      <c r="U69" s="850" t="str">
        <f t="shared" si="8"/>
        <v/>
      </c>
      <c r="V69" s="1290"/>
      <c r="W69" s="773" t="str">
        <f t="shared" si="9"/>
        <v/>
      </c>
      <c r="X69" s="774" t="str">
        <f t="shared" si="10"/>
        <v/>
      </c>
      <c r="Y69" s="1311"/>
      <c r="Z69" s="1308" t="str">
        <f t="shared" si="11"/>
        <v/>
      </c>
      <c r="AA69" s="777"/>
      <c r="AB69" s="780"/>
      <c r="AC69" s="851" t="str">
        <f>IF(AB69="","",IF(I69=1,VLOOKUP(AB69,男子種目コード!$D$2:$E$16,2,FALSE),IF(I69=2,VLOOKUP(AB69,女子種目コード!$D$2:$E$16,2,FALSE))))</f>
        <v/>
      </c>
      <c r="AD69" s="845"/>
      <c r="AE69" s="781"/>
      <c r="AF69" s="851"/>
      <c r="AG69" s="846"/>
      <c r="AH69" s="802"/>
      <c r="AI69" s="802"/>
      <c r="AK69" s="868"/>
      <c r="AL69" s="797" t="str">
        <f t="shared" si="12"/>
        <v/>
      </c>
      <c r="AM69" s="807"/>
      <c r="AN69" s="807"/>
      <c r="AO69" s="807"/>
      <c r="AP69" s="807"/>
      <c r="AQ69" s="807"/>
      <c r="AR69" s="807"/>
      <c r="AS69" s="807"/>
      <c r="AT69" s="847">
        <f t="shared" si="23"/>
        <v>0</v>
      </c>
      <c r="AU69" s="807"/>
      <c r="AV69" s="797">
        <f t="shared" si="13"/>
        <v>0</v>
      </c>
      <c r="AW69" s="797" t="str">
        <f t="shared" si="24"/>
        <v/>
      </c>
      <c r="AX69" s="797" t="str">
        <f t="shared" si="25"/>
        <v/>
      </c>
      <c r="AY69" s="807"/>
      <c r="AZ69" s="807"/>
      <c r="BA69" s="807"/>
      <c r="BB69" s="807"/>
      <c r="BG69" s="807"/>
      <c r="BH69" s="1169"/>
      <c r="BI69" s="1169"/>
      <c r="BJ69" s="1169"/>
      <c r="BK69" s="1169"/>
      <c r="BL69" s="1169"/>
    </row>
    <row r="70" spans="1:64">
      <c r="A70" s="839">
        <f t="shared" si="3"/>
        <v>0</v>
      </c>
      <c r="B70" s="844" t="str">
        <f>前年度登録!AE67</f>
        <v/>
      </c>
      <c r="C70" s="1286">
        <f t="shared" si="4"/>
        <v>0</v>
      </c>
      <c r="D70" s="848"/>
      <c r="E70" s="849">
        <f>前年度登録!T67</f>
        <v>0</v>
      </c>
      <c r="F70" s="694" t="str">
        <f>前年度登録!DB67</f>
        <v/>
      </c>
      <c r="G70" s="1134" t="str">
        <f>前年度登録!AO67</f>
        <v/>
      </c>
      <c r="H70" s="663" t="str">
        <f>前年度登録!DB67</f>
        <v/>
      </c>
      <c r="I70" s="290" t="str">
        <f>前年度登録!AN67</f>
        <v/>
      </c>
      <c r="J70" s="359" t="str">
        <f>前年度登録!DC67</f>
        <v/>
      </c>
      <c r="K70" s="1247">
        <f>前年度登録!DE67</f>
        <v>0</v>
      </c>
      <c r="L70" s="1037" t="str">
        <f>前年度登録!DJ67</f>
        <v>00</v>
      </c>
      <c r="M70" s="844" t="s">
        <v>1061</v>
      </c>
      <c r="N70" s="1248">
        <f>前年度登録!S67</f>
        <v>0</v>
      </c>
      <c r="O70" s="291"/>
      <c r="P70" s="292" t="str">
        <f t="shared" si="5"/>
        <v/>
      </c>
      <c r="Q70" s="623" t="str">
        <f>IF(O70="","",HLOOKUP(O70,前年度登録!$AW$3:$CW$118,65,FALSE))</f>
        <v/>
      </c>
      <c r="R70" s="773" t="str">
        <f t="shared" si="6"/>
        <v/>
      </c>
      <c r="S70" s="774" t="str">
        <f t="shared" si="7"/>
        <v/>
      </c>
      <c r="T70" s="293"/>
      <c r="U70" s="850" t="str">
        <f t="shared" si="8"/>
        <v/>
      </c>
      <c r="V70" s="1290"/>
      <c r="W70" s="773" t="str">
        <f t="shared" si="9"/>
        <v/>
      </c>
      <c r="X70" s="774" t="str">
        <f t="shared" si="10"/>
        <v/>
      </c>
      <c r="Y70" s="1311"/>
      <c r="Z70" s="1308" t="str">
        <f t="shared" si="11"/>
        <v/>
      </c>
      <c r="AA70" s="777"/>
      <c r="AB70" s="780"/>
      <c r="AC70" s="851" t="str">
        <f>IF(AB70="","",IF(I70=1,VLOOKUP(AB70,男子種目コード!$D$2:$E$16,2,FALSE),IF(I70=2,VLOOKUP(AB70,女子種目コード!$D$2:$E$16,2,FALSE))))</f>
        <v/>
      </c>
      <c r="AD70" s="845"/>
      <c r="AE70" s="781"/>
      <c r="AF70" s="851"/>
      <c r="AG70" s="846"/>
      <c r="AH70" s="802"/>
      <c r="AI70" s="802"/>
      <c r="AK70" s="868"/>
      <c r="AL70" s="797" t="str">
        <f t="shared" si="12"/>
        <v/>
      </c>
      <c r="AM70" s="807"/>
      <c r="AN70" s="807"/>
      <c r="AO70" s="807"/>
      <c r="AP70" s="807"/>
      <c r="AQ70" s="807"/>
      <c r="AR70" s="807"/>
      <c r="AS70" s="807"/>
      <c r="AT70" s="847">
        <f t="shared" si="23"/>
        <v>0</v>
      </c>
      <c r="AU70" s="807"/>
      <c r="AV70" s="797">
        <f t="shared" si="13"/>
        <v>0</v>
      </c>
      <c r="AW70" s="797" t="str">
        <f t="shared" si="24"/>
        <v/>
      </c>
      <c r="AX70" s="797" t="str">
        <f t="shared" si="25"/>
        <v/>
      </c>
      <c r="AY70" s="807"/>
      <c r="AZ70" s="807"/>
      <c r="BA70" s="807"/>
      <c r="BB70" s="807"/>
      <c r="BG70" s="807"/>
      <c r="BH70" s="1169"/>
      <c r="BI70" s="1169"/>
      <c r="BJ70" s="1169"/>
      <c r="BK70" s="1169"/>
      <c r="BL70" s="1169"/>
    </row>
    <row r="71" spans="1:64">
      <c r="A71" s="839">
        <f t="shared" si="3"/>
        <v>0</v>
      </c>
      <c r="B71" s="844" t="str">
        <f>前年度登録!AE68</f>
        <v/>
      </c>
      <c r="C71" s="1286">
        <f t="shared" si="4"/>
        <v>0</v>
      </c>
      <c r="D71" s="848"/>
      <c r="E71" s="849">
        <f>前年度登録!T68</f>
        <v>0</v>
      </c>
      <c r="F71" s="694" t="str">
        <f>前年度登録!DB68</f>
        <v/>
      </c>
      <c r="G71" s="1134" t="str">
        <f>前年度登録!AO68</f>
        <v/>
      </c>
      <c r="H71" s="663" t="str">
        <f>前年度登録!DB68</f>
        <v/>
      </c>
      <c r="I71" s="290" t="str">
        <f>前年度登録!AN68</f>
        <v/>
      </c>
      <c r="J71" s="359" t="str">
        <f>前年度登録!DC68</f>
        <v/>
      </c>
      <c r="K71" s="1247">
        <f>前年度登録!DE68</f>
        <v>0</v>
      </c>
      <c r="L71" s="1037" t="str">
        <f>前年度登録!DJ68</f>
        <v>00</v>
      </c>
      <c r="M71" s="844" t="s">
        <v>1061</v>
      </c>
      <c r="N71" s="1248">
        <f>前年度登録!S68</f>
        <v>0</v>
      </c>
      <c r="O71" s="291"/>
      <c r="P71" s="292" t="str">
        <f t="shared" si="5"/>
        <v/>
      </c>
      <c r="Q71" s="623" t="str">
        <f>IF(O71="","",HLOOKUP(O71,前年度登録!$AW$3:$CW$118,66,FALSE))</f>
        <v/>
      </c>
      <c r="R71" s="773" t="str">
        <f t="shared" si="6"/>
        <v/>
      </c>
      <c r="S71" s="774" t="str">
        <f t="shared" si="7"/>
        <v/>
      </c>
      <c r="T71" s="293"/>
      <c r="U71" s="850" t="str">
        <f t="shared" si="8"/>
        <v/>
      </c>
      <c r="V71" s="1290"/>
      <c r="W71" s="773" t="str">
        <f t="shared" si="9"/>
        <v/>
      </c>
      <c r="X71" s="774" t="str">
        <f t="shared" si="10"/>
        <v/>
      </c>
      <c r="Y71" s="1311"/>
      <c r="Z71" s="1308" t="str">
        <f t="shared" si="11"/>
        <v/>
      </c>
      <c r="AA71" s="777"/>
      <c r="AB71" s="780"/>
      <c r="AC71" s="851" t="str">
        <f>IF(AB71="","",IF(I71=1,VLOOKUP(AB71,男子種目コード!$D$2:$E$16,2,FALSE),IF(I71=2,VLOOKUP(AB71,女子種目コード!$D$2:$E$16,2,FALSE))))</f>
        <v/>
      </c>
      <c r="AD71" s="845"/>
      <c r="AE71" s="781"/>
      <c r="AF71" s="851"/>
      <c r="AG71" s="846"/>
      <c r="AH71" s="802"/>
      <c r="AI71" s="802"/>
      <c r="AK71" s="868"/>
      <c r="AL71" s="797" t="str">
        <f t="shared" si="12"/>
        <v/>
      </c>
      <c r="AM71" s="807"/>
      <c r="AN71" s="807"/>
      <c r="AO71" s="807"/>
      <c r="AP71" s="807"/>
      <c r="AQ71" s="807"/>
      <c r="AR71" s="807"/>
      <c r="AS71" s="807"/>
      <c r="AT71" s="847">
        <f t="shared" ref="AT71:AT102" si="30">IF(OR(AL71=1,T71=""),0,1)</f>
        <v>0</v>
      </c>
      <c r="AU71" s="807"/>
      <c r="AV71" s="797">
        <f t="shared" si="13"/>
        <v>0</v>
      </c>
      <c r="AW71" s="797" t="str">
        <f t="shared" ref="AW71:AW102" si="31">IF(I71=1,AV71,"")</f>
        <v/>
      </c>
      <c r="AX71" s="797" t="str">
        <f t="shared" ref="AX71:AX102" si="32">IF(I71=2,AV71,"")</f>
        <v/>
      </c>
      <c r="AY71" s="807"/>
      <c r="AZ71" s="807"/>
      <c r="BA71" s="807"/>
      <c r="BB71" s="807"/>
      <c r="BG71" s="807"/>
      <c r="BH71" s="1169"/>
      <c r="BI71" s="1169"/>
      <c r="BJ71" s="1169"/>
      <c r="BK71" s="1169"/>
      <c r="BL71" s="1169"/>
    </row>
    <row r="72" spans="1:64">
      <c r="A72" s="839">
        <f t="shared" ref="A72:A116" si="33">T72</f>
        <v>0</v>
      </c>
      <c r="B72" s="844" t="str">
        <f>前年度登録!AE69</f>
        <v/>
      </c>
      <c r="C72" s="1286">
        <f t="shared" ref="C72:C116" si="34">Y72</f>
        <v>0</v>
      </c>
      <c r="D72" s="848"/>
      <c r="E72" s="849">
        <f>前年度登録!T69</f>
        <v>0</v>
      </c>
      <c r="F72" s="694" t="str">
        <f>前年度登録!DB69</f>
        <v/>
      </c>
      <c r="G72" s="1134" t="str">
        <f>前年度登録!AO69</f>
        <v/>
      </c>
      <c r="H72" s="663" t="str">
        <f>前年度登録!DB69</f>
        <v/>
      </c>
      <c r="I72" s="290" t="str">
        <f>前年度登録!AN69</f>
        <v/>
      </c>
      <c r="J72" s="359" t="str">
        <f>前年度登録!DC69</f>
        <v/>
      </c>
      <c r="K72" s="1247">
        <f>前年度登録!DE69</f>
        <v>0</v>
      </c>
      <c r="L72" s="1037" t="str">
        <f>前年度登録!DJ69</f>
        <v>00</v>
      </c>
      <c r="M72" s="844" t="s">
        <v>1061</v>
      </c>
      <c r="N72" s="1248">
        <f>前年度登録!S69</f>
        <v>0</v>
      </c>
      <c r="O72" s="291"/>
      <c r="P72" s="292" t="str">
        <f t="shared" ref="P72:P116" si="35">IF(O72="","",IF(I72=1,VLOOKUP(O72,$AM$19:$AO$24,3,FALSE),IF(I72=2,VLOOKUP(O72,$AM$27:$AO$32,3,FALSE))))</f>
        <v/>
      </c>
      <c r="Q72" s="623" t="str">
        <f>IF(O72="","",HLOOKUP(O72,前年度登録!$AW$3:$CW$118,67,FALSE))</f>
        <v/>
      </c>
      <c r="R72" s="773" t="str">
        <f t="shared" ref="R72:R116" si="36">IF(O72="","",0)</f>
        <v/>
      </c>
      <c r="S72" s="774" t="str">
        <f t="shared" ref="S72:S116" si="37">IF(O72="","",2)</f>
        <v/>
      </c>
      <c r="T72" s="293"/>
      <c r="U72" s="850" t="str">
        <f t="shared" ref="U72:U116" si="38">IF(T72="","",IF(I72=1,VLOOKUP(T72,$AM$39:$AO$41,3,FALSE),IF(I72=2,VLOOKUP(T72,$AM$42:$AO$44,3,FALSE))))</f>
        <v/>
      </c>
      <c r="V72" s="1290"/>
      <c r="W72" s="773" t="str">
        <f t="shared" ref="W72:W116" si="39">IF(T72="","",0)</f>
        <v/>
      </c>
      <c r="X72" s="774" t="str">
        <f t="shared" ref="X72:X116" si="40">IF(T72="","",2)</f>
        <v/>
      </c>
      <c r="Y72" s="1311"/>
      <c r="Z72" s="1308" t="str">
        <f t="shared" ref="Z72:Z116" si="41">IF(Y72="","",IF(I72=1,VLOOKUP(Y72,$AM$45:$AO$47,3,FALSE),IF(I72=2,VLOOKUP(Y72,$AM$45:$AO$47,3,FALSE))))</f>
        <v/>
      </c>
      <c r="AA72" s="777"/>
      <c r="AB72" s="780"/>
      <c r="AC72" s="851" t="str">
        <f>IF(AB72="","",IF(I72=1,VLOOKUP(AB72,男子種目コード!$D$2:$E$16,2,FALSE),IF(I72=2,VLOOKUP(AB72,女子種目コード!$D$2:$E$16,2,FALSE))))</f>
        <v/>
      </c>
      <c r="AD72" s="845"/>
      <c r="AE72" s="781"/>
      <c r="AF72" s="851"/>
      <c r="AG72" s="846"/>
      <c r="AH72" s="802"/>
      <c r="AI72" s="802"/>
      <c r="AK72" s="868"/>
      <c r="AL72" s="797" t="str">
        <f t="shared" ref="AL72:AL116" si="42">IF(O72="","",1)</f>
        <v/>
      </c>
      <c r="AM72" s="807"/>
      <c r="AN72" s="807"/>
      <c r="AO72" s="807"/>
      <c r="AP72" s="807"/>
      <c r="AQ72" s="807"/>
      <c r="AR72" s="807"/>
      <c r="AS72" s="807"/>
      <c r="AT72" s="847">
        <f t="shared" si="30"/>
        <v>0</v>
      </c>
      <c r="AU72" s="807"/>
      <c r="AV72" s="797">
        <f t="shared" ref="AV72:AV116" si="43">COUNT(P72,U72,Z72)</f>
        <v>0</v>
      </c>
      <c r="AW72" s="797" t="str">
        <f t="shared" si="31"/>
        <v/>
      </c>
      <c r="AX72" s="797" t="str">
        <f t="shared" si="32"/>
        <v/>
      </c>
      <c r="AY72" s="807"/>
      <c r="AZ72" s="807"/>
      <c r="BA72" s="807"/>
      <c r="BB72" s="807"/>
      <c r="BG72" s="807"/>
      <c r="BH72" s="1169"/>
      <c r="BI72" s="1169"/>
      <c r="BJ72" s="1169"/>
      <c r="BK72" s="1169"/>
      <c r="BL72" s="1169"/>
    </row>
    <row r="73" spans="1:64">
      <c r="A73" s="839">
        <f t="shared" si="33"/>
        <v>0</v>
      </c>
      <c r="B73" s="844" t="str">
        <f>前年度登録!AE70</f>
        <v/>
      </c>
      <c r="C73" s="1286">
        <f t="shared" si="34"/>
        <v>0</v>
      </c>
      <c r="D73" s="848"/>
      <c r="E73" s="849">
        <f>前年度登録!T70</f>
        <v>0</v>
      </c>
      <c r="F73" s="694" t="str">
        <f>前年度登録!DB70</f>
        <v/>
      </c>
      <c r="G73" s="1134" t="str">
        <f>前年度登録!AO70</f>
        <v/>
      </c>
      <c r="H73" s="663" t="str">
        <f>前年度登録!DB70</f>
        <v/>
      </c>
      <c r="I73" s="290" t="str">
        <f>前年度登録!AN70</f>
        <v/>
      </c>
      <c r="J73" s="359" t="str">
        <f>前年度登録!DC70</f>
        <v/>
      </c>
      <c r="K73" s="1247">
        <f>前年度登録!DE70</f>
        <v>0</v>
      </c>
      <c r="L73" s="1037" t="str">
        <f>前年度登録!DJ70</f>
        <v>00</v>
      </c>
      <c r="M73" s="844" t="s">
        <v>1061</v>
      </c>
      <c r="N73" s="1248">
        <f>前年度登録!S70</f>
        <v>0</v>
      </c>
      <c r="O73" s="291"/>
      <c r="P73" s="292" t="str">
        <f t="shared" si="35"/>
        <v/>
      </c>
      <c r="Q73" s="623" t="str">
        <f>IF(O73="","",HLOOKUP(O73,前年度登録!$AW$3:$CW$118,68,FALSE))</f>
        <v/>
      </c>
      <c r="R73" s="773" t="str">
        <f t="shared" si="36"/>
        <v/>
      </c>
      <c r="S73" s="774" t="str">
        <f t="shared" si="37"/>
        <v/>
      </c>
      <c r="T73" s="293"/>
      <c r="U73" s="850" t="str">
        <f t="shared" si="38"/>
        <v/>
      </c>
      <c r="V73" s="1290"/>
      <c r="W73" s="773" t="str">
        <f t="shared" si="39"/>
        <v/>
      </c>
      <c r="X73" s="774" t="str">
        <f t="shared" si="40"/>
        <v/>
      </c>
      <c r="Y73" s="1311"/>
      <c r="Z73" s="1308" t="str">
        <f t="shared" si="41"/>
        <v/>
      </c>
      <c r="AA73" s="777"/>
      <c r="AB73" s="780"/>
      <c r="AC73" s="851" t="str">
        <f>IF(AB73="","",IF(I73=1,VLOOKUP(AB73,男子種目コード!$D$2:$E$16,2,FALSE),IF(I73=2,VLOOKUP(AB73,女子種目コード!$D$2:$E$16,2,FALSE))))</f>
        <v/>
      </c>
      <c r="AD73" s="845"/>
      <c r="AE73" s="781"/>
      <c r="AF73" s="851"/>
      <c r="AG73" s="846"/>
      <c r="AH73" s="802"/>
      <c r="AI73" s="802"/>
      <c r="AK73" s="868"/>
      <c r="AL73" s="797" t="str">
        <f t="shared" si="42"/>
        <v/>
      </c>
      <c r="AM73" s="807"/>
      <c r="AN73" s="807"/>
      <c r="AO73" s="807"/>
      <c r="AP73" s="807"/>
      <c r="AQ73" s="807"/>
      <c r="AR73" s="807"/>
      <c r="AS73" s="807"/>
      <c r="AT73" s="847">
        <f t="shared" si="30"/>
        <v>0</v>
      </c>
      <c r="AU73" s="807"/>
      <c r="AV73" s="797">
        <f t="shared" si="43"/>
        <v>0</v>
      </c>
      <c r="AW73" s="797" t="str">
        <f t="shared" si="31"/>
        <v/>
      </c>
      <c r="AX73" s="797" t="str">
        <f t="shared" si="32"/>
        <v/>
      </c>
      <c r="AY73" s="807"/>
      <c r="AZ73" s="807"/>
      <c r="BA73" s="807"/>
      <c r="BB73" s="807"/>
      <c r="BG73" s="807"/>
      <c r="BH73" s="1169"/>
      <c r="BI73" s="1169"/>
      <c r="BJ73" s="1169"/>
      <c r="BK73" s="1169"/>
      <c r="BL73" s="1169"/>
    </row>
    <row r="74" spans="1:64">
      <c r="A74" s="839">
        <f t="shared" si="33"/>
        <v>0</v>
      </c>
      <c r="B74" s="844" t="str">
        <f>前年度登録!AE71</f>
        <v/>
      </c>
      <c r="C74" s="1286">
        <f t="shared" si="34"/>
        <v>0</v>
      </c>
      <c r="D74" s="848"/>
      <c r="E74" s="849">
        <f>前年度登録!T71</f>
        <v>0</v>
      </c>
      <c r="F74" s="694" t="str">
        <f>前年度登録!DB71</f>
        <v/>
      </c>
      <c r="G74" s="1134" t="str">
        <f>前年度登録!AO71</f>
        <v/>
      </c>
      <c r="H74" s="663" t="str">
        <f>前年度登録!DB71</f>
        <v/>
      </c>
      <c r="I74" s="290" t="str">
        <f>前年度登録!AN71</f>
        <v/>
      </c>
      <c r="J74" s="359" t="str">
        <f>前年度登録!DC71</f>
        <v/>
      </c>
      <c r="K74" s="1247">
        <f>前年度登録!DE71</f>
        <v>0</v>
      </c>
      <c r="L74" s="1037" t="str">
        <f>前年度登録!DJ71</f>
        <v>00</v>
      </c>
      <c r="M74" s="844" t="s">
        <v>1061</v>
      </c>
      <c r="N74" s="1248">
        <f>前年度登録!S71</f>
        <v>0</v>
      </c>
      <c r="O74" s="291"/>
      <c r="P74" s="292" t="str">
        <f t="shared" si="35"/>
        <v/>
      </c>
      <c r="Q74" s="623" t="str">
        <f>IF(O74="","",HLOOKUP(O74,前年度登録!$AW$3:$CW$118,69,FALSE))</f>
        <v/>
      </c>
      <c r="R74" s="773" t="str">
        <f t="shared" si="36"/>
        <v/>
      </c>
      <c r="S74" s="774" t="str">
        <f t="shared" si="37"/>
        <v/>
      </c>
      <c r="T74" s="293"/>
      <c r="U74" s="850" t="str">
        <f t="shared" si="38"/>
        <v/>
      </c>
      <c r="V74" s="1290"/>
      <c r="W74" s="773" t="str">
        <f t="shared" si="39"/>
        <v/>
      </c>
      <c r="X74" s="774" t="str">
        <f t="shared" si="40"/>
        <v/>
      </c>
      <c r="Y74" s="1311"/>
      <c r="Z74" s="1308" t="str">
        <f t="shared" si="41"/>
        <v/>
      </c>
      <c r="AA74" s="777"/>
      <c r="AB74" s="780"/>
      <c r="AC74" s="851" t="str">
        <f>IF(AB74="","",IF(I74=1,VLOOKUP(AB74,男子種目コード!$D$2:$E$16,2,FALSE),IF(I74=2,VLOOKUP(AB74,女子種目コード!$D$2:$E$16,2,FALSE))))</f>
        <v/>
      </c>
      <c r="AD74" s="845"/>
      <c r="AE74" s="781"/>
      <c r="AF74" s="851"/>
      <c r="AG74" s="846"/>
      <c r="AH74" s="802"/>
      <c r="AI74" s="802"/>
      <c r="AK74" s="868"/>
      <c r="AL74" s="797" t="str">
        <f t="shared" si="42"/>
        <v/>
      </c>
      <c r="AM74" s="807"/>
      <c r="AN74" s="807"/>
      <c r="AO74" s="807"/>
      <c r="AP74" s="807"/>
      <c r="AQ74" s="807"/>
      <c r="AR74" s="807"/>
      <c r="AS74" s="807"/>
      <c r="AT74" s="847">
        <f t="shared" si="30"/>
        <v>0</v>
      </c>
      <c r="AU74" s="807"/>
      <c r="AV74" s="797">
        <f t="shared" si="43"/>
        <v>0</v>
      </c>
      <c r="AW74" s="797" t="str">
        <f t="shared" si="31"/>
        <v/>
      </c>
      <c r="AX74" s="797" t="str">
        <f t="shared" si="32"/>
        <v/>
      </c>
      <c r="AY74" s="807"/>
      <c r="AZ74" s="807"/>
      <c r="BA74" s="807"/>
      <c r="BB74" s="807"/>
      <c r="BG74" s="807"/>
      <c r="BH74" s="1169"/>
      <c r="BI74" s="1169"/>
      <c r="BJ74" s="1169"/>
      <c r="BK74" s="1169"/>
      <c r="BL74" s="1169"/>
    </row>
    <row r="75" spans="1:64">
      <c r="A75" s="839">
        <f t="shared" si="33"/>
        <v>0</v>
      </c>
      <c r="B75" s="844" t="str">
        <f>前年度登録!AE72</f>
        <v/>
      </c>
      <c r="C75" s="1286">
        <f t="shared" si="34"/>
        <v>0</v>
      </c>
      <c r="D75" s="848"/>
      <c r="E75" s="849">
        <f>前年度登録!T72</f>
        <v>0</v>
      </c>
      <c r="F75" s="694" t="str">
        <f>前年度登録!DB72</f>
        <v/>
      </c>
      <c r="G75" s="1134" t="str">
        <f>前年度登録!AO72</f>
        <v/>
      </c>
      <c r="H75" s="663" t="str">
        <f>前年度登録!DB72</f>
        <v/>
      </c>
      <c r="I75" s="290" t="str">
        <f>前年度登録!AN72</f>
        <v/>
      </c>
      <c r="J75" s="359" t="str">
        <f>前年度登録!DC72</f>
        <v/>
      </c>
      <c r="K75" s="1247">
        <f>前年度登録!DE72</f>
        <v>0</v>
      </c>
      <c r="L75" s="1037" t="str">
        <f>前年度登録!DJ72</f>
        <v>00</v>
      </c>
      <c r="M75" s="844" t="s">
        <v>1061</v>
      </c>
      <c r="N75" s="1248">
        <f>前年度登録!S72</f>
        <v>0</v>
      </c>
      <c r="O75" s="291"/>
      <c r="P75" s="292" t="str">
        <f t="shared" si="35"/>
        <v/>
      </c>
      <c r="Q75" s="623" t="str">
        <f>IF(O75="","",HLOOKUP(O75,前年度登録!$AW$3:$CW$118,70,FALSE))</f>
        <v/>
      </c>
      <c r="R75" s="773" t="str">
        <f t="shared" si="36"/>
        <v/>
      </c>
      <c r="S75" s="774" t="str">
        <f t="shared" si="37"/>
        <v/>
      </c>
      <c r="T75" s="293"/>
      <c r="U75" s="850" t="str">
        <f t="shared" si="38"/>
        <v/>
      </c>
      <c r="V75" s="1290"/>
      <c r="W75" s="773" t="str">
        <f t="shared" si="39"/>
        <v/>
      </c>
      <c r="X75" s="774" t="str">
        <f t="shared" si="40"/>
        <v/>
      </c>
      <c r="Y75" s="1311"/>
      <c r="Z75" s="1308" t="str">
        <f t="shared" si="41"/>
        <v/>
      </c>
      <c r="AA75" s="777"/>
      <c r="AB75" s="780"/>
      <c r="AC75" s="851" t="str">
        <f>IF(AB75="","",IF(I75=1,VLOOKUP(AB75,男子種目コード!$D$2:$E$16,2,FALSE),IF(I75=2,VLOOKUP(AB75,女子種目コード!$D$2:$E$16,2,FALSE))))</f>
        <v/>
      </c>
      <c r="AD75" s="845"/>
      <c r="AE75" s="781"/>
      <c r="AF75" s="851"/>
      <c r="AG75" s="846"/>
      <c r="AH75" s="802"/>
      <c r="AI75" s="802"/>
      <c r="AK75" s="868"/>
      <c r="AL75" s="797" t="str">
        <f t="shared" si="42"/>
        <v/>
      </c>
      <c r="AM75" s="807"/>
      <c r="AN75" s="807"/>
      <c r="AO75" s="807"/>
      <c r="AP75" s="807"/>
      <c r="AQ75" s="807"/>
      <c r="AR75" s="807"/>
      <c r="AS75" s="807"/>
      <c r="AT75" s="847">
        <f t="shared" si="30"/>
        <v>0</v>
      </c>
      <c r="AU75" s="807"/>
      <c r="AV75" s="797">
        <f t="shared" si="43"/>
        <v>0</v>
      </c>
      <c r="AW75" s="797" t="str">
        <f t="shared" si="31"/>
        <v/>
      </c>
      <c r="AX75" s="797" t="str">
        <f t="shared" si="32"/>
        <v/>
      </c>
      <c r="AY75" s="807"/>
      <c r="AZ75" s="807"/>
      <c r="BA75" s="807"/>
      <c r="BB75" s="807"/>
      <c r="BG75" s="807"/>
      <c r="BH75" s="1169"/>
      <c r="BI75" s="1169"/>
      <c r="BJ75" s="1169"/>
      <c r="BK75" s="1169"/>
      <c r="BL75" s="1169"/>
    </row>
    <row r="76" spans="1:64">
      <c r="A76" s="839">
        <f t="shared" si="33"/>
        <v>0</v>
      </c>
      <c r="B76" s="844" t="str">
        <f>前年度登録!AE73</f>
        <v/>
      </c>
      <c r="C76" s="1286">
        <f t="shared" si="34"/>
        <v>0</v>
      </c>
      <c r="D76" s="848"/>
      <c r="E76" s="849">
        <f>前年度登録!T73</f>
        <v>0</v>
      </c>
      <c r="F76" s="694" t="str">
        <f>前年度登録!DB73</f>
        <v/>
      </c>
      <c r="G76" s="1134" t="str">
        <f>前年度登録!AO73</f>
        <v/>
      </c>
      <c r="H76" s="663" t="str">
        <f>前年度登録!DB73</f>
        <v/>
      </c>
      <c r="I76" s="290" t="str">
        <f>前年度登録!AN73</f>
        <v/>
      </c>
      <c r="J76" s="359" t="str">
        <f>前年度登録!DC73</f>
        <v/>
      </c>
      <c r="K76" s="1247">
        <f>前年度登録!DE73</f>
        <v>0</v>
      </c>
      <c r="L76" s="1037" t="str">
        <f>前年度登録!DJ73</f>
        <v>00</v>
      </c>
      <c r="M76" s="844" t="s">
        <v>1061</v>
      </c>
      <c r="N76" s="1248">
        <f>前年度登録!S73</f>
        <v>0</v>
      </c>
      <c r="O76" s="291"/>
      <c r="P76" s="292" t="str">
        <f t="shared" si="35"/>
        <v/>
      </c>
      <c r="Q76" s="623" t="str">
        <f>IF(O76="","",HLOOKUP(O76,前年度登録!$AW$3:$CW$118,71,FALSE))</f>
        <v/>
      </c>
      <c r="R76" s="773" t="str">
        <f t="shared" si="36"/>
        <v/>
      </c>
      <c r="S76" s="774" t="str">
        <f t="shared" si="37"/>
        <v/>
      </c>
      <c r="T76" s="293"/>
      <c r="U76" s="850" t="str">
        <f t="shared" si="38"/>
        <v/>
      </c>
      <c r="V76" s="1290"/>
      <c r="W76" s="773" t="str">
        <f t="shared" si="39"/>
        <v/>
      </c>
      <c r="X76" s="774" t="str">
        <f t="shared" si="40"/>
        <v/>
      </c>
      <c r="Y76" s="1311"/>
      <c r="Z76" s="1308" t="str">
        <f t="shared" si="41"/>
        <v/>
      </c>
      <c r="AA76" s="777"/>
      <c r="AB76" s="780"/>
      <c r="AC76" s="851" t="str">
        <f>IF(AB76="","",IF(I76=1,VLOOKUP(AB76,男子種目コード!$D$2:$E$16,2,FALSE),IF(I76=2,VLOOKUP(AB76,女子種目コード!$D$2:$E$16,2,FALSE))))</f>
        <v/>
      </c>
      <c r="AD76" s="845"/>
      <c r="AE76" s="781"/>
      <c r="AF76" s="851"/>
      <c r="AG76" s="846"/>
      <c r="AH76" s="802"/>
      <c r="AI76" s="802"/>
      <c r="AK76" s="868"/>
      <c r="AL76" s="797" t="str">
        <f t="shared" si="42"/>
        <v/>
      </c>
      <c r="AM76" s="807"/>
      <c r="AN76" s="807"/>
      <c r="AO76" s="807"/>
      <c r="AP76" s="807"/>
      <c r="AQ76" s="807"/>
      <c r="AR76" s="807"/>
      <c r="AS76" s="807"/>
      <c r="AT76" s="847">
        <f t="shared" si="30"/>
        <v>0</v>
      </c>
      <c r="AU76" s="807"/>
      <c r="AV76" s="797">
        <f t="shared" si="43"/>
        <v>0</v>
      </c>
      <c r="AW76" s="797" t="str">
        <f t="shared" si="31"/>
        <v/>
      </c>
      <c r="AX76" s="797" t="str">
        <f t="shared" si="32"/>
        <v/>
      </c>
      <c r="AY76" s="807"/>
      <c r="AZ76" s="807"/>
      <c r="BA76" s="807"/>
      <c r="BB76" s="807"/>
      <c r="BG76" s="807"/>
      <c r="BH76" s="1169"/>
      <c r="BI76" s="1169"/>
      <c r="BJ76" s="1169"/>
      <c r="BK76" s="1169"/>
      <c r="BL76" s="1169"/>
    </row>
    <row r="77" spans="1:64">
      <c r="A77" s="839">
        <f t="shared" si="33"/>
        <v>0</v>
      </c>
      <c r="B77" s="844" t="str">
        <f>前年度登録!AE74</f>
        <v/>
      </c>
      <c r="C77" s="1286">
        <f t="shared" si="34"/>
        <v>0</v>
      </c>
      <c r="D77" s="848"/>
      <c r="E77" s="849">
        <f>前年度登録!T74</f>
        <v>0</v>
      </c>
      <c r="F77" s="694" t="str">
        <f>前年度登録!DB74</f>
        <v/>
      </c>
      <c r="G77" s="1134" t="str">
        <f>前年度登録!AO74</f>
        <v/>
      </c>
      <c r="H77" s="663" t="str">
        <f>前年度登録!DB74</f>
        <v/>
      </c>
      <c r="I77" s="290" t="str">
        <f>前年度登録!AN74</f>
        <v/>
      </c>
      <c r="J77" s="359" t="str">
        <f>前年度登録!DC74</f>
        <v/>
      </c>
      <c r="K77" s="1247">
        <f>前年度登録!DE74</f>
        <v>0</v>
      </c>
      <c r="L77" s="1037" t="str">
        <f>前年度登録!DJ74</f>
        <v>00</v>
      </c>
      <c r="M77" s="844" t="s">
        <v>1061</v>
      </c>
      <c r="N77" s="1248">
        <f>前年度登録!S74</f>
        <v>0</v>
      </c>
      <c r="O77" s="291"/>
      <c r="P77" s="292" t="str">
        <f t="shared" si="35"/>
        <v/>
      </c>
      <c r="Q77" s="623" t="str">
        <f>IF(O77="","",HLOOKUP(O77,前年度登録!$AW$3:$CW$118,72,FALSE))</f>
        <v/>
      </c>
      <c r="R77" s="773" t="str">
        <f t="shared" si="36"/>
        <v/>
      </c>
      <c r="S77" s="774" t="str">
        <f t="shared" si="37"/>
        <v/>
      </c>
      <c r="T77" s="293"/>
      <c r="U77" s="850" t="str">
        <f t="shared" si="38"/>
        <v/>
      </c>
      <c r="V77" s="1290"/>
      <c r="W77" s="773" t="str">
        <f t="shared" si="39"/>
        <v/>
      </c>
      <c r="X77" s="774" t="str">
        <f t="shared" si="40"/>
        <v/>
      </c>
      <c r="Y77" s="1311"/>
      <c r="Z77" s="1308" t="str">
        <f t="shared" si="41"/>
        <v/>
      </c>
      <c r="AA77" s="777"/>
      <c r="AB77" s="780"/>
      <c r="AC77" s="851" t="str">
        <f>IF(AB77="","",IF(I77=1,VLOOKUP(AB77,男子種目コード!$D$2:$E$16,2,FALSE),IF(I77=2,VLOOKUP(AB77,女子種目コード!$D$2:$E$16,2,FALSE))))</f>
        <v/>
      </c>
      <c r="AD77" s="845"/>
      <c r="AE77" s="781"/>
      <c r="AF77" s="851"/>
      <c r="AG77" s="846"/>
      <c r="AH77" s="802"/>
      <c r="AI77" s="802"/>
      <c r="AK77" s="868"/>
      <c r="AL77" s="797" t="str">
        <f t="shared" si="42"/>
        <v/>
      </c>
      <c r="AM77" s="807"/>
      <c r="AN77" s="807"/>
      <c r="AO77" s="807"/>
      <c r="AP77" s="807"/>
      <c r="AQ77" s="807"/>
      <c r="AR77" s="807"/>
      <c r="AS77" s="807"/>
      <c r="AT77" s="847">
        <f t="shared" si="30"/>
        <v>0</v>
      </c>
      <c r="AU77" s="807"/>
      <c r="AV77" s="797">
        <f t="shared" si="43"/>
        <v>0</v>
      </c>
      <c r="AW77" s="797" t="str">
        <f t="shared" si="31"/>
        <v/>
      </c>
      <c r="AX77" s="797" t="str">
        <f t="shared" si="32"/>
        <v/>
      </c>
      <c r="AY77" s="807"/>
      <c r="AZ77" s="807"/>
      <c r="BA77" s="807"/>
      <c r="BB77" s="807"/>
      <c r="BG77" s="807"/>
      <c r="BH77" s="1169"/>
      <c r="BI77" s="1169"/>
      <c r="BJ77" s="1169"/>
      <c r="BK77" s="1169"/>
      <c r="BL77" s="1169"/>
    </row>
    <row r="78" spans="1:64">
      <c r="A78" s="839">
        <f t="shared" si="33"/>
        <v>0</v>
      </c>
      <c r="B78" s="844" t="str">
        <f>前年度登録!AE75</f>
        <v/>
      </c>
      <c r="C78" s="1286">
        <f t="shared" si="34"/>
        <v>0</v>
      </c>
      <c r="D78" s="848"/>
      <c r="E78" s="849">
        <f>前年度登録!T75</f>
        <v>0</v>
      </c>
      <c r="F78" s="694" t="str">
        <f>前年度登録!DB75</f>
        <v/>
      </c>
      <c r="G78" s="1134" t="str">
        <f>前年度登録!AO75</f>
        <v/>
      </c>
      <c r="H78" s="663" t="str">
        <f>前年度登録!DB75</f>
        <v/>
      </c>
      <c r="I78" s="290" t="str">
        <f>前年度登録!AN75</f>
        <v/>
      </c>
      <c r="J78" s="359" t="str">
        <f>前年度登録!DC75</f>
        <v/>
      </c>
      <c r="K78" s="1247">
        <f>前年度登録!DE75</f>
        <v>0</v>
      </c>
      <c r="L78" s="1037" t="str">
        <f>前年度登録!DJ75</f>
        <v>00</v>
      </c>
      <c r="M78" s="844" t="s">
        <v>1061</v>
      </c>
      <c r="N78" s="1248">
        <f>前年度登録!S75</f>
        <v>0</v>
      </c>
      <c r="O78" s="291"/>
      <c r="P78" s="292" t="str">
        <f t="shared" si="35"/>
        <v/>
      </c>
      <c r="Q78" s="623" t="str">
        <f>IF(O78="","",HLOOKUP(O78,前年度登録!$AW$3:$CW$118,73,FALSE))</f>
        <v/>
      </c>
      <c r="R78" s="773" t="str">
        <f t="shared" si="36"/>
        <v/>
      </c>
      <c r="S78" s="774" t="str">
        <f t="shared" si="37"/>
        <v/>
      </c>
      <c r="T78" s="293"/>
      <c r="U78" s="850" t="str">
        <f t="shared" si="38"/>
        <v/>
      </c>
      <c r="V78" s="1290"/>
      <c r="W78" s="773" t="str">
        <f t="shared" si="39"/>
        <v/>
      </c>
      <c r="X78" s="774" t="str">
        <f t="shared" si="40"/>
        <v/>
      </c>
      <c r="Y78" s="1311"/>
      <c r="Z78" s="1308" t="str">
        <f t="shared" si="41"/>
        <v/>
      </c>
      <c r="AA78" s="777"/>
      <c r="AB78" s="780"/>
      <c r="AC78" s="851" t="str">
        <f>IF(AB78="","",IF(I78=1,VLOOKUP(AB78,男子種目コード!$D$2:$E$16,2,FALSE),IF(I78=2,VLOOKUP(AB78,女子種目コード!$D$2:$E$16,2,FALSE))))</f>
        <v/>
      </c>
      <c r="AD78" s="845"/>
      <c r="AE78" s="781"/>
      <c r="AF78" s="851"/>
      <c r="AG78" s="846"/>
      <c r="AH78" s="802"/>
      <c r="AI78" s="802"/>
      <c r="AK78" s="868"/>
      <c r="AL78" s="797" t="str">
        <f t="shared" si="42"/>
        <v/>
      </c>
      <c r="AM78" s="807"/>
      <c r="AN78" s="807"/>
      <c r="AO78" s="807"/>
      <c r="AP78" s="807"/>
      <c r="AQ78" s="807"/>
      <c r="AR78" s="807"/>
      <c r="AS78" s="807"/>
      <c r="AT78" s="847">
        <f t="shared" si="30"/>
        <v>0</v>
      </c>
      <c r="AU78" s="807"/>
      <c r="AV78" s="797">
        <f t="shared" si="43"/>
        <v>0</v>
      </c>
      <c r="AW78" s="797" t="str">
        <f t="shared" si="31"/>
        <v/>
      </c>
      <c r="AX78" s="797" t="str">
        <f t="shared" si="32"/>
        <v/>
      </c>
      <c r="AY78" s="807"/>
      <c r="AZ78" s="807"/>
      <c r="BA78" s="807"/>
      <c r="BB78" s="807"/>
      <c r="BG78" s="807"/>
      <c r="BH78" s="1169"/>
      <c r="BI78" s="1169"/>
      <c r="BJ78" s="1169"/>
      <c r="BK78" s="1169"/>
      <c r="BL78" s="1169"/>
    </row>
    <row r="79" spans="1:64">
      <c r="A79" s="839">
        <f t="shared" si="33"/>
        <v>0</v>
      </c>
      <c r="B79" s="844" t="str">
        <f>前年度登録!AE76</f>
        <v/>
      </c>
      <c r="C79" s="1286">
        <f t="shared" si="34"/>
        <v>0</v>
      </c>
      <c r="D79" s="848"/>
      <c r="E79" s="849">
        <f>前年度登録!T76</f>
        <v>0</v>
      </c>
      <c r="F79" s="694" t="str">
        <f>前年度登録!DB76</f>
        <v/>
      </c>
      <c r="G79" s="1134" t="str">
        <f>前年度登録!AO76</f>
        <v/>
      </c>
      <c r="H79" s="663" t="str">
        <f>前年度登録!DB76</f>
        <v/>
      </c>
      <c r="I79" s="290" t="str">
        <f>前年度登録!AN76</f>
        <v/>
      </c>
      <c r="J79" s="359" t="str">
        <f>前年度登録!DC76</f>
        <v/>
      </c>
      <c r="K79" s="1247">
        <f>前年度登録!DE76</f>
        <v>0</v>
      </c>
      <c r="L79" s="1037" t="str">
        <f>前年度登録!DJ76</f>
        <v>00</v>
      </c>
      <c r="M79" s="844" t="s">
        <v>1061</v>
      </c>
      <c r="N79" s="1248">
        <f>前年度登録!S76</f>
        <v>0</v>
      </c>
      <c r="O79" s="291"/>
      <c r="P79" s="292" t="str">
        <f t="shared" si="35"/>
        <v/>
      </c>
      <c r="Q79" s="623" t="str">
        <f>IF(O79="","",HLOOKUP(O79,前年度登録!$AW$3:$CW$118,74,FALSE))</f>
        <v/>
      </c>
      <c r="R79" s="773" t="str">
        <f t="shared" si="36"/>
        <v/>
      </c>
      <c r="S79" s="774" t="str">
        <f t="shared" si="37"/>
        <v/>
      </c>
      <c r="T79" s="293"/>
      <c r="U79" s="850" t="str">
        <f t="shared" si="38"/>
        <v/>
      </c>
      <c r="V79" s="1290"/>
      <c r="W79" s="773" t="str">
        <f t="shared" si="39"/>
        <v/>
      </c>
      <c r="X79" s="774" t="str">
        <f t="shared" si="40"/>
        <v/>
      </c>
      <c r="Y79" s="1311"/>
      <c r="Z79" s="1308" t="str">
        <f t="shared" si="41"/>
        <v/>
      </c>
      <c r="AA79" s="777"/>
      <c r="AB79" s="780"/>
      <c r="AC79" s="851" t="str">
        <f>IF(AB79="","",IF(I79=1,VLOOKUP(AB79,男子種目コード!$D$2:$E$16,2,FALSE),IF(I79=2,VLOOKUP(AB79,女子種目コード!$D$2:$E$16,2,FALSE))))</f>
        <v/>
      </c>
      <c r="AD79" s="845"/>
      <c r="AE79" s="781"/>
      <c r="AF79" s="851"/>
      <c r="AG79" s="846"/>
      <c r="AH79" s="802"/>
      <c r="AI79" s="802"/>
      <c r="AK79" s="868"/>
      <c r="AL79" s="797" t="str">
        <f t="shared" si="42"/>
        <v/>
      </c>
      <c r="AM79" s="807"/>
      <c r="AN79" s="807"/>
      <c r="AO79" s="807"/>
      <c r="AP79" s="807"/>
      <c r="AQ79" s="807"/>
      <c r="AR79" s="807"/>
      <c r="AS79" s="807"/>
      <c r="AT79" s="847">
        <f t="shared" si="30"/>
        <v>0</v>
      </c>
      <c r="AU79" s="807"/>
      <c r="AV79" s="797">
        <f t="shared" si="43"/>
        <v>0</v>
      </c>
      <c r="AW79" s="797" t="str">
        <f t="shared" si="31"/>
        <v/>
      </c>
      <c r="AX79" s="797" t="str">
        <f t="shared" si="32"/>
        <v/>
      </c>
      <c r="AY79" s="807"/>
      <c r="AZ79" s="807"/>
      <c r="BA79" s="807"/>
      <c r="BB79" s="807"/>
      <c r="BG79" s="807"/>
      <c r="BH79" s="1169"/>
      <c r="BI79" s="1169"/>
      <c r="BJ79" s="1169"/>
      <c r="BK79" s="1169"/>
      <c r="BL79" s="1169"/>
    </row>
    <row r="80" spans="1:64">
      <c r="A80" s="839">
        <f t="shared" si="33"/>
        <v>0</v>
      </c>
      <c r="B80" s="844" t="str">
        <f>前年度登録!AE77</f>
        <v/>
      </c>
      <c r="C80" s="1286">
        <f t="shared" si="34"/>
        <v>0</v>
      </c>
      <c r="D80" s="848"/>
      <c r="E80" s="849">
        <f>前年度登録!T77</f>
        <v>0</v>
      </c>
      <c r="F80" s="694" t="str">
        <f>前年度登録!DB77</f>
        <v/>
      </c>
      <c r="G80" s="1134" t="str">
        <f>前年度登録!AO77</f>
        <v/>
      </c>
      <c r="H80" s="663" t="str">
        <f>前年度登録!DB77</f>
        <v/>
      </c>
      <c r="I80" s="290" t="str">
        <f>前年度登録!AN77</f>
        <v/>
      </c>
      <c r="J80" s="359" t="str">
        <f>前年度登録!DC77</f>
        <v/>
      </c>
      <c r="K80" s="1247">
        <f>前年度登録!DE77</f>
        <v>0</v>
      </c>
      <c r="L80" s="1037" t="str">
        <f>前年度登録!DJ77</f>
        <v>00</v>
      </c>
      <c r="M80" s="844" t="s">
        <v>1061</v>
      </c>
      <c r="N80" s="1248">
        <f>前年度登録!S77</f>
        <v>0</v>
      </c>
      <c r="O80" s="291"/>
      <c r="P80" s="292" t="str">
        <f t="shared" si="35"/>
        <v/>
      </c>
      <c r="Q80" s="623" t="str">
        <f>IF(O80="","",HLOOKUP(O80,前年度登録!$AW$3:$CW$118,75,FALSE))</f>
        <v/>
      </c>
      <c r="R80" s="773" t="str">
        <f t="shared" si="36"/>
        <v/>
      </c>
      <c r="S80" s="774" t="str">
        <f t="shared" si="37"/>
        <v/>
      </c>
      <c r="T80" s="293"/>
      <c r="U80" s="850" t="str">
        <f t="shared" si="38"/>
        <v/>
      </c>
      <c r="V80" s="1290"/>
      <c r="W80" s="773" t="str">
        <f t="shared" si="39"/>
        <v/>
      </c>
      <c r="X80" s="774" t="str">
        <f t="shared" si="40"/>
        <v/>
      </c>
      <c r="Y80" s="1311"/>
      <c r="Z80" s="1308" t="str">
        <f t="shared" si="41"/>
        <v/>
      </c>
      <c r="AA80" s="777"/>
      <c r="AB80" s="780"/>
      <c r="AC80" s="851" t="str">
        <f>IF(AB80="","",IF(I80=1,VLOOKUP(AB80,男子種目コード!$D$2:$E$16,2,FALSE),IF(I80=2,VLOOKUP(AB80,女子種目コード!$D$2:$E$16,2,FALSE))))</f>
        <v/>
      </c>
      <c r="AD80" s="845"/>
      <c r="AE80" s="781"/>
      <c r="AF80" s="851"/>
      <c r="AG80" s="846"/>
      <c r="AH80" s="802"/>
      <c r="AI80" s="802"/>
      <c r="AK80" s="868"/>
      <c r="AL80" s="797" t="str">
        <f t="shared" si="42"/>
        <v/>
      </c>
      <c r="AM80" s="807"/>
      <c r="AN80" s="807"/>
      <c r="AO80" s="807"/>
      <c r="AP80" s="807"/>
      <c r="AQ80" s="807"/>
      <c r="AR80" s="807"/>
      <c r="AS80" s="807"/>
      <c r="AT80" s="847">
        <f t="shared" si="30"/>
        <v>0</v>
      </c>
      <c r="AU80" s="807"/>
      <c r="AV80" s="797">
        <f t="shared" si="43"/>
        <v>0</v>
      </c>
      <c r="AW80" s="797" t="str">
        <f t="shared" si="31"/>
        <v/>
      </c>
      <c r="AX80" s="797" t="str">
        <f t="shared" si="32"/>
        <v/>
      </c>
      <c r="AY80" s="807"/>
      <c r="AZ80" s="807"/>
      <c r="BA80" s="807"/>
      <c r="BB80" s="807"/>
      <c r="BG80" s="807"/>
      <c r="BH80" s="1169"/>
      <c r="BI80" s="1169"/>
      <c r="BJ80" s="1169"/>
      <c r="BK80" s="1169"/>
      <c r="BL80" s="1169"/>
    </row>
    <row r="81" spans="1:64">
      <c r="A81" s="839">
        <f t="shared" si="33"/>
        <v>0</v>
      </c>
      <c r="B81" s="844" t="str">
        <f>前年度登録!AE78</f>
        <v/>
      </c>
      <c r="C81" s="1286">
        <f t="shared" si="34"/>
        <v>0</v>
      </c>
      <c r="D81" s="848"/>
      <c r="E81" s="849">
        <f>前年度登録!T78</f>
        <v>0</v>
      </c>
      <c r="F81" s="694" t="str">
        <f>前年度登録!DB78</f>
        <v/>
      </c>
      <c r="G81" s="1134" t="str">
        <f>前年度登録!AO78</f>
        <v/>
      </c>
      <c r="H81" s="663" t="str">
        <f>前年度登録!DB78</f>
        <v/>
      </c>
      <c r="I81" s="290" t="str">
        <f>前年度登録!AN78</f>
        <v/>
      </c>
      <c r="J81" s="359" t="str">
        <f>前年度登録!DC78</f>
        <v/>
      </c>
      <c r="K81" s="1247">
        <f>前年度登録!DE78</f>
        <v>0</v>
      </c>
      <c r="L81" s="1037" t="str">
        <f>前年度登録!DJ78</f>
        <v>00</v>
      </c>
      <c r="M81" s="844" t="s">
        <v>1061</v>
      </c>
      <c r="N81" s="1248">
        <f>前年度登録!S78</f>
        <v>0</v>
      </c>
      <c r="O81" s="291"/>
      <c r="P81" s="292" t="str">
        <f t="shared" si="35"/>
        <v/>
      </c>
      <c r="Q81" s="623" t="str">
        <f>IF(O81="","",HLOOKUP(O81,前年度登録!$AW$3:$CW$118,76,FALSE))</f>
        <v/>
      </c>
      <c r="R81" s="773" t="str">
        <f t="shared" si="36"/>
        <v/>
      </c>
      <c r="S81" s="774" t="str">
        <f t="shared" si="37"/>
        <v/>
      </c>
      <c r="T81" s="293"/>
      <c r="U81" s="850" t="str">
        <f t="shared" si="38"/>
        <v/>
      </c>
      <c r="V81" s="1290"/>
      <c r="W81" s="773" t="str">
        <f t="shared" si="39"/>
        <v/>
      </c>
      <c r="X81" s="774" t="str">
        <f t="shared" si="40"/>
        <v/>
      </c>
      <c r="Y81" s="1311"/>
      <c r="Z81" s="1308" t="str">
        <f t="shared" si="41"/>
        <v/>
      </c>
      <c r="AA81" s="777"/>
      <c r="AB81" s="780"/>
      <c r="AC81" s="851" t="str">
        <f>IF(AB81="","",IF(I81=1,VLOOKUP(AB81,男子種目コード!$D$2:$E$16,2,FALSE),IF(I81=2,VLOOKUP(AB81,女子種目コード!$D$2:$E$16,2,FALSE))))</f>
        <v/>
      </c>
      <c r="AD81" s="845"/>
      <c r="AE81" s="781"/>
      <c r="AF81" s="851"/>
      <c r="AG81" s="846"/>
      <c r="AH81" s="802"/>
      <c r="AI81" s="802"/>
      <c r="AK81" s="868"/>
      <c r="AL81" s="797" t="str">
        <f t="shared" si="42"/>
        <v/>
      </c>
      <c r="AM81" s="807"/>
      <c r="AN81" s="807"/>
      <c r="AO81" s="807"/>
      <c r="AP81" s="807"/>
      <c r="AQ81" s="807"/>
      <c r="AR81" s="807"/>
      <c r="AS81" s="807"/>
      <c r="AT81" s="847">
        <f t="shared" si="30"/>
        <v>0</v>
      </c>
      <c r="AU81" s="807"/>
      <c r="AV81" s="797">
        <f t="shared" si="43"/>
        <v>0</v>
      </c>
      <c r="AW81" s="797" t="str">
        <f t="shared" si="31"/>
        <v/>
      </c>
      <c r="AX81" s="797" t="str">
        <f t="shared" si="32"/>
        <v/>
      </c>
      <c r="AY81" s="807"/>
      <c r="AZ81" s="807"/>
      <c r="BA81" s="807"/>
      <c r="BB81" s="807"/>
      <c r="BG81" s="807"/>
      <c r="BH81" s="1169"/>
      <c r="BI81" s="1169"/>
      <c r="BJ81" s="1169"/>
      <c r="BK81" s="1169"/>
      <c r="BL81" s="1169"/>
    </row>
    <row r="82" spans="1:64">
      <c r="A82" s="839">
        <f t="shared" si="33"/>
        <v>0</v>
      </c>
      <c r="B82" s="844" t="str">
        <f>前年度登録!AE79</f>
        <v/>
      </c>
      <c r="C82" s="1286">
        <f t="shared" si="34"/>
        <v>0</v>
      </c>
      <c r="D82" s="848"/>
      <c r="E82" s="849">
        <f>前年度登録!T79</f>
        <v>0</v>
      </c>
      <c r="F82" s="694" t="str">
        <f>前年度登録!DB79</f>
        <v/>
      </c>
      <c r="G82" s="1134" t="str">
        <f>前年度登録!AO79</f>
        <v/>
      </c>
      <c r="H82" s="663" t="str">
        <f>前年度登録!DB79</f>
        <v/>
      </c>
      <c r="I82" s="290" t="str">
        <f>前年度登録!AN79</f>
        <v/>
      </c>
      <c r="J82" s="359" t="str">
        <f>前年度登録!DC79</f>
        <v/>
      </c>
      <c r="K82" s="1247">
        <f>前年度登録!DE79</f>
        <v>0</v>
      </c>
      <c r="L82" s="1037" t="str">
        <f>前年度登録!DJ79</f>
        <v>00</v>
      </c>
      <c r="M82" s="844" t="s">
        <v>1061</v>
      </c>
      <c r="N82" s="1248">
        <f>前年度登録!S79</f>
        <v>0</v>
      </c>
      <c r="O82" s="291"/>
      <c r="P82" s="292" t="str">
        <f t="shared" si="35"/>
        <v/>
      </c>
      <c r="Q82" s="623" t="str">
        <f>IF(O82="","",HLOOKUP(O82,前年度登録!$AW$3:$CW$118,77,FALSE))</f>
        <v/>
      </c>
      <c r="R82" s="773" t="str">
        <f t="shared" si="36"/>
        <v/>
      </c>
      <c r="S82" s="774" t="str">
        <f t="shared" si="37"/>
        <v/>
      </c>
      <c r="T82" s="293"/>
      <c r="U82" s="850" t="str">
        <f t="shared" si="38"/>
        <v/>
      </c>
      <c r="V82" s="1290"/>
      <c r="W82" s="773" t="str">
        <f t="shared" si="39"/>
        <v/>
      </c>
      <c r="X82" s="774" t="str">
        <f t="shared" si="40"/>
        <v/>
      </c>
      <c r="Y82" s="1311"/>
      <c r="Z82" s="1308" t="str">
        <f t="shared" si="41"/>
        <v/>
      </c>
      <c r="AA82" s="777"/>
      <c r="AB82" s="780"/>
      <c r="AC82" s="851" t="str">
        <f>IF(AB82="","",IF(I82=1,VLOOKUP(AB82,男子種目コード!$D$2:$E$16,2,FALSE),IF(I82=2,VLOOKUP(AB82,女子種目コード!$D$2:$E$16,2,FALSE))))</f>
        <v/>
      </c>
      <c r="AD82" s="845"/>
      <c r="AE82" s="781"/>
      <c r="AF82" s="851"/>
      <c r="AG82" s="846"/>
      <c r="AH82" s="802"/>
      <c r="AI82" s="802"/>
      <c r="AK82" s="868"/>
      <c r="AL82" s="797" t="str">
        <f t="shared" si="42"/>
        <v/>
      </c>
      <c r="AM82" s="807"/>
      <c r="AN82" s="807"/>
      <c r="AO82" s="807"/>
      <c r="AP82" s="807"/>
      <c r="AQ82" s="807"/>
      <c r="AR82" s="807"/>
      <c r="AS82" s="807"/>
      <c r="AT82" s="847">
        <f t="shared" si="30"/>
        <v>0</v>
      </c>
      <c r="AU82" s="807"/>
      <c r="AV82" s="797">
        <f t="shared" si="43"/>
        <v>0</v>
      </c>
      <c r="AW82" s="797" t="str">
        <f t="shared" si="31"/>
        <v/>
      </c>
      <c r="AX82" s="797" t="str">
        <f t="shared" si="32"/>
        <v/>
      </c>
      <c r="AY82" s="807"/>
      <c r="AZ82" s="807"/>
      <c r="BA82" s="807"/>
      <c r="BB82" s="807"/>
      <c r="BG82" s="807"/>
      <c r="BH82" s="1169"/>
      <c r="BI82" s="1169"/>
      <c r="BJ82" s="1169"/>
      <c r="BK82" s="1169"/>
      <c r="BL82" s="1169"/>
    </row>
    <row r="83" spans="1:64">
      <c r="A83" s="839">
        <f t="shared" si="33"/>
        <v>0</v>
      </c>
      <c r="B83" s="844" t="str">
        <f>前年度登録!AE80</f>
        <v/>
      </c>
      <c r="C83" s="1286">
        <f t="shared" si="34"/>
        <v>0</v>
      </c>
      <c r="D83" s="848"/>
      <c r="E83" s="849">
        <f>前年度登録!T80</f>
        <v>0</v>
      </c>
      <c r="F83" s="694" t="str">
        <f>前年度登録!DB80</f>
        <v/>
      </c>
      <c r="G83" s="1134" t="str">
        <f>前年度登録!AO80</f>
        <v/>
      </c>
      <c r="H83" s="663" t="str">
        <f>前年度登録!DB80</f>
        <v/>
      </c>
      <c r="I83" s="290" t="str">
        <f>前年度登録!AN80</f>
        <v/>
      </c>
      <c r="J83" s="359" t="str">
        <f>前年度登録!DC80</f>
        <v/>
      </c>
      <c r="K83" s="1247">
        <f>前年度登録!DE80</f>
        <v>0</v>
      </c>
      <c r="L83" s="1037" t="str">
        <f>前年度登録!DJ80</f>
        <v>00</v>
      </c>
      <c r="M83" s="844" t="s">
        <v>1061</v>
      </c>
      <c r="N83" s="1248">
        <f>前年度登録!S80</f>
        <v>0</v>
      </c>
      <c r="O83" s="291"/>
      <c r="P83" s="292" t="str">
        <f t="shared" si="35"/>
        <v/>
      </c>
      <c r="Q83" s="623" t="str">
        <f>IF(O83="","",HLOOKUP(O83,前年度登録!$AW$3:$CW$118,78,FALSE))</f>
        <v/>
      </c>
      <c r="R83" s="773" t="str">
        <f t="shared" si="36"/>
        <v/>
      </c>
      <c r="S83" s="774" t="str">
        <f t="shared" si="37"/>
        <v/>
      </c>
      <c r="T83" s="293"/>
      <c r="U83" s="850" t="str">
        <f t="shared" si="38"/>
        <v/>
      </c>
      <c r="V83" s="1290"/>
      <c r="W83" s="773" t="str">
        <f t="shared" si="39"/>
        <v/>
      </c>
      <c r="X83" s="774" t="str">
        <f t="shared" si="40"/>
        <v/>
      </c>
      <c r="Y83" s="1311"/>
      <c r="Z83" s="1308" t="str">
        <f t="shared" si="41"/>
        <v/>
      </c>
      <c r="AA83" s="777"/>
      <c r="AB83" s="780"/>
      <c r="AC83" s="851" t="str">
        <f>IF(AB83="","",IF(I83=1,VLOOKUP(AB83,男子種目コード!$D$2:$E$16,2,FALSE),IF(I83=2,VLOOKUP(AB83,女子種目コード!$D$2:$E$16,2,FALSE))))</f>
        <v/>
      </c>
      <c r="AD83" s="845"/>
      <c r="AE83" s="781"/>
      <c r="AF83" s="851"/>
      <c r="AG83" s="846"/>
      <c r="AH83" s="802"/>
      <c r="AI83" s="802"/>
      <c r="AK83" s="868"/>
      <c r="AL83" s="797" t="str">
        <f t="shared" si="42"/>
        <v/>
      </c>
      <c r="AM83" s="807"/>
      <c r="AN83" s="807"/>
      <c r="AO83" s="807"/>
      <c r="AP83" s="807"/>
      <c r="AQ83" s="807"/>
      <c r="AR83" s="807"/>
      <c r="AS83" s="807"/>
      <c r="AT83" s="847">
        <f t="shared" si="30"/>
        <v>0</v>
      </c>
      <c r="AU83" s="807"/>
      <c r="AV83" s="797">
        <f t="shared" si="43"/>
        <v>0</v>
      </c>
      <c r="AW83" s="797" t="str">
        <f t="shared" si="31"/>
        <v/>
      </c>
      <c r="AX83" s="797" t="str">
        <f t="shared" si="32"/>
        <v/>
      </c>
      <c r="AY83" s="807"/>
      <c r="AZ83" s="807"/>
      <c r="BA83" s="807"/>
      <c r="BB83" s="807"/>
      <c r="BG83" s="807"/>
      <c r="BH83" s="1169"/>
      <c r="BI83" s="1169"/>
      <c r="BJ83" s="1169"/>
      <c r="BK83" s="1169"/>
      <c r="BL83" s="1169"/>
    </row>
    <row r="84" spans="1:64">
      <c r="A84" s="839">
        <f t="shared" si="33"/>
        <v>0</v>
      </c>
      <c r="B84" s="844" t="str">
        <f>前年度登録!AE81</f>
        <v/>
      </c>
      <c r="C84" s="1286">
        <f t="shared" si="34"/>
        <v>0</v>
      </c>
      <c r="D84" s="848"/>
      <c r="E84" s="849">
        <f>前年度登録!T81</f>
        <v>0</v>
      </c>
      <c r="F84" s="694" t="str">
        <f>前年度登録!DB81</f>
        <v/>
      </c>
      <c r="G84" s="1134" t="str">
        <f>前年度登録!AO81</f>
        <v/>
      </c>
      <c r="H84" s="663" t="str">
        <f>前年度登録!DB81</f>
        <v/>
      </c>
      <c r="I84" s="290" t="str">
        <f>前年度登録!AN81</f>
        <v/>
      </c>
      <c r="J84" s="359" t="str">
        <f>前年度登録!DC81</f>
        <v/>
      </c>
      <c r="K84" s="1247">
        <f>前年度登録!DE81</f>
        <v>0</v>
      </c>
      <c r="L84" s="1037" t="str">
        <f>前年度登録!DJ81</f>
        <v>00</v>
      </c>
      <c r="M84" s="844" t="s">
        <v>1061</v>
      </c>
      <c r="N84" s="1248">
        <f>前年度登録!S81</f>
        <v>0</v>
      </c>
      <c r="O84" s="291"/>
      <c r="P84" s="292" t="str">
        <f t="shared" si="35"/>
        <v/>
      </c>
      <c r="Q84" s="623" t="str">
        <f>IF(O84="","",HLOOKUP(O84,前年度登録!$AW$3:$CW$118,79,FALSE))</f>
        <v/>
      </c>
      <c r="R84" s="773" t="str">
        <f t="shared" si="36"/>
        <v/>
      </c>
      <c r="S84" s="774" t="str">
        <f t="shared" si="37"/>
        <v/>
      </c>
      <c r="T84" s="293"/>
      <c r="U84" s="850" t="str">
        <f t="shared" si="38"/>
        <v/>
      </c>
      <c r="V84" s="1290"/>
      <c r="W84" s="773" t="str">
        <f t="shared" si="39"/>
        <v/>
      </c>
      <c r="X84" s="774" t="str">
        <f t="shared" si="40"/>
        <v/>
      </c>
      <c r="Y84" s="1311"/>
      <c r="Z84" s="1308" t="str">
        <f t="shared" si="41"/>
        <v/>
      </c>
      <c r="AA84" s="777"/>
      <c r="AB84" s="780"/>
      <c r="AC84" s="851" t="str">
        <f>IF(AB84="","",IF(I84=1,VLOOKUP(AB84,男子種目コード!$D$2:$E$16,2,FALSE),IF(I84=2,VLOOKUP(AB84,女子種目コード!$D$2:$E$16,2,FALSE))))</f>
        <v/>
      </c>
      <c r="AD84" s="845"/>
      <c r="AE84" s="781"/>
      <c r="AF84" s="851"/>
      <c r="AG84" s="846"/>
      <c r="AH84" s="802"/>
      <c r="AI84" s="802"/>
      <c r="AK84" s="868"/>
      <c r="AL84" s="797" t="str">
        <f t="shared" si="42"/>
        <v/>
      </c>
      <c r="AM84" s="807"/>
      <c r="AN84" s="807"/>
      <c r="AO84" s="807"/>
      <c r="AP84" s="807"/>
      <c r="AQ84" s="807"/>
      <c r="AR84" s="807"/>
      <c r="AS84" s="807"/>
      <c r="AT84" s="847">
        <f t="shared" si="30"/>
        <v>0</v>
      </c>
      <c r="AU84" s="807"/>
      <c r="AV84" s="797">
        <f t="shared" si="43"/>
        <v>0</v>
      </c>
      <c r="AW84" s="797" t="str">
        <f t="shared" si="31"/>
        <v/>
      </c>
      <c r="AX84" s="797" t="str">
        <f t="shared" si="32"/>
        <v/>
      </c>
      <c r="AY84" s="807"/>
      <c r="AZ84" s="807"/>
      <c r="BA84" s="807"/>
      <c r="BB84" s="807"/>
      <c r="BG84" s="807"/>
      <c r="BH84" s="1169"/>
      <c r="BI84" s="1169"/>
      <c r="BJ84" s="1169"/>
      <c r="BK84" s="1169"/>
      <c r="BL84" s="1169"/>
    </row>
    <row r="85" spans="1:64">
      <c r="A85" s="839">
        <f t="shared" si="33"/>
        <v>0</v>
      </c>
      <c r="B85" s="844" t="str">
        <f>前年度登録!AE82</f>
        <v/>
      </c>
      <c r="C85" s="1286">
        <f t="shared" si="34"/>
        <v>0</v>
      </c>
      <c r="D85" s="848"/>
      <c r="E85" s="849">
        <f>前年度登録!T82</f>
        <v>0</v>
      </c>
      <c r="F85" s="694" t="str">
        <f>前年度登録!DB82</f>
        <v/>
      </c>
      <c r="G85" s="1134" t="str">
        <f>前年度登録!AO82</f>
        <v/>
      </c>
      <c r="H85" s="663" t="str">
        <f>前年度登録!DB82</f>
        <v/>
      </c>
      <c r="I85" s="290" t="str">
        <f>前年度登録!AN82</f>
        <v/>
      </c>
      <c r="J85" s="359" t="str">
        <f>前年度登録!DC82</f>
        <v/>
      </c>
      <c r="K85" s="1247">
        <f>前年度登録!DE82</f>
        <v>0</v>
      </c>
      <c r="L85" s="1037" t="str">
        <f>前年度登録!DJ82</f>
        <v>00</v>
      </c>
      <c r="M85" s="844" t="s">
        <v>1061</v>
      </c>
      <c r="N85" s="1248">
        <f>前年度登録!S82</f>
        <v>0</v>
      </c>
      <c r="O85" s="291"/>
      <c r="P85" s="292" t="str">
        <f t="shared" si="35"/>
        <v/>
      </c>
      <c r="Q85" s="623" t="str">
        <f>IF(O85="","",HLOOKUP(O85,前年度登録!$AW$3:$CW$118,80,FALSE))</f>
        <v/>
      </c>
      <c r="R85" s="773" t="str">
        <f t="shared" si="36"/>
        <v/>
      </c>
      <c r="S85" s="774" t="str">
        <f t="shared" si="37"/>
        <v/>
      </c>
      <c r="T85" s="293"/>
      <c r="U85" s="850" t="str">
        <f t="shared" si="38"/>
        <v/>
      </c>
      <c r="V85" s="1290"/>
      <c r="W85" s="773" t="str">
        <f t="shared" si="39"/>
        <v/>
      </c>
      <c r="X85" s="774" t="str">
        <f t="shared" si="40"/>
        <v/>
      </c>
      <c r="Y85" s="1311"/>
      <c r="Z85" s="1308" t="str">
        <f t="shared" si="41"/>
        <v/>
      </c>
      <c r="AA85" s="777"/>
      <c r="AB85" s="780"/>
      <c r="AC85" s="851" t="str">
        <f>IF(AB85="","",IF(I85=1,VLOOKUP(AB85,男子種目コード!$D$2:$E$16,2,FALSE),IF(I85=2,VLOOKUP(AB85,女子種目コード!$D$2:$E$16,2,FALSE))))</f>
        <v/>
      </c>
      <c r="AD85" s="845"/>
      <c r="AE85" s="781"/>
      <c r="AF85" s="851"/>
      <c r="AG85" s="846"/>
      <c r="AH85" s="802"/>
      <c r="AI85" s="802"/>
      <c r="AK85" s="868"/>
      <c r="AL85" s="797" t="str">
        <f t="shared" si="42"/>
        <v/>
      </c>
      <c r="AM85" s="807"/>
      <c r="AN85" s="807"/>
      <c r="AO85" s="807"/>
      <c r="AP85" s="807"/>
      <c r="AQ85" s="807"/>
      <c r="AR85" s="807"/>
      <c r="AS85" s="807"/>
      <c r="AT85" s="847">
        <f t="shared" si="30"/>
        <v>0</v>
      </c>
      <c r="AU85" s="807"/>
      <c r="AV85" s="797">
        <f t="shared" si="43"/>
        <v>0</v>
      </c>
      <c r="AW85" s="797" t="str">
        <f t="shared" si="31"/>
        <v/>
      </c>
      <c r="AX85" s="797" t="str">
        <f t="shared" si="32"/>
        <v/>
      </c>
      <c r="AY85" s="807"/>
      <c r="AZ85" s="807"/>
      <c r="BA85" s="807"/>
      <c r="BB85" s="807"/>
      <c r="BG85" s="807"/>
      <c r="BH85" s="1169"/>
      <c r="BI85" s="1169"/>
      <c r="BJ85" s="1169"/>
      <c r="BK85" s="1169"/>
      <c r="BL85" s="1169"/>
    </row>
    <row r="86" spans="1:64">
      <c r="A86" s="839">
        <f t="shared" si="33"/>
        <v>0</v>
      </c>
      <c r="B86" s="844" t="str">
        <f>前年度登録!AE83</f>
        <v/>
      </c>
      <c r="C86" s="1286">
        <f t="shared" si="34"/>
        <v>0</v>
      </c>
      <c r="D86" s="848"/>
      <c r="E86" s="849">
        <f>前年度登録!T83</f>
        <v>0</v>
      </c>
      <c r="F86" s="694" t="str">
        <f>前年度登録!DB83</f>
        <v/>
      </c>
      <c r="G86" s="1134" t="str">
        <f>前年度登録!AO83</f>
        <v/>
      </c>
      <c r="H86" s="663" t="str">
        <f>前年度登録!DB83</f>
        <v/>
      </c>
      <c r="I86" s="290" t="str">
        <f>前年度登録!AN83</f>
        <v/>
      </c>
      <c r="J86" s="359" t="str">
        <f>前年度登録!DC83</f>
        <v/>
      </c>
      <c r="K86" s="1247">
        <f>前年度登録!DE83</f>
        <v>0</v>
      </c>
      <c r="L86" s="1037" t="str">
        <f>前年度登録!DJ83</f>
        <v>00</v>
      </c>
      <c r="M86" s="844" t="s">
        <v>1061</v>
      </c>
      <c r="N86" s="1248">
        <f>前年度登録!S83</f>
        <v>0</v>
      </c>
      <c r="O86" s="291"/>
      <c r="P86" s="292" t="str">
        <f t="shared" si="35"/>
        <v/>
      </c>
      <c r="Q86" s="623" t="str">
        <f>IF(O86="","",HLOOKUP(O86,前年度登録!$AW$3:$CW$118,81,FALSE))</f>
        <v/>
      </c>
      <c r="R86" s="773" t="str">
        <f t="shared" si="36"/>
        <v/>
      </c>
      <c r="S86" s="774" t="str">
        <f t="shared" si="37"/>
        <v/>
      </c>
      <c r="T86" s="293"/>
      <c r="U86" s="850" t="str">
        <f t="shared" si="38"/>
        <v/>
      </c>
      <c r="V86" s="1290"/>
      <c r="W86" s="773" t="str">
        <f t="shared" si="39"/>
        <v/>
      </c>
      <c r="X86" s="774" t="str">
        <f t="shared" si="40"/>
        <v/>
      </c>
      <c r="Y86" s="1311"/>
      <c r="Z86" s="1308" t="str">
        <f t="shared" si="41"/>
        <v/>
      </c>
      <c r="AA86" s="777"/>
      <c r="AB86" s="780"/>
      <c r="AC86" s="851" t="str">
        <f>IF(AB86="","",IF(I86=1,VLOOKUP(AB86,男子種目コード!$D$2:$E$16,2,FALSE),IF(I86=2,VLOOKUP(AB86,女子種目コード!$D$2:$E$16,2,FALSE))))</f>
        <v/>
      </c>
      <c r="AD86" s="845"/>
      <c r="AE86" s="781"/>
      <c r="AF86" s="851"/>
      <c r="AG86" s="846"/>
      <c r="AH86" s="802"/>
      <c r="AI86" s="802"/>
      <c r="AK86" s="868"/>
      <c r="AL86" s="797" t="str">
        <f t="shared" si="42"/>
        <v/>
      </c>
      <c r="AM86" s="807"/>
      <c r="AN86" s="807"/>
      <c r="AO86" s="807"/>
      <c r="AP86" s="807"/>
      <c r="AQ86" s="807"/>
      <c r="AR86" s="807"/>
      <c r="AS86" s="807"/>
      <c r="AT86" s="847">
        <f t="shared" si="30"/>
        <v>0</v>
      </c>
      <c r="AU86" s="807"/>
      <c r="AV86" s="797">
        <f t="shared" si="43"/>
        <v>0</v>
      </c>
      <c r="AW86" s="797" t="str">
        <f t="shared" si="31"/>
        <v/>
      </c>
      <c r="AX86" s="797" t="str">
        <f t="shared" si="32"/>
        <v/>
      </c>
      <c r="AY86" s="807"/>
      <c r="AZ86" s="807"/>
      <c r="BA86" s="807"/>
      <c r="BB86" s="807"/>
      <c r="BG86" s="807"/>
      <c r="BH86" s="1169"/>
      <c r="BI86" s="1169"/>
      <c r="BJ86" s="1169"/>
      <c r="BK86" s="1169"/>
      <c r="BL86" s="1169"/>
    </row>
    <row r="87" spans="1:64">
      <c r="A87" s="839">
        <f t="shared" si="33"/>
        <v>0</v>
      </c>
      <c r="B87" s="844" t="str">
        <f>前年度登録!AE84</f>
        <v/>
      </c>
      <c r="C87" s="1286">
        <f t="shared" si="34"/>
        <v>0</v>
      </c>
      <c r="D87" s="848"/>
      <c r="E87" s="849">
        <f>前年度登録!T84</f>
        <v>0</v>
      </c>
      <c r="F87" s="694" t="str">
        <f>前年度登録!DB84</f>
        <v/>
      </c>
      <c r="G87" s="1134" t="str">
        <f>前年度登録!AO84</f>
        <v/>
      </c>
      <c r="H87" s="663" t="str">
        <f>前年度登録!DB84</f>
        <v/>
      </c>
      <c r="I87" s="290" t="str">
        <f>前年度登録!AN84</f>
        <v/>
      </c>
      <c r="J87" s="359" t="str">
        <f>前年度登録!DC84</f>
        <v/>
      </c>
      <c r="K87" s="1247">
        <f>前年度登録!DE84</f>
        <v>0</v>
      </c>
      <c r="L87" s="1037" t="str">
        <f>前年度登録!DJ84</f>
        <v>00</v>
      </c>
      <c r="M87" s="844" t="s">
        <v>1061</v>
      </c>
      <c r="N87" s="1248">
        <f>前年度登録!S84</f>
        <v>0</v>
      </c>
      <c r="O87" s="291"/>
      <c r="P87" s="292" t="str">
        <f t="shared" si="35"/>
        <v/>
      </c>
      <c r="Q87" s="623" t="str">
        <f>IF(O87="","",HLOOKUP(O87,前年度登録!$AW$3:$CW$118,82,FALSE))</f>
        <v/>
      </c>
      <c r="R87" s="773" t="str">
        <f t="shared" si="36"/>
        <v/>
      </c>
      <c r="S87" s="774" t="str">
        <f t="shared" si="37"/>
        <v/>
      </c>
      <c r="T87" s="293"/>
      <c r="U87" s="850" t="str">
        <f t="shared" si="38"/>
        <v/>
      </c>
      <c r="V87" s="1290"/>
      <c r="W87" s="773" t="str">
        <f t="shared" si="39"/>
        <v/>
      </c>
      <c r="X87" s="774" t="str">
        <f t="shared" si="40"/>
        <v/>
      </c>
      <c r="Y87" s="1311"/>
      <c r="Z87" s="1308" t="str">
        <f t="shared" si="41"/>
        <v/>
      </c>
      <c r="AA87" s="777"/>
      <c r="AB87" s="780"/>
      <c r="AC87" s="851" t="str">
        <f>IF(AB87="","",IF(I87=1,VLOOKUP(AB87,男子種目コード!$D$2:$E$16,2,FALSE),IF(I87=2,VLOOKUP(AB87,女子種目コード!$D$2:$E$16,2,FALSE))))</f>
        <v/>
      </c>
      <c r="AD87" s="845"/>
      <c r="AE87" s="781"/>
      <c r="AF87" s="851"/>
      <c r="AG87" s="846"/>
      <c r="AH87" s="802"/>
      <c r="AI87" s="802"/>
      <c r="AK87" s="868"/>
      <c r="AL87" s="797" t="str">
        <f t="shared" si="42"/>
        <v/>
      </c>
      <c r="AM87" s="807"/>
      <c r="AN87" s="807"/>
      <c r="AO87" s="807"/>
      <c r="AP87" s="807"/>
      <c r="AQ87" s="807"/>
      <c r="AR87" s="807"/>
      <c r="AS87" s="807"/>
      <c r="AT87" s="847">
        <f t="shared" si="30"/>
        <v>0</v>
      </c>
      <c r="AU87" s="807"/>
      <c r="AV87" s="797">
        <f t="shared" si="43"/>
        <v>0</v>
      </c>
      <c r="AW87" s="797" t="str">
        <f t="shared" si="31"/>
        <v/>
      </c>
      <c r="AX87" s="797" t="str">
        <f t="shared" si="32"/>
        <v/>
      </c>
      <c r="AY87" s="807"/>
      <c r="AZ87" s="807"/>
      <c r="BA87" s="807"/>
      <c r="BB87" s="807"/>
      <c r="BG87" s="807"/>
      <c r="BH87" s="1169"/>
      <c r="BI87" s="1169"/>
      <c r="BJ87" s="1169"/>
      <c r="BK87" s="1169"/>
      <c r="BL87" s="1169"/>
    </row>
    <row r="88" spans="1:64">
      <c r="A88" s="839">
        <f t="shared" si="33"/>
        <v>0</v>
      </c>
      <c r="B88" s="844" t="str">
        <f>前年度登録!AE85</f>
        <v/>
      </c>
      <c r="C88" s="1286">
        <f t="shared" si="34"/>
        <v>0</v>
      </c>
      <c r="D88" s="848"/>
      <c r="E88" s="849">
        <f>前年度登録!T85</f>
        <v>0</v>
      </c>
      <c r="F88" s="694" t="str">
        <f>前年度登録!DB85</f>
        <v/>
      </c>
      <c r="G88" s="1134" t="str">
        <f>前年度登録!AO85</f>
        <v/>
      </c>
      <c r="H88" s="663" t="str">
        <f>前年度登録!DB85</f>
        <v/>
      </c>
      <c r="I88" s="290" t="str">
        <f>前年度登録!AN85</f>
        <v/>
      </c>
      <c r="J88" s="359" t="str">
        <f>前年度登録!DC85</f>
        <v/>
      </c>
      <c r="K88" s="1247">
        <f>前年度登録!DE85</f>
        <v>0</v>
      </c>
      <c r="L88" s="1037" t="str">
        <f>前年度登録!DJ85</f>
        <v>00</v>
      </c>
      <c r="M88" s="844" t="s">
        <v>1061</v>
      </c>
      <c r="N88" s="1248">
        <f>前年度登録!S85</f>
        <v>0</v>
      </c>
      <c r="O88" s="291"/>
      <c r="P88" s="292" t="str">
        <f t="shared" si="35"/>
        <v/>
      </c>
      <c r="Q88" s="623" t="str">
        <f>IF(O88="","",HLOOKUP(O88,前年度登録!$AW$3:$CW$118,83,FALSE))</f>
        <v/>
      </c>
      <c r="R88" s="773" t="str">
        <f t="shared" si="36"/>
        <v/>
      </c>
      <c r="S88" s="774" t="str">
        <f t="shared" si="37"/>
        <v/>
      </c>
      <c r="T88" s="293"/>
      <c r="U88" s="850" t="str">
        <f t="shared" si="38"/>
        <v/>
      </c>
      <c r="V88" s="1290"/>
      <c r="W88" s="773" t="str">
        <f t="shared" si="39"/>
        <v/>
      </c>
      <c r="X88" s="774" t="str">
        <f t="shared" si="40"/>
        <v/>
      </c>
      <c r="Y88" s="1311"/>
      <c r="Z88" s="1308" t="str">
        <f t="shared" si="41"/>
        <v/>
      </c>
      <c r="AA88" s="777"/>
      <c r="AB88" s="780"/>
      <c r="AC88" s="851" t="str">
        <f>IF(AB88="","",IF(I88=1,VLOOKUP(AB88,男子種目コード!$D$2:$E$16,2,FALSE),IF(I88=2,VLOOKUP(AB88,女子種目コード!$D$2:$E$16,2,FALSE))))</f>
        <v/>
      </c>
      <c r="AD88" s="845"/>
      <c r="AE88" s="781"/>
      <c r="AF88" s="851"/>
      <c r="AG88" s="846"/>
      <c r="AH88" s="802"/>
      <c r="AI88" s="802"/>
      <c r="AK88" s="868"/>
      <c r="AL88" s="797" t="str">
        <f t="shared" si="42"/>
        <v/>
      </c>
      <c r="AM88" s="807"/>
      <c r="AN88" s="807"/>
      <c r="AO88" s="807"/>
      <c r="AP88" s="807"/>
      <c r="AQ88" s="807"/>
      <c r="AR88" s="807"/>
      <c r="AS88" s="807"/>
      <c r="AT88" s="847">
        <f t="shared" si="30"/>
        <v>0</v>
      </c>
      <c r="AU88" s="807"/>
      <c r="AV88" s="797">
        <f t="shared" si="43"/>
        <v>0</v>
      </c>
      <c r="AW88" s="797" t="str">
        <f t="shared" si="31"/>
        <v/>
      </c>
      <c r="AX88" s="797" t="str">
        <f t="shared" si="32"/>
        <v/>
      </c>
      <c r="AY88" s="807"/>
      <c r="AZ88" s="807"/>
      <c r="BA88" s="807"/>
      <c r="BB88" s="807"/>
      <c r="BG88" s="807"/>
      <c r="BH88" s="1169"/>
      <c r="BI88" s="1169"/>
      <c r="BJ88" s="1169"/>
      <c r="BK88" s="1169"/>
      <c r="BL88" s="1169"/>
    </row>
    <row r="89" spans="1:64">
      <c r="A89" s="839">
        <f t="shared" si="33"/>
        <v>0</v>
      </c>
      <c r="B89" s="844" t="str">
        <f>前年度登録!AE86</f>
        <v/>
      </c>
      <c r="C89" s="1286">
        <f t="shared" si="34"/>
        <v>0</v>
      </c>
      <c r="D89" s="848"/>
      <c r="E89" s="849">
        <f>前年度登録!T86</f>
        <v>0</v>
      </c>
      <c r="F89" s="694" t="str">
        <f>前年度登録!DB86</f>
        <v/>
      </c>
      <c r="G89" s="1134" t="str">
        <f>前年度登録!AO86</f>
        <v/>
      </c>
      <c r="H89" s="663" t="str">
        <f>前年度登録!DB86</f>
        <v/>
      </c>
      <c r="I89" s="290" t="str">
        <f>前年度登録!AN86</f>
        <v/>
      </c>
      <c r="J89" s="359" t="str">
        <f>前年度登録!DC86</f>
        <v/>
      </c>
      <c r="K89" s="1247">
        <f>前年度登録!DE86</f>
        <v>0</v>
      </c>
      <c r="L89" s="1037" t="str">
        <f>前年度登録!DJ86</f>
        <v>00</v>
      </c>
      <c r="M89" s="844" t="s">
        <v>1061</v>
      </c>
      <c r="N89" s="1248">
        <f>前年度登録!S86</f>
        <v>0</v>
      </c>
      <c r="O89" s="291"/>
      <c r="P89" s="292" t="str">
        <f t="shared" si="35"/>
        <v/>
      </c>
      <c r="Q89" s="623" t="str">
        <f>IF(O89="","",HLOOKUP(O89,前年度登録!$AW$3:$CW$118,84,FALSE))</f>
        <v/>
      </c>
      <c r="R89" s="773" t="str">
        <f t="shared" si="36"/>
        <v/>
      </c>
      <c r="S89" s="774" t="str">
        <f t="shared" si="37"/>
        <v/>
      </c>
      <c r="T89" s="293"/>
      <c r="U89" s="850" t="str">
        <f t="shared" si="38"/>
        <v/>
      </c>
      <c r="V89" s="1290"/>
      <c r="W89" s="773" t="str">
        <f t="shared" si="39"/>
        <v/>
      </c>
      <c r="X89" s="774" t="str">
        <f t="shared" si="40"/>
        <v/>
      </c>
      <c r="Y89" s="1311"/>
      <c r="Z89" s="1308" t="str">
        <f t="shared" si="41"/>
        <v/>
      </c>
      <c r="AA89" s="777"/>
      <c r="AB89" s="780"/>
      <c r="AC89" s="851" t="str">
        <f>IF(AB89="","",IF(I89=1,VLOOKUP(AB89,男子種目コード!$D$2:$E$16,2,FALSE),IF(I89=2,VLOOKUP(AB89,女子種目コード!$D$2:$E$16,2,FALSE))))</f>
        <v/>
      </c>
      <c r="AD89" s="845"/>
      <c r="AE89" s="781"/>
      <c r="AF89" s="851"/>
      <c r="AG89" s="846"/>
      <c r="AH89" s="802"/>
      <c r="AI89" s="802"/>
      <c r="AK89" s="868"/>
      <c r="AL89" s="797" t="str">
        <f t="shared" si="42"/>
        <v/>
      </c>
      <c r="AM89" s="807"/>
      <c r="AN89" s="807"/>
      <c r="AO89" s="807"/>
      <c r="AP89" s="807"/>
      <c r="AQ89" s="807"/>
      <c r="AR89" s="807"/>
      <c r="AS89" s="807"/>
      <c r="AT89" s="847">
        <f t="shared" si="30"/>
        <v>0</v>
      </c>
      <c r="AU89" s="807"/>
      <c r="AV89" s="797">
        <f t="shared" si="43"/>
        <v>0</v>
      </c>
      <c r="AW89" s="797" t="str">
        <f t="shared" si="31"/>
        <v/>
      </c>
      <c r="AX89" s="797" t="str">
        <f t="shared" si="32"/>
        <v/>
      </c>
      <c r="AY89" s="807"/>
      <c r="AZ89" s="807"/>
      <c r="BA89" s="807"/>
      <c r="BB89" s="807"/>
      <c r="BG89" s="807"/>
      <c r="BH89" s="1169"/>
      <c r="BI89" s="1169"/>
      <c r="BJ89" s="1169"/>
      <c r="BK89" s="1169"/>
      <c r="BL89" s="1169"/>
    </row>
    <row r="90" spans="1:64">
      <c r="A90" s="839">
        <f t="shared" si="33"/>
        <v>0</v>
      </c>
      <c r="B90" s="844" t="str">
        <f>前年度登録!AE87</f>
        <v/>
      </c>
      <c r="C90" s="1286">
        <f t="shared" si="34"/>
        <v>0</v>
      </c>
      <c r="D90" s="848"/>
      <c r="E90" s="849">
        <f>前年度登録!T87</f>
        <v>0</v>
      </c>
      <c r="F90" s="694" t="str">
        <f>前年度登録!DB87</f>
        <v/>
      </c>
      <c r="G90" s="1134" t="str">
        <f>前年度登録!AO87</f>
        <v/>
      </c>
      <c r="H90" s="663" t="str">
        <f>前年度登録!DB87</f>
        <v/>
      </c>
      <c r="I90" s="290" t="str">
        <f>前年度登録!AN87</f>
        <v/>
      </c>
      <c r="J90" s="359" t="str">
        <f>前年度登録!DC87</f>
        <v/>
      </c>
      <c r="K90" s="1247">
        <f>前年度登録!DE87</f>
        <v>0</v>
      </c>
      <c r="L90" s="1037" t="str">
        <f>前年度登録!DJ87</f>
        <v>00</v>
      </c>
      <c r="M90" s="844" t="s">
        <v>1061</v>
      </c>
      <c r="N90" s="1248">
        <f>前年度登録!S87</f>
        <v>0</v>
      </c>
      <c r="O90" s="291"/>
      <c r="P90" s="292" t="str">
        <f t="shared" si="35"/>
        <v/>
      </c>
      <c r="Q90" s="623" t="str">
        <f>IF(O90="","",HLOOKUP(O90,前年度登録!$AW$3:$CW$118,85,FALSE))</f>
        <v/>
      </c>
      <c r="R90" s="773" t="str">
        <f t="shared" si="36"/>
        <v/>
      </c>
      <c r="S90" s="774" t="str">
        <f t="shared" si="37"/>
        <v/>
      </c>
      <c r="T90" s="293"/>
      <c r="U90" s="850" t="str">
        <f t="shared" si="38"/>
        <v/>
      </c>
      <c r="V90" s="1290"/>
      <c r="W90" s="773" t="str">
        <f t="shared" si="39"/>
        <v/>
      </c>
      <c r="X90" s="774" t="str">
        <f t="shared" si="40"/>
        <v/>
      </c>
      <c r="Y90" s="1311"/>
      <c r="Z90" s="1308" t="str">
        <f t="shared" si="41"/>
        <v/>
      </c>
      <c r="AA90" s="777"/>
      <c r="AB90" s="780"/>
      <c r="AC90" s="851" t="str">
        <f>IF(AB90="","",IF(I90=1,VLOOKUP(AB90,男子種目コード!$D$2:$E$16,2,FALSE),IF(I90=2,VLOOKUP(AB90,女子種目コード!$D$2:$E$16,2,FALSE))))</f>
        <v/>
      </c>
      <c r="AD90" s="845"/>
      <c r="AE90" s="781"/>
      <c r="AF90" s="851"/>
      <c r="AG90" s="846"/>
      <c r="AH90" s="802"/>
      <c r="AI90" s="802"/>
      <c r="AK90" s="868"/>
      <c r="AL90" s="797" t="str">
        <f t="shared" si="42"/>
        <v/>
      </c>
      <c r="AM90" s="807"/>
      <c r="AN90" s="807"/>
      <c r="AO90" s="807"/>
      <c r="AP90" s="807"/>
      <c r="AQ90" s="807"/>
      <c r="AR90" s="807"/>
      <c r="AS90" s="807"/>
      <c r="AT90" s="847">
        <f t="shared" si="30"/>
        <v>0</v>
      </c>
      <c r="AU90" s="807"/>
      <c r="AV90" s="797">
        <f t="shared" si="43"/>
        <v>0</v>
      </c>
      <c r="AW90" s="797" t="str">
        <f t="shared" si="31"/>
        <v/>
      </c>
      <c r="AX90" s="797" t="str">
        <f t="shared" si="32"/>
        <v/>
      </c>
      <c r="AY90" s="807"/>
      <c r="AZ90" s="807"/>
      <c r="BA90" s="807"/>
      <c r="BB90" s="807"/>
      <c r="BG90" s="807"/>
      <c r="BH90" s="1169"/>
      <c r="BI90" s="1169"/>
      <c r="BJ90" s="1169"/>
      <c r="BK90" s="1169"/>
      <c r="BL90" s="1169"/>
    </row>
    <row r="91" spans="1:64">
      <c r="A91" s="839">
        <f t="shared" si="33"/>
        <v>0</v>
      </c>
      <c r="B91" s="844" t="str">
        <f>前年度登録!AE88</f>
        <v/>
      </c>
      <c r="C91" s="1286">
        <f t="shared" si="34"/>
        <v>0</v>
      </c>
      <c r="D91" s="848"/>
      <c r="E91" s="849">
        <f>前年度登録!T88</f>
        <v>0</v>
      </c>
      <c r="F91" s="694" t="str">
        <f>前年度登録!DB88</f>
        <v/>
      </c>
      <c r="G91" s="1134" t="str">
        <f>前年度登録!AO88</f>
        <v/>
      </c>
      <c r="H91" s="663" t="str">
        <f>前年度登録!DB88</f>
        <v/>
      </c>
      <c r="I91" s="290" t="str">
        <f>前年度登録!AN88</f>
        <v/>
      </c>
      <c r="J91" s="359" t="str">
        <f>前年度登録!DC88</f>
        <v/>
      </c>
      <c r="K91" s="1247">
        <f>前年度登録!DE88</f>
        <v>0</v>
      </c>
      <c r="L91" s="1037" t="str">
        <f>前年度登録!DJ88</f>
        <v>00</v>
      </c>
      <c r="M91" s="844" t="s">
        <v>1061</v>
      </c>
      <c r="N91" s="1248">
        <f>前年度登録!S88</f>
        <v>0</v>
      </c>
      <c r="O91" s="291"/>
      <c r="P91" s="292" t="str">
        <f t="shared" si="35"/>
        <v/>
      </c>
      <c r="Q91" s="623" t="str">
        <f>IF(O91="","",HLOOKUP(O91,前年度登録!$AW$3:$CW$118,86,FALSE))</f>
        <v/>
      </c>
      <c r="R91" s="773" t="str">
        <f t="shared" si="36"/>
        <v/>
      </c>
      <c r="S91" s="774" t="str">
        <f t="shared" si="37"/>
        <v/>
      </c>
      <c r="T91" s="293"/>
      <c r="U91" s="850" t="str">
        <f t="shared" si="38"/>
        <v/>
      </c>
      <c r="V91" s="1290"/>
      <c r="W91" s="773" t="str">
        <f t="shared" si="39"/>
        <v/>
      </c>
      <c r="X91" s="774" t="str">
        <f t="shared" si="40"/>
        <v/>
      </c>
      <c r="Y91" s="1311"/>
      <c r="Z91" s="1308" t="str">
        <f t="shared" si="41"/>
        <v/>
      </c>
      <c r="AA91" s="777"/>
      <c r="AB91" s="780"/>
      <c r="AC91" s="851" t="str">
        <f>IF(AB91="","",IF(I91=1,VLOOKUP(AB91,男子種目コード!$D$2:$E$16,2,FALSE),IF(I91=2,VLOOKUP(AB91,女子種目コード!$D$2:$E$16,2,FALSE))))</f>
        <v/>
      </c>
      <c r="AD91" s="845"/>
      <c r="AE91" s="781"/>
      <c r="AF91" s="851"/>
      <c r="AG91" s="846"/>
      <c r="AH91" s="802"/>
      <c r="AI91" s="802"/>
      <c r="AK91" s="868"/>
      <c r="AL91" s="797" t="str">
        <f t="shared" si="42"/>
        <v/>
      </c>
      <c r="AM91" s="807"/>
      <c r="AN91" s="807"/>
      <c r="AO91" s="807"/>
      <c r="AP91" s="807"/>
      <c r="AQ91" s="807"/>
      <c r="AR91" s="807"/>
      <c r="AS91" s="807"/>
      <c r="AT91" s="847">
        <f t="shared" si="30"/>
        <v>0</v>
      </c>
      <c r="AU91" s="807"/>
      <c r="AV91" s="797">
        <f t="shared" si="43"/>
        <v>0</v>
      </c>
      <c r="AW91" s="797" t="str">
        <f t="shared" si="31"/>
        <v/>
      </c>
      <c r="AX91" s="797" t="str">
        <f t="shared" si="32"/>
        <v/>
      </c>
      <c r="AY91" s="807"/>
      <c r="AZ91" s="807"/>
      <c r="BA91" s="807"/>
      <c r="BB91" s="807"/>
      <c r="BG91" s="807"/>
      <c r="BH91" s="1169"/>
      <c r="BI91" s="1169"/>
      <c r="BJ91" s="1169"/>
      <c r="BK91" s="1169"/>
      <c r="BL91" s="1169"/>
    </row>
    <row r="92" spans="1:64">
      <c r="A92" s="839">
        <f t="shared" si="33"/>
        <v>0</v>
      </c>
      <c r="B92" s="844" t="str">
        <f>前年度登録!AE89</f>
        <v/>
      </c>
      <c r="C92" s="1286">
        <f t="shared" si="34"/>
        <v>0</v>
      </c>
      <c r="D92" s="848"/>
      <c r="E92" s="849">
        <f>前年度登録!T89</f>
        <v>0</v>
      </c>
      <c r="F92" s="694" t="str">
        <f>前年度登録!DB89</f>
        <v/>
      </c>
      <c r="G92" s="1134" t="str">
        <f>前年度登録!AO89</f>
        <v/>
      </c>
      <c r="H92" s="663" t="str">
        <f>前年度登録!DB89</f>
        <v/>
      </c>
      <c r="I92" s="290" t="str">
        <f>前年度登録!AN89</f>
        <v/>
      </c>
      <c r="J92" s="359" t="str">
        <f>前年度登録!DC89</f>
        <v/>
      </c>
      <c r="K92" s="1247">
        <f>前年度登録!DE89</f>
        <v>0</v>
      </c>
      <c r="L92" s="1037" t="str">
        <f>前年度登録!DJ89</f>
        <v>00</v>
      </c>
      <c r="M92" s="844" t="s">
        <v>1061</v>
      </c>
      <c r="N92" s="1248">
        <f>前年度登録!S89</f>
        <v>0</v>
      </c>
      <c r="O92" s="291"/>
      <c r="P92" s="292" t="str">
        <f t="shared" si="35"/>
        <v/>
      </c>
      <c r="Q92" s="623" t="str">
        <f>IF(O92="","",HLOOKUP(O92,前年度登録!$AW$3:$CW$118,87,FALSE))</f>
        <v/>
      </c>
      <c r="R92" s="773" t="str">
        <f t="shared" si="36"/>
        <v/>
      </c>
      <c r="S92" s="774" t="str">
        <f t="shared" si="37"/>
        <v/>
      </c>
      <c r="T92" s="293"/>
      <c r="U92" s="850" t="str">
        <f t="shared" si="38"/>
        <v/>
      </c>
      <c r="V92" s="1290"/>
      <c r="W92" s="773" t="str">
        <f t="shared" si="39"/>
        <v/>
      </c>
      <c r="X92" s="774" t="str">
        <f t="shared" si="40"/>
        <v/>
      </c>
      <c r="Y92" s="1311"/>
      <c r="Z92" s="1308" t="str">
        <f t="shared" si="41"/>
        <v/>
      </c>
      <c r="AA92" s="777"/>
      <c r="AB92" s="780"/>
      <c r="AC92" s="851" t="str">
        <f>IF(AB92="","",IF(I92=1,VLOOKUP(AB92,男子種目コード!$D$2:$E$16,2,FALSE),IF(I92=2,VLOOKUP(AB92,女子種目コード!$D$2:$E$16,2,FALSE))))</f>
        <v/>
      </c>
      <c r="AD92" s="845"/>
      <c r="AE92" s="781"/>
      <c r="AF92" s="851"/>
      <c r="AG92" s="846"/>
      <c r="AH92" s="802"/>
      <c r="AI92" s="802"/>
      <c r="AK92" s="868"/>
      <c r="AL92" s="797" t="str">
        <f t="shared" si="42"/>
        <v/>
      </c>
      <c r="AM92" s="807"/>
      <c r="AN92" s="807"/>
      <c r="AO92" s="807"/>
      <c r="AP92" s="807"/>
      <c r="AQ92" s="807"/>
      <c r="AR92" s="807"/>
      <c r="AS92" s="807"/>
      <c r="AT92" s="847">
        <f t="shared" si="30"/>
        <v>0</v>
      </c>
      <c r="AU92" s="807"/>
      <c r="AV92" s="797">
        <f t="shared" si="43"/>
        <v>0</v>
      </c>
      <c r="AW92" s="797" t="str">
        <f t="shared" si="31"/>
        <v/>
      </c>
      <c r="AX92" s="797" t="str">
        <f t="shared" si="32"/>
        <v/>
      </c>
      <c r="AY92" s="807"/>
      <c r="AZ92" s="807"/>
      <c r="BA92" s="807"/>
      <c r="BB92" s="807"/>
      <c r="BG92" s="807"/>
      <c r="BH92" s="1169"/>
      <c r="BI92" s="1169"/>
      <c r="BJ92" s="1169"/>
      <c r="BK92" s="1169"/>
      <c r="BL92" s="1169"/>
    </row>
    <row r="93" spans="1:64">
      <c r="A93" s="839">
        <f t="shared" si="33"/>
        <v>0</v>
      </c>
      <c r="B93" s="844" t="str">
        <f>前年度登録!AE90</f>
        <v/>
      </c>
      <c r="C93" s="1286">
        <f t="shared" si="34"/>
        <v>0</v>
      </c>
      <c r="D93" s="848"/>
      <c r="E93" s="849">
        <f>前年度登録!T90</f>
        <v>0</v>
      </c>
      <c r="F93" s="694" t="str">
        <f>前年度登録!DB90</f>
        <v/>
      </c>
      <c r="G93" s="1134" t="str">
        <f>前年度登録!AO90</f>
        <v/>
      </c>
      <c r="H93" s="663" t="str">
        <f>前年度登録!DB90</f>
        <v/>
      </c>
      <c r="I93" s="290" t="str">
        <f>前年度登録!AN90</f>
        <v/>
      </c>
      <c r="J93" s="359" t="str">
        <f>前年度登録!DC90</f>
        <v/>
      </c>
      <c r="K93" s="1247">
        <f>前年度登録!DE90</f>
        <v>0</v>
      </c>
      <c r="L93" s="1037" t="str">
        <f>前年度登録!DJ90</f>
        <v>00</v>
      </c>
      <c r="M93" s="844" t="s">
        <v>1061</v>
      </c>
      <c r="N93" s="1248">
        <f>前年度登録!S90</f>
        <v>0</v>
      </c>
      <c r="O93" s="291"/>
      <c r="P93" s="292" t="str">
        <f t="shared" si="35"/>
        <v/>
      </c>
      <c r="Q93" s="623" t="str">
        <f>IF(O93="","",HLOOKUP(O93,前年度登録!$AW$3:$CW$118,88,FALSE))</f>
        <v/>
      </c>
      <c r="R93" s="773" t="str">
        <f t="shared" si="36"/>
        <v/>
      </c>
      <c r="S93" s="774" t="str">
        <f t="shared" si="37"/>
        <v/>
      </c>
      <c r="T93" s="293"/>
      <c r="U93" s="850" t="str">
        <f t="shared" si="38"/>
        <v/>
      </c>
      <c r="V93" s="1290"/>
      <c r="W93" s="773" t="str">
        <f t="shared" si="39"/>
        <v/>
      </c>
      <c r="X93" s="774" t="str">
        <f t="shared" si="40"/>
        <v/>
      </c>
      <c r="Y93" s="1311"/>
      <c r="Z93" s="1308" t="str">
        <f t="shared" si="41"/>
        <v/>
      </c>
      <c r="AA93" s="777"/>
      <c r="AB93" s="780"/>
      <c r="AC93" s="851" t="str">
        <f>IF(AB93="","",IF(I93=1,VLOOKUP(AB93,男子種目コード!$D$2:$E$16,2,FALSE),IF(I93=2,VLOOKUP(AB93,女子種目コード!$D$2:$E$16,2,FALSE))))</f>
        <v/>
      </c>
      <c r="AD93" s="845"/>
      <c r="AE93" s="781"/>
      <c r="AF93" s="851"/>
      <c r="AG93" s="846"/>
      <c r="AH93" s="802"/>
      <c r="AI93" s="802"/>
      <c r="AK93" s="868"/>
      <c r="AL93" s="797" t="str">
        <f t="shared" si="42"/>
        <v/>
      </c>
      <c r="AM93" s="807"/>
      <c r="AN93" s="807"/>
      <c r="AO93" s="807"/>
      <c r="AP93" s="807"/>
      <c r="AQ93" s="807"/>
      <c r="AR93" s="807"/>
      <c r="AS93" s="807"/>
      <c r="AT93" s="847">
        <f t="shared" si="30"/>
        <v>0</v>
      </c>
      <c r="AU93" s="807"/>
      <c r="AV93" s="797">
        <f t="shared" si="43"/>
        <v>0</v>
      </c>
      <c r="AW93" s="797" t="str">
        <f t="shared" si="31"/>
        <v/>
      </c>
      <c r="AX93" s="797" t="str">
        <f t="shared" si="32"/>
        <v/>
      </c>
      <c r="AY93" s="807"/>
      <c r="AZ93" s="807"/>
      <c r="BA93" s="807"/>
      <c r="BB93" s="807"/>
      <c r="BG93" s="807"/>
      <c r="BH93" s="1169"/>
      <c r="BI93" s="1169"/>
      <c r="BJ93" s="1169"/>
      <c r="BK93" s="1169"/>
      <c r="BL93" s="1169"/>
    </row>
    <row r="94" spans="1:64">
      <c r="A94" s="839">
        <f t="shared" si="33"/>
        <v>0</v>
      </c>
      <c r="B94" s="844" t="str">
        <f>前年度登録!AE91</f>
        <v/>
      </c>
      <c r="C94" s="1286">
        <f t="shared" si="34"/>
        <v>0</v>
      </c>
      <c r="D94" s="848"/>
      <c r="E94" s="849">
        <f>前年度登録!T91</f>
        <v>0</v>
      </c>
      <c r="F94" s="694" t="str">
        <f>前年度登録!DB91</f>
        <v/>
      </c>
      <c r="G94" s="1134" t="str">
        <f>前年度登録!AO91</f>
        <v/>
      </c>
      <c r="H94" s="663" t="str">
        <f>前年度登録!DB91</f>
        <v/>
      </c>
      <c r="I94" s="290" t="str">
        <f>前年度登録!AN91</f>
        <v/>
      </c>
      <c r="J94" s="359" t="str">
        <f>前年度登録!DC91</f>
        <v/>
      </c>
      <c r="K94" s="1247">
        <f>前年度登録!DE91</f>
        <v>0</v>
      </c>
      <c r="L94" s="1037" t="str">
        <f>前年度登録!DJ91</f>
        <v>00</v>
      </c>
      <c r="M94" s="844" t="s">
        <v>1061</v>
      </c>
      <c r="N94" s="1248">
        <f>前年度登録!S91</f>
        <v>0</v>
      </c>
      <c r="O94" s="291"/>
      <c r="P94" s="292" t="str">
        <f t="shared" si="35"/>
        <v/>
      </c>
      <c r="Q94" s="623" t="str">
        <f>IF(O94="","",HLOOKUP(O94,前年度登録!$AW$3:$CW$118,89,FALSE))</f>
        <v/>
      </c>
      <c r="R94" s="773" t="str">
        <f t="shared" si="36"/>
        <v/>
      </c>
      <c r="S94" s="774" t="str">
        <f t="shared" si="37"/>
        <v/>
      </c>
      <c r="T94" s="293"/>
      <c r="U94" s="850" t="str">
        <f t="shared" si="38"/>
        <v/>
      </c>
      <c r="V94" s="1290"/>
      <c r="W94" s="773" t="str">
        <f t="shared" si="39"/>
        <v/>
      </c>
      <c r="X94" s="774" t="str">
        <f t="shared" si="40"/>
        <v/>
      </c>
      <c r="Y94" s="1311"/>
      <c r="Z94" s="1308" t="str">
        <f t="shared" si="41"/>
        <v/>
      </c>
      <c r="AA94" s="777"/>
      <c r="AB94" s="780"/>
      <c r="AC94" s="851" t="str">
        <f>IF(AB94="","",IF(I94=1,VLOOKUP(AB94,男子種目コード!$D$2:$E$16,2,FALSE),IF(I94=2,VLOOKUP(AB94,女子種目コード!$D$2:$E$16,2,FALSE))))</f>
        <v/>
      </c>
      <c r="AD94" s="845"/>
      <c r="AE94" s="781"/>
      <c r="AF94" s="851"/>
      <c r="AG94" s="846"/>
      <c r="AH94" s="802"/>
      <c r="AI94" s="802"/>
      <c r="AK94" s="868"/>
      <c r="AL94" s="797" t="str">
        <f t="shared" si="42"/>
        <v/>
      </c>
      <c r="AM94" s="807"/>
      <c r="AN94" s="807"/>
      <c r="AO94" s="807"/>
      <c r="AP94" s="807"/>
      <c r="AQ94" s="807"/>
      <c r="AR94" s="807"/>
      <c r="AS94" s="807"/>
      <c r="AT94" s="847">
        <f t="shared" si="30"/>
        <v>0</v>
      </c>
      <c r="AU94" s="807"/>
      <c r="AV94" s="797">
        <f t="shared" si="43"/>
        <v>0</v>
      </c>
      <c r="AW94" s="797" t="str">
        <f t="shared" si="31"/>
        <v/>
      </c>
      <c r="AX94" s="797" t="str">
        <f t="shared" si="32"/>
        <v/>
      </c>
      <c r="AY94" s="807"/>
      <c r="AZ94" s="807"/>
      <c r="BA94" s="807"/>
      <c r="BB94" s="807"/>
      <c r="BG94" s="807"/>
      <c r="BH94" s="1169"/>
      <c r="BI94" s="1169"/>
      <c r="BJ94" s="1169"/>
      <c r="BK94" s="1169"/>
      <c r="BL94" s="1169"/>
    </row>
    <row r="95" spans="1:64">
      <c r="A95" s="839">
        <f t="shared" si="33"/>
        <v>0</v>
      </c>
      <c r="B95" s="844" t="str">
        <f>前年度登録!AE92</f>
        <v/>
      </c>
      <c r="C95" s="1286">
        <f t="shared" si="34"/>
        <v>0</v>
      </c>
      <c r="D95" s="848"/>
      <c r="E95" s="849">
        <f>前年度登録!T92</f>
        <v>0</v>
      </c>
      <c r="F95" s="694" t="str">
        <f>前年度登録!DB92</f>
        <v/>
      </c>
      <c r="G95" s="1134" t="str">
        <f>前年度登録!AO92</f>
        <v/>
      </c>
      <c r="H95" s="663" t="str">
        <f>前年度登録!DB92</f>
        <v/>
      </c>
      <c r="I95" s="290" t="str">
        <f>前年度登録!AN92</f>
        <v/>
      </c>
      <c r="J95" s="359" t="str">
        <f>前年度登録!DC92</f>
        <v/>
      </c>
      <c r="K95" s="1247">
        <f>前年度登録!DE92</f>
        <v>0</v>
      </c>
      <c r="L95" s="1037" t="str">
        <f>前年度登録!DJ92</f>
        <v>00</v>
      </c>
      <c r="M95" s="844" t="s">
        <v>1061</v>
      </c>
      <c r="N95" s="1248">
        <f>前年度登録!S92</f>
        <v>0</v>
      </c>
      <c r="O95" s="291"/>
      <c r="P95" s="292" t="str">
        <f t="shared" si="35"/>
        <v/>
      </c>
      <c r="Q95" s="623" t="str">
        <f>IF(O95="","",HLOOKUP(O95,前年度登録!$AW$3:$CW$118,90,FALSE))</f>
        <v/>
      </c>
      <c r="R95" s="773" t="str">
        <f t="shared" si="36"/>
        <v/>
      </c>
      <c r="S95" s="774" t="str">
        <f t="shared" si="37"/>
        <v/>
      </c>
      <c r="T95" s="293"/>
      <c r="U95" s="850" t="str">
        <f t="shared" si="38"/>
        <v/>
      </c>
      <c r="V95" s="1290"/>
      <c r="W95" s="773" t="str">
        <f t="shared" si="39"/>
        <v/>
      </c>
      <c r="X95" s="774" t="str">
        <f t="shared" si="40"/>
        <v/>
      </c>
      <c r="Y95" s="1311"/>
      <c r="Z95" s="1308" t="str">
        <f t="shared" si="41"/>
        <v/>
      </c>
      <c r="AA95" s="777"/>
      <c r="AB95" s="780"/>
      <c r="AC95" s="851" t="str">
        <f>IF(AB95="","",IF(I95=1,VLOOKUP(AB95,男子種目コード!$D$2:$E$16,2,FALSE),IF(I95=2,VLOOKUP(AB95,女子種目コード!$D$2:$E$16,2,FALSE))))</f>
        <v/>
      </c>
      <c r="AD95" s="845"/>
      <c r="AE95" s="781"/>
      <c r="AF95" s="851"/>
      <c r="AG95" s="846"/>
      <c r="AH95" s="802"/>
      <c r="AI95" s="802"/>
      <c r="AK95" s="868"/>
      <c r="AL95" s="797" t="str">
        <f t="shared" si="42"/>
        <v/>
      </c>
      <c r="AM95" s="807"/>
      <c r="AN95" s="807"/>
      <c r="AO95" s="807"/>
      <c r="AP95" s="807"/>
      <c r="AQ95" s="807"/>
      <c r="AR95" s="807"/>
      <c r="AS95" s="807"/>
      <c r="AT95" s="847">
        <f t="shared" si="30"/>
        <v>0</v>
      </c>
      <c r="AU95" s="807"/>
      <c r="AV95" s="797">
        <f t="shared" si="43"/>
        <v>0</v>
      </c>
      <c r="AW95" s="797" t="str">
        <f t="shared" si="31"/>
        <v/>
      </c>
      <c r="AX95" s="797" t="str">
        <f t="shared" si="32"/>
        <v/>
      </c>
      <c r="AY95" s="807"/>
      <c r="AZ95" s="807"/>
      <c r="BA95" s="807"/>
      <c r="BB95" s="807"/>
      <c r="BG95" s="807"/>
      <c r="BH95" s="1169"/>
      <c r="BI95" s="1169"/>
      <c r="BJ95" s="1169"/>
      <c r="BK95" s="1169"/>
      <c r="BL95" s="1169"/>
    </row>
    <row r="96" spans="1:64">
      <c r="A96" s="839">
        <f t="shared" si="33"/>
        <v>0</v>
      </c>
      <c r="B96" s="844" t="str">
        <f>前年度登録!AE93</f>
        <v/>
      </c>
      <c r="C96" s="1286">
        <f t="shared" si="34"/>
        <v>0</v>
      </c>
      <c r="D96" s="848"/>
      <c r="E96" s="849">
        <f>前年度登録!T93</f>
        <v>0</v>
      </c>
      <c r="F96" s="694" t="str">
        <f>前年度登録!DB93</f>
        <v/>
      </c>
      <c r="G96" s="1134" t="str">
        <f>前年度登録!AO93</f>
        <v/>
      </c>
      <c r="H96" s="663" t="str">
        <f>前年度登録!DB93</f>
        <v/>
      </c>
      <c r="I96" s="290" t="str">
        <f>前年度登録!AN93</f>
        <v/>
      </c>
      <c r="J96" s="359" t="str">
        <f>前年度登録!DC93</f>
        <v/>
      </c>
      <c r="K96" s="1247">
        <f>前年度登録!DE93</f>
        <v>0</v>
      </c>
      <c r="L96" s="1037" t="str">
        <f>前年度登録!DJ93</f>
        <v>00</v>
      </c>
      <c r="M96" s="844" t="s">
        <v>1061</v>
      </c>
      <c r="N96" s="1248">
        <f>前年度登録!S93</f>
        <v>0</v>
      </c>
      <c r="O96" s="291"/>
      <c r="P96" s="292" t="str">
        <f t="shared" si="35"/>
        <v/>
      </c>
      <c r="Q96" s="623" t="str">
        <f>IF(O96="","",HLOOKUP(O96,前年度登録!$AW$3:$CW$118,91,FALSE))</f>
        <v/>
      </c>
      <c r="R96" s="773" t="str">
        <f t="shared" si="36"/>
        <v/>
      </c>
      <c r="S96" s="774" t="str">
        <f t="shared" si="37"/>
        <v/>
      </c>
      <c r="T96" s="293"/>
      <c r="U96" s="850" t="str">
        <f t="shared" si="38"/>
        <v/>
      </c>
      <c r="V96" s="1290"/>
      <c r="W96" s="773" t="str">
        <f t="shared" si="39"/>
        <v/>
      </c>
      <c r="X96" s="774" t="str">
        <f t="shared" si="40"/>
        <v/>
      </c>
      <c r="Y96" s="1311"/>
      <c r="Z96" s="1308" t="str">
        <f t="shared" si="41"/>
        <v/>
      </c>
      <c r="AA96" s="777"/>
      <c r="AB96" s="780"/>
      <c r="AC96" s="851" t="str">
        <f>IF(AB96="","",IF(I96=1,VLOOKUP(AB96,男子種目コード!$D$2:$E$16,2,FALSE),IF(I96=2,VLOOKUP(AB96,女子種目コード!$D$2:$E$16,2,FALSE))))</f>
        <v/>
      </c>
      <c r="AD96" s="845"/>
      <c r="AE96" s="781"/>
      <c r="AF96" s="851"/>
      <c r="AG96" s="846"/>
      <c r="AH96" s="802"/>
      <c r="AI96" s="802"/>
      <c r="AK96" s="868"/>
      <c r="AL96" s="797" t="str">
        <f t="shared" si="42"/>
        <v/>
      </c>
      <c r="AM96" s="807"/>
      <c r="AN96" s="807"/>
      <c r="AO96" s="807"/>
      <c r="AP96" s="807"/>
      <c r="AQ96" s="807"/>
      <c r="AR96" s="807"/>
      <c r="AS96" s="807"/>
      <c r="AT96" s="847">
        <f t="shared" si="30"/>
        <v>0</v>
      </c>
      <c r="AU96" s="807"/>
      <c r="AV96" s="797">
        <f t="shared" si="43"/>
        <v>0</v>
      </c>
      <c r="AW96" s="797" t="str">
        <f t="shared" si="31"/>
        <v/>
      </c>
      <c r="AX96" s="797" t="str">
        <f t="shared" si="32"/>
        <v/>
      </c>
      <c r="AY96" s="807"/>
      <c r="AZ96" s="807"/>
      <c r="BA96" s="807"/>
      <c r="BB96" s="807"/>
      <c r="BG96" s="807"/>
      <c r="BH96" s="1169"/>
      <c r="BI96" s="1169"/>
      <c r="BJ96" s="1169"/>
      <c r="BK96" s="1169"/>
      <c r="BL96" s="1169"/>
    </row>
    <row r="97" spans="1:64">
      <c r="A97" s="839">
        <f t="shared" si="33"/>
        <v>0</v>
      </c>
      <c r="B97" s="844" t="str">
        <f>前年度登録!AE94</f>
        <v/>
      </c>
      <c r="C97" s="1286">
        <f t="shared" si="34"/>
        <v>0</v>
      </c>
      <c r="D97" s="848"/>
      <c r="E97" s="849">
        <f>前年度登録!T94</f>
        <v>0</v>
      </c>
      <c r="F97" s="694" t="str">
        <f>前年度登録!DB94</f>
        <v/>
      </c>
      <c r="G97" s="1134" t="str">
        <f>前年度登録!AO94</f>
        <v/>
      </c>
      <c r="H97" s="663" t="str">
        <f>前年度登録!DB94</f>
        <v/>
      </c>
      <c r="I97" s="290" t="str">
        <f>前年度登録!AN94</f>
        <v/>
      </c>
      <c r="J97" s="359" t="str">
        <f>前年度登録!DC94</f>
        <v/>
      </c>
      <c r="K97" s="1247">
        <f>前年度登録!DE94</f>
        <v>0</v>
      </c>
      <c r="L97" s="1037" t="str">
        <f>前年度登録!DJ94</f>
        <v>00</v>
      </c>
      <c r="M97" s="844" t="s">
        <v>1061</v>
      </c>
      <c r="N97" s="1248">
        <f>前年度登録!S94</f>
        <v>0</v>
      </c>
      <c r="O97" s="291"/>
      <c r="P97" s="292" t="str">
        <f t="shared" si="35"/>
        <v/>
      </c>
      <c r="Q97" s="623" t="str">
        <f>IF(O97="","",HLOOKUP(O97,前年度登録!$AW$3:$CW$118,92,FALSE))</f>
        <v/>
      </c>
      <c r="R97" s="773" t="str">
        <f t="shared" si="36"/>
        <v/>
      </c>
      <c r="S97" s="774" t="str">
        <f t="shared" si="37"/>
        <v/>
      </c>
      <c r="T97" s="293"/>
      <c r="U97" s="850" t="str">
        <f t="shared" si="38"/>
        <v/>
      </c>
      <c r="V97" s="1290"/>
      <c r="W97" s="773" t="str">
        <f t="shared" si="39"/>
        <v/>
      </c>
      <c r="X97" s="774" t="str">
        <f t="shared" si="40"/>
        <v/>
      </c>
      <c r="Y97" s="1311"/>
      <c r="Z97" s="1308" t="str">
        <f t="shared" si="41"/>
        <v/>
      </c>
      <c r="AA97" s="777"/>
      <c r="AB97" s="780"/>
      <c r="AC97" s="851" t="str">
        <f>IF(AB97="","",IF(I97=1,VLOOKUP(AB97,男子種目コード!$D$2:$E$16,2,FALSE),IF(I97=2,VLOOKUP(AB97,女子種目コード!$D$2:$E$16,2,FALSE))))</f>
        <v/>
      </c>
      <c r="AD97" s="845"/>
      <c r="AE97" s="781"/>
      <c r="AF97" s="851"/>
      <c r="AG97" s="846"/>
      <c r="AH97" s="802"/>
      <c r="AI97" s="802"/>
      <c r="AK97" s="868"/>
      <c r="AL97" s="797" t="str">
        <f t="shared" si="42"/>
        <v/>
      </c>
      <c r="AM97" s="807"/>
      <c r="AN97" s="807"/>
      <c r="AO97" s="807"/>
      <c r="AP97" s="807"/>
      <c r="AQ97" s="807"/>
      <c r="AR97" s="807"/>
      <c r="AS97" s="807"/>
      <c r="AT97" s="847">
        <f t="shared" si="30"/>
        <v>0</v>
      </c>
      <c r="AU97" s="807"/>
      <c r="AV97" s="797">
        <f t="shared" si="43"/>
        <v>0</v>
      </c>
      <c r="AW97" s="797" t="str">
        <f t="shared" si="31"/>
        <v/>
      </c>
      <c r="AX97" s="797" t="str">
        <f t="shared" si="32"/>
        <v/>
      </c>
      <c r="AY97" s="807"/>
      <c r="AZ97" s="807"/>
      <c r="BA97" s="807"/>
      <c r="BB97" s="807"/>
      <c r="BG97" s="807"/>
      <c r="BH97" s="1169"/>
      <c r="BI97" s="1169"/>
      <c r="BJ97" s="1169"/>
      <c r="BK97" s="1169"/>
      <c r="BL97" s="1169"/>
    </row>
    <row r="98" spans="1:64">
      <c r="A98" s="839">
        <f t="shared" si="33"/>
        <v>0</v>
      </c>
      <c r="B98" s="844" t="str">
        <f>前年度登録!AE95</f>
        <v/>
      </c>
      <c r="C98" s="1286">
        <f t="shared" si="34"/>
        <v>0</v>
      </c>
      <c r="D98" s="848"/>
      <c r="E98" s="849">
        <f>前年度登録!T95</f>
        <v>0</v>
      </c>
      <c r="F98" s="694" t="str">
        <f>前年度登録!DB95</f>
        <v/>
      </c>
      <c r="G98" s="1134" t="str">
        <f>前年度登録!AO95</f>
        <v/>
      </c>
      <c r="H98" s="663" t="str">
        <f>前年度登録!DB95</f>
        <v/>
      </c>
      <c r="I98" s="290" t="str">
        <f>前年度登録!AN95</f>
        <v/>
      </c>
      <c r="J98" s="359" t="str">
        <f>前年度登録!DC95</f>
        <v/>
      </c>
      <c r="K98" s="1247">
        <f>前年度登録!DE95</f>
        <v>0</v>
      </c>
      <c r="L98" s="1037" t="str">
        <f>前年度登録!DJ95</f>
        <v>00</v>
      </c>
      <c r="M98" s="844" t="s">
        <v>1061</v>
      </c>
      <c r="N98" s="1248">
        <f>前年度登録!S95</f>
        <v>0</v>
      </c>
      <c r="O98" s="291"/>
      <c r="P98" s="292" t="str">
        <f t="shared" si="35"/>
        <v/>
      </c>
      <c r="Q98" s="623" t="str">
        <f>IF(O98="","",HLOOKUP(O98,前年度登録!$AW$3:$CW$118,93,FALSE))</f>
        <v/>
      </c>
      <c r="R98" s="773" t="str">
        <f t="shared" si="36"/>
        <v/>
      </c>
      <c r="S98" s="774" t="str">
        <f t="shared" si="37"/>
        <v/>
      </c>
      <c r="T98" s="293"/>
      <c r="U98" s="850" t="str">
        <f t="shared" si="38"/>
        <v/>
      </c>
      <c r="V98" s="1290"/>
      <c r="W98" s="773" t="str">
        <f t="shared" si="39"/>
        <v/>
      </c>
      <c r="X98" s="774" t="str">
        <f t="shared" si="40"/>
        <v/>
      </c>
      <c r="Y98" s="1311"/>
      <c r="Z98" s="1308" t="str">
        <f t="shared" si="41"/>
        <v/>
      </c>
      <c r="AA98" s="777"/>
      <c r="AB98" s="780"/>
      <c r="AC98" s="851" t="str">
        <f>IF(AB98="","",IF(I98=1,VLOOKUP(AB98,男子種目コード!$D$2:$E$16,2,FALSE),IF(I98=2,VLOOKUP(AB98,女子種目コード!$D$2:$E$16,2,FALSE))))</f>
        <v/>
      </c>
      <c r="AD98" s="845"/>
      <c r="AE98" s="781"/>
      <c r="AF98" s="851"/>
      <c r="AG98" s="846"/>
      <c r="AH98" s="802"/>
      <c r="AI98" s="802"/>
      <c r="AK98" s="868"/>
      <c r="AL98" s="797" t="str">
        <f t="shared" si="42"/>
        <v/>
      </c>
      <c r="AM98" s="807"/>
      <c r="AN98" s="807"/>
      <c r="AO98" s="807"/>
      <c r="AP98" s="807"/>
      <c r="AQ98" s="807"/>
      <c r="AR98" s="807"/>
      <c r="AS98" s="807"/>
      <c r="AT98" s="847">
        <f t="shared" si="30"/>
        <v>0</v>
      </c>
      <c r="AU98" s="807"/>
      <c r="AV98" s="797">
        <f t="shared" si="43"/>
        <v>0</v>
      </c>
      <c r="AW98" s="797" t="str">
        <f t="shared" si="31"/>
        <v/>
      </c>
      <c r="AX98" s="797" t="str">
        <f t="shared" si="32"/>
        <v/>
      </c>
      <c r="AY98" s="807"/>
      <c r="AZ98" s="807"/>
      <c r="BA98" s="807"/>
      <c r="BB98" s="807"/>
      <c r="BG98" s="807"/>
      <c r="BH98" s="1169"/>
      <c r="BI98" s="1169"/>
      <c r="BJ98" s="1169"/>
      <c r="BK98" s="1169"/>
      <c r="BL98" s="1169"/>
    </row>
    <row r="99" spans="1:64">
      <c r="A99" s="839">
        <f t="shared" si="33"/>
        <v>0</v>
      </c>
      <c r="B99" s="844" t="str">
        <f>前年度登録!AE96</f>
        <v/>
      </c>
      <c r="C99" s="1286">
        <f t="shared" si="34"/>
        <v>0</v>
      </c>
      <c r="D99" s="848"/>
      <c r="E99" s="849">
        <f>前年度登録!T96</f>
        <v>0</v>
      </c>
      <c r="F99" s="694" t="str">
        <f>前年度登録!DB96</f>
        <v/>
      </c>
      <c r="G99" s="1134" t="str">
        <f>前年度登録!AO96</f>
        <v/>
      </c>
      <c r="H99" s="663" t="str">
        <f>前年度登録!DB96</f>
        <v/>
      </c>
      <c r="I99" s="290" t="str">
        <f>前年度登録!AN96</f>
        <v/>
      </c>
      <c r="J99" s="359" t="str">
        <f>前年度登録!DC96</f>
        <v/>
      </c>
      <c r="K99" s="1247">
        <f>前年度登録!DE96</f>
        <v>0</v>
      </c>
      <c r="L99" s="1037" t="str">
        <f>前年度登録!DJ96</f>
        <v>00</v>
      </c>
      <c r="M99" s="844" t="s">
        <v>1061</v>
      </c>
      <c r="N99" s="1248">
        <f>前年度登録!S96</f>
        <v>0</v>
      </c>
      <c r="O99" s="291"/>
      <c r="P99" s="292" t="str">
        <f t="shared" si="35"/>
        <v/>
      </c>
      <c r="Q99" s="623" t="str">
        <f>IF(O99="","",HLOOKUP(O99,前年度登録!$AW$3:$CW$118,94,FALSE))</f>
        <v/>
      </c>
      <c r="R99" s="773" t="str">
        <f t="shared" si="36"/>
        <v/>
      </c>
      <c r="S99" s="774" t="str">
        <f t="shared" si="37"/>
        <v/>
      </c>
      <c r="T99" s="293"/>
      <c r="U99" s="850" t="str">
        <f t="shared" si="38"/>
        <v/>
      </c>
      <c r="V99" s="1290"/>
      <c r="W99" s="773" t="str">
        <f t="shared" si="39"/>
        <v/>
      </c>
      <c r="X99" s="774" t="str">
        <f t="shared" si="40"/>
        <v/>
      </c>
      <c r="Y99" s="1311"/>
      <c r="Z99" s="1308" t="str">
        <f t="shared" si="41"/>
        <v/>
      </c>
      <c r="AA99" s="777"/>
      <c r="AB99" s="780"/>
      <c r="AC99" s="851" t="str">
        <f>IF(AB99="","",IF(I99=1,VLOOKUP(AB99,男子種目コード!$D$2:$E$16,2,FALSE),IF(I99=2,VLOOKUP(AB99,女子種目コード!$D$2:$E$16,2,FALSE))))</f>
        <v/>
      </c>
      <c r="AD99" s="845"/>
      <c r="AE99" s="781"/>
      <c r="AF99" s="851"/>
      <c r="AG99" s="846"/>
      <c r="AH99" s="802"/>
      <c r="AI99" s="802"/>
      <c r="AK99" s="868"/>
      <c r="AL99" s="797" t="str">
        <f t="shared" si="42"/>
        <v/>
      </c>
      <c r="AM99" s="807"/>
      <c r="AN99" s="807"/>
      <c r="AO99" s="807"/>
      <c r="AP99" s="807"/>
      <c r="AQ99" s="807"/>
      <c r="AR99" s="807"/>
      <c r="AS99" s="807"/>
      <c r="AT99" s="847">
        <f t="shared" si="30"/>
        <v>0</v>
      </c>
      <c r="AU99" s="807"/>
      <c r="AV99" s="797">
        <f t="shared" si="43"/>
        <v>0</v>
      </c>
      <c r="AW99" s="797" t="str">
        <f t="shared" si="31"/>
        <v/>
      </c>
      <c r="AX99" s="797" t="str">
        <f t="shared" si="32"/>
        <v/>
      </c>
      <c r="AY99" s="807"/>
      <c r="AZ99" s="807"/>
      <c r="BA99" s="807"/>
      <c r="BB99" s="807"/>
      <c r="BG99" s="807"/>
      <c r="BH99" s="1169"/>
      <c r="BI99" s="1169"/>
      <c r="BJ99" s="1169"/>
      <c r="BK99" s="1169"/>
      <c r="BL99" s="1169"/>
    </row>
    <row r="100" spans="1:64">
      <c r="A100" s="839">
        <f t="shared" si="33"/>
        <v>0</v>
      </c>
      <c r="B100" s="844" t="str">
        <f>前年度登録!AE97</f>
        <v/>
      </c>
      <c r="C100" s="1286">
        <f t="shared" si="34"/>
        <v>0</v>
      </c>
      <c r="D100" s="848"/>
      <c r="E100" s="849">
        <f>前年度登録!T97</f>
        <v>0</v>
      </c>
      <c r="F100" s="694" t="str">
        <f>前年度登録!DB97</f>
        <v/>
      </c>
      <c r="G100" s="1134" t="str">
        <f>前年度登録!AO97</f>
        <v/>
      </c>
      <c r="H100" s="663" t="str">
        <f>前年度登録!DB97</f>
        <v/>
      </c>
      <c r="I100" s="290" t="str">
        <f>前年度登録!AN97</f>
        <v/>
      </c>
      <c r="J100" s="359" t="str">
        <f>前年度登録!DC97</f>
        <v/>
      </c>
      <c r="K100" s="1247">
        <f>前年度登録!DE97</f>
        <v>0</v>
      </c>
      <c r="L100" s="1037" t="str">
        <f>前年度登録!DJ97</f>
        <v>00</v>
      </c>
      <c r="M100" s="844" t="s">
        <v>1061</v>
      </c>
      <c r="N100" s="1248">
        <f>前年度登録!S97</f>
        <v>0</v>
      </c>
      <c r="O100" s="291"/>
      <c r="P100" s="292" t="str">
        <f t="shared" si="35"/>
        <v/>
      </c>
      <c r="Q100" s="623" t="str">
        <f>IF(O100="","",HLOOKUP(O100,前年度登録!$AW$3:$CW$118,95,FALSE))</f>
        <v/>
      </c>
      <c r="R100" s="773" t="str">
        <f t="shared" si="36"/>
        <v/>
      </c>
      <c r="S100" s="774" t="str">
        <f t="shared" si="37"/>
        <v/>
      </c>
      <c r="T100" s="293"/>
      <c r="U100" s="850" t="str">
        <f t="shared" si="38"/>
        <v/>
      </c>
      <c r="V100" s="1290"/>
      <c r="W100" s="773" t="str">
        <f t="shared" si="39"/>
        <v/>
      </c>
      <c r="X100" s="774" t="str">
        <f t="shared" si="40"/>
        <v/>
      </c>
      <c r="Y100" s="1311"/>
      <c r="Z100" s="1308" t="str">
        <f t="shared" si="41"/>
        <v/>
      </c>
      <c r="AA100" s="777"/>
      <c r="AB100" s="780"/>
      <c r="AC100" s="851" t="str">
        <f>IF(AB100="","",IF(I100=1,VLOOKUP(AB100,男子種目コード!$D$2:$E$16,2,FALSE),IF(I100=2,VLOOKUP(AB100,女子種目コード!$D$2:$E$16,2,FALSE))))</f>
        <v/>
      </c>
      <c r="AD100" s="845"/>
      <c r="AE100" s="781"/>
      <c r="AF100" s="851"/>
      <c r="AG100" s="846"/>
      <c r="AH100" s="802"/>
      <c r="AI100" s="802"/>
      <c r="AK100" s="868"/>
      <c r="AL100" s="797" t="str">
        <f t="shared" si="42"/>
        <v/>
      </c>
      <c r="AM100" s="807"/>
      <c r="AN100" s="807"/>
      <c r="AO100" s="807"/>
      <c r="AP100" s="807"/>
      <c r="AQ100" s="807"/>
      <c r="AR100" s="807"/>
      <c r="AS100" s="807"/>
      <c r="AT100" s="847">
        <f t="shared" si="30"/>
        <v>0</v>
      </c>
      <c r="AU100" s="807"/>
      <c r="AV100" s="797">
        <f t="shared" si="43"/>
        <v>0</v>
      </c>
      <c r="AW100" s="797" t="str">
        <f t="shared" si="31"/>
        <v/>
      </c>
      <c r="AX100" s="797" t="str">
        <f t="shared" si="32"/>
        <v/>
      </c>
      <c r="AY100" s="807"/>
      <c r="AZ100" s="807"/>
      <c r="BA100" s="807"/>
      <c r="BB100" s="807"/>
      <c r="BG100" s="807"/>
      <c r="BH100" s="1169"/>
      <c r="BI100" s="1169"/>
      <c r="BJ100" s="1169"/>
      <c r="BK100" s="1169"/>
      <c r="BL100" s="1169"/>
    </row>
    <row r="101" spans="1:64">
      <c r="A101" s="839">
        <f t="shared" si="33"/>
        <v>0</v>
      </c>
      <c r="B101" s="844" t="str">
        <f>前年度登録!AE98</f>
        <v/>
      </c>
      <c r="C101" s="1286">
        <f t="shared" si="34"/>
        <v>0</v>
      </c>
      <c r="D101" s="848"/>
      <c r="E101" s="849">
        <f>前年度登録!T98</f>
        <v>0</v>
      </c>
      <c r="F101" s="694" t="str">
        <f>前年度登録!DB98</f>
        <v/>
      </c>
      <c r="G101" s="1134" t="str">
        <f>前年度登録!AO98</f>
        <v/>
      </c>
      <c r="H101" s="663" t="str">
        <f>前年度登録!DB98</f>
        <v/>
      </c>
      <c r="I101" s="290" t="str">
        <f>前年度登録!AN98</f>
        <v/>
      </c>
      <c r="J101" s="359" t="str">
        <f>前年度登録!DC98</f>
        <v/>
      </c>
      <c r="K101" s="1247">
        <f>前年度登録!DE98</f>
        <v>0</v>
      </c>
      <c r="L101" s="1037" t="str">
        <f>前年度登録!DJ98</f>
        <v>00</v>
      </c>
      <c r="M101" s="844" t="s">
        <v>1061</v>
      </c>
      <c r="N101" s="1248">
        <f>前年度登録!S98</f>
        <v>0</v>
      </c>
      <c r="O101" s="291"/>
      <c r="P101" s="292" t="str">
        <f t="shared" si="35"/>
        <v/>
      </c>
      <c r="Q101" s="623" t="str">
        <f>IF(O101="","",HLOOKUP(O101,前年度登録!$AW$3:$CW$118,96,FALSE))</f>
        <v/>
      </c>
      <c r="R101" s="773" t="str">
        <f t="shared" si="36"/>
        <v/>
      </c>
      <c r="S101" s="774" t="str">
        <f t="shared" si="37"/>
        <v/>
      </c>
      <c r="T101" s="293"/>
      <c r="U101" s="850" t="str">
        <f t="shared" si="38"/>
        <v/>
      </c>
      <c r="V101" s="1290"/>
      <c r="W101" s="773" t="str">
        <f t="shared" si="39"/>
        <v/>
      </c>
      <c r="X101" s="774" t="str">
        <f t="shared" si="40"/>
        <v/>
      </c>
      <c r="Y101" s="1311"/>
      <c r="Z101" s="1308" t="str">
        <f t="shared" si="41"/>
        <v/>
      </c>
      <c r="AA101" s="777"/>
      <c r="AB101" s="780"/>
      <c r="AC101" s="851" t="str">
        <f>IF(AB101="","",IF(I101=1,VLOOKUP(AB101,男子種目コード!$D$2:$E$16,2,FALSE),IF(I101=2,VLOOKUP(AB101,女子種目コード!$D$2:$E$16,2,FALSE))))</f>
        <v/>
      </c>
      <c r="AD101" s="845"/>
      <c r="AE101" s="781"/>
      <c r="AF101" s="851"/>
      <c r="AG101" s="846"/>
      <c r="AH101" s="802"/>
      <c r="AI101" s="802"/>
      <c r="AK101" s="868"/>
      <c r="AL101" s="797" t="str">
        <f t="shared" si="42"/>
        <v/>
      </c>
      <c r="AM101" s="807"/>
      <c r="AN101" s="807"/>
      <c r="AO101" s="807"/>
      <c r="AP101" s="807"/>
      <c r="AQ101" s="807"/>
      <c r="AR101" s="807"/>
      <c r="AS101" s="807"/>
      <c r="AT101" s="847">
        <f t="shared" si="30"/>
        <v>0</v>
      </c>
      <c r="AU101" s="807"/>
      <c r="AV101" s="797">
        <f t="shared" si="43"/>
        <v>0</v>
      </c>
      <c r="AW101" s="797" t="str">
        <f t="shared" si="31"/>
        <v/>
      </c>
      <c r="AX101" s="797" t="str">
        <f t="shared" si="32"/>
        <v/>
      </c>
      <c r="AY101" s="807"/>
      <c r="AZ101" s="807"/>
      <c r="BA101" s="807"/>
      <c r="BB101" s="807"/>
      <c r="BG101" s="807"/>
      <c r="BH101" s="1169"/>
      <c r="BI101" s="1169"/>
      <c r="BJ101" s="1169"/>
      <c r="BK101" s="1169"/>
      <c r="BL101" s="1169"/>
    </row>
    <row r="102" spans="1:64">
      <c r="A102" s="839">
        <f t="shared" si="33"/>
        <v>0</v>
      </c>
      <c r="B102" s="844" t="str">
        <f>前年度登録!AE99</f>
        <v/>
      </c>
      <c r="C102" s="1286">
        <f t="shared" si="34"/>
        <v>0</v>
      </c>
      <c r="D102" s="848"/>
      <c r="E102" s="849">
        <f>前年度登録!T99</f>
        <v>0</v>
      </c>
      <c r="F102" s="694" t="str">
        <f>前年度登録!DB99</f>
        <v/>
      </c>
      <c r="G102" s="1134" t="str">
        <f>前年度登録!AO99</f>
        <v/>
      </c>
      <c r="H102" s="663" t="str">
        <f>前年度登録!DB99</f>
        <v/>
      </c>
      <c r="I102" s="290" t="str">
        <f>前年度登録!AN99</f>
        <v/>
      </c>
      <c r="J102" s="359" t="str">
        <f>前年度登録!DC99</f>
        <v/>
      </c>
      <c r="K102" s="1247">
        <f>前年度登録!DE99</f>
        <v>0</v>
      </c>
      <c r="L102" s="1037" t="str">
        <f>前年度登録!DJ99</f>
        <v>00</v>
      </c>
      <c r="M102" s="844" t="s">
        <v>1061</v>
      </c>
      <c r="N102" s="1248">
        <f>前年度登録!S99</f>
        <v>0</v>
      </c>
      <c r="O102" s="291"/>
      <c r="P102" s="292" t="str">
        <f t="shared" si="35"/>
        <v/>
      </c>
      <c r="Q102" s="623" t="str">
        <f>IF(O102="","",HLOOKUP(O102,前年度登録!$AW$3:$CW$118,97,FALSE))</f>
        <v/>
      </c>
      <c r="R102" s="773" t="str">
        <f t="shared" si="36"/>
        <v/>
      </c>
      <c r="S102" s="774" t="str">
        <f t="shared" si="37"/>
        <v/>
      </c>
      <c r="T102" s="293"/>
      <c r="U102" s="850" t="str">
        <f t="shared" si="38"/>
        <v/>
      </c>
      <c r="V102" s="1290"/>
      <c r="W102" s="773" t="str">
        <f t="shared" si="39"/>
        <v/>
      </c>
      <c r="X102" s="774" t="str">
        <f t="shared" si="40"/>
        <v/>
      </c>
      <c r="Y102" s="1311"/>
      <c r="Z102" s="1308" t="str">
        <f t="shared" si="41"/>
        <v/>
      </c>
      <c r="AA102" s="777"/>
      <c r="AB102" s="780"/>
      <c r="AC102" s="851" t="str">
        <f>IF(AB102="","",IF(I102=1,VLOOKUP(AB102,男子種目コード!$D$2:$E$16,2,FALSE),IF(I102=2,VLOOKUP(AB102,女子種目コード!$D$2:$E$16,2,FALSE))))</f>
        <v/>
      </c>
      <c r="AD102" s="845"/>
      <c r="AE102" s="781"/>
      <c r="AF102" s="851"/>
      <c r="AG102" s="846"/>
      <c r="AH102" s="802"/>
      <c r="AI102" s="802"/>
      <c r="AK102" s="868"/>
      <c r="AL102" s="797" t="str">
        <f t="shared" si="42"/>
        <v/>
      </c>
      <c r="AM102" s="807"/>
      <c r="AN102" s="807"/>
      <c r="AO102" s="807"/>
      <c r="AP102" s="807"/>
      <c r="AQ102" s="807"/>
      <c r="AR102" s="807"/>
      <c r="AS102" s="807"/>
      <c r="AT102" s="847">
        <f t="shared" si="30"/>
        <v>0</v>
      </c>
      <c r="AU102" s="807"/>
      <c r="AV102" s="797">
        <f t="shared" si="43"/>
        <v>0</v>
      </c>
      <c r="AW102" s="797" t="str">
        <f t="shared" si="31"/>
        <v/>
      </c>
      <c r="AX102" s="797" t="str">
        <f t="shared" si="32"/>
        <v/>
      </c>
      <c r="AY102" s="807"/>
      <c r="AZ102" s="807"/>
      <c r="BA102" s="807"/>
      <c r="BB102" s="807"/>
      <c r="BG102" s="807"/>
      <c r="BH102" s="1169"/>
      <c r="BI102" s="1169"/>
      <c r="BJ102" s="1169"/>
      <c r="BK102" s="1169"/>
      <c r="BL102" s="1169"/>
    </row>
    <row r="103" spans="1:64">
      <c r="A103" s="839">
        <f t="shared" si="33"/>
        <v>0</v>
      </c>
      <c r="B103" s="844" t="str">
        <f>前年度登録!AE100</f>
        <v/>
      </c>
      <c r="C103" s="1286">
        <f t="shared" si="34"/>
        <v>0</v>
      </c>
      <c r="D103" s="848"/>
      <c r="E103" s="849">
        <f>前年度登録!T100</f>
        <v>0</v>
      </c>
      <c r="F103" s="694" t="str">
        <f>前年度登録!DB100</f>
        <v/>
      </c>
      <c r="G103" s="1134" t="str">
        <f>前年度登録!AO100</f>
        <v/>
      </c>
      <c r="H103" s="663" t="str">
        <f>前年度登録!DB100</f>
        <v/>
      </c>
      <c r="I103" s="290" t="str">
        <f>前年度登録!AN100</f>
        <v/>
      </c>
      <c r="J103" s="359" t="str">
        <f>前年度登録!DC100</f>
        <v/>
      </c>
      <c r="K103" s="1247">
        <f>前年度登録!DE100</f>
        <v>0</v>
      </c>
      <c r="L103" s="1037" t="str">
        <f>前年度登録!DJ100</f>
        <v>00</v>
      </c>
      <c r="M103" s="844" t="s">
        <v>1061</v>
      </c>
      <c r="N103" s="1248">
        <f>前年度登録!S100</f>
        <v>0</v>
      </c>
      <c r="O103" s="291"/>
      <c r="P103" s="292" t="str">
        <f t="shared" si="35"/>
        <v/>
      </c>
      <c r="Q103" s="623" t="str">
        <f>IF(O103="","",HLOOKUP(O103,前年度登録!$AW$3:$CW$118,98,FALSE))</f>
        <v/>
      </c>
      <c r="R103" s="773" t="str">
        <f t="shared" si="36"/>
        <v/>
      </c>
      <c r="S103" s="774" t="str">
        <f t="shared" si="37"/>
        <v/>
      </c>
      <c r="T103" s="293"/>
      <c r="U103" s="850" t="str">
        <f t="shared" si="38"/>
        <v/>
      </c>
      <c r="V103" s="1290"/>
      <c r="W103" s="773" t="str">
        <f t="shared" si="39"/>
        <v/>
      </c>
      <c r="X103" s="774" t="str">
        <f t="shared" si="40"/>
        <v/>
      </c>
      <c r="Y103" s="1311"/>
      <c r="Z103" s="1308" t="str">
        <f t="shared" si="41"/>
        <v/>
      </c>
      <c r="AA103" s="777"/>
      <c r="AB103" s="780"/>
      <c r="AC103" s="851" t="str">
        <f>IF(AB103="","",IF(I103=1,VLOOKUP(AB103,男子種目コード!$D$2:$E$16,2,FALSE),IF(I103=2,VLOOKUP(AB103,女子種目コード!$D$2:$E$16,2,FALSE))))</f>
        <v/>
      </c>
      <c r="AD103" s="845"/>
      <c r="AE103" s="781"/>
      <c r="AF103" s="851"/>
      <c r="AG103" s="846"/>
      <c r="AH103" s="802"/>
      <c r="AI103" s="802"/>
      <c r="AK103" s="868"/>
      <c r="AL103" s="797" t="str">
        <f t="shared" si="42"/>
        <v/>
      </c>
      <c r="AM103" s="807"/>
      <c r="AN103" s="807"/>
      <c r="AO103" s="807"/>
      <c r="AP103" s="807"/>
      <c r="AQ103" s="807"/>
      <c r="AR103" s="807"/>
      <c r="AS103" s="807"/>
      <c r="AT103" s="847">
        <f t="shared" ref="AT103:AT116" si="44">IF(OR(AL103=1,T103=""),0,1)</f>
        <v>0</v>
      </c>
      <c r="AU103" s="807"/>
      <c r="AV103" s="797">
        <f t="shared" si="43"/>
        <v>0</v>
      </c>
      <c r="AW103" s="797" t="str">
        <f t="shared" ref="AW103:AW116" si="45">IF(I103=1,AV103,"")</f>
        <v/>
      </c>
      <c r="AX103" s="797" t="str">
        <f t="shared" ref="AX103:AX116" si="46">IF(I103=2,AV103,"")</f>
        <v/>
      </c>
      <c r="AY103" s="807"/>
      <c r="AZ103" s="807"/>
      <c r="BA103" s="807"/>
      <c r="BB103" s="807"/>
      <c r="BG103" s="807"/>
      <c r="BH103" s="1169"/>
      <c r="BI103" s="1169"/>
      <c r="BJ103" s="1169"/>
      <c r="BK103" s="1169"/>
      <c r="BL103" s="1169"/>
    </row>
    <row r="104" spans="1:64">
      <c r="A104" s="839">
        <f t="shared" si="33"/>
        <v>0</v>
      </c>
      <c r="B104" s="844" t="str">
        <f>前年度登録!AE101</f>
        <v/>
      </c>
      <c r="C104" s="1286">
        <f t="shared" si="34"/>
        <v>0</v>
      </c>
      <c r="D104" s="848"/>
      <c r="E104" s="849">
        <f>前年度登録!T101</f>
        <v>0</v>
      </c>
      <c r="F104" s="694" t="str">
        <f>前年度登録!DB101</f>
        <v/>
      </c>
      <c r="G104" s="1134" t="str">
        <f>前年度登録!AO101</f>
        <v/>
      </c>
      <c r="H104" s="663" t="str">
        <f>前年度登録!DB101</f>
        <v/>
      </c>
      <c r="I104" s="290" t="str">
        <f>前年度登録!AN101</f>
        <v/>
      </c>
      <c r="J104" s="359" t="str">
        <f>前年度登録!DC101</f>
        <v/>
      </c>
      <c r="K104" s="1247">
        <f>前年度登録!DE101</f>
        <v>0</v>
      </c>
      <c r="L104" s="1037" t="str">
        <f>前年度登録!DJ101</f>
        <v>00</v>
      </c>
      <c r="M104" s="844" t="s">
        <v>1061</v>
      </c>
      <c r="N104" s="1248">
        <f>前年度登録!S101</f>
        <v>0</v>
      </c>
      <c r="O104" s="291"/>
      <c r="P104" s="292" t="str">
        <f t="shared" si="35"/>
        <v/>
      </c>
      <c r="Q104" s="623" t="str">
        <f>IF(O104="","",HLOOKUP(O104,前年度登録!$AW$3:$CW$118,99,FALSE))</f>
        <v/>
      </c>
      <c r="R104" s="773" t="str">
        <f t="shared" si="36"/>
        <v/>
      </c>
      <c r="S104" s="774" t="str">
        <f t="shared" si="37"/>
        <v/>
      </c>
      <c r="T104" s="293"/>
      <c r="U104" s="850" t="str">
        <f t="shared" si="38"/>
        <v/>
      </c>
      <c r="V104" s="1290"/>
      <c r="W104" s="773" t="str">
        <f t="shared" si="39"/>
        <v/>
      </c>
      <c r="X104" s="774" t="str">
        <f t="shared" si="40"/>
        <v/>
      </c>
      <c r="Y104" s="1311"/>
      <c r="Z104" s="1308" t="str">
        <f t="shared" si="41"/>
        <v/>
      </c>
      <c r="AA104" s="777"/>
      <c r="AB104" s="780"/>
      <c r="AC104" s="851" t="str">
        <f>IF(AB104="","",IF(I104=1,VLOOKUP(AB104,男子種目コード!$D$2:$E$16,2,FALSE),IF(I104=2,VLOOKUP(AB104,女子種目コード!$D$2:$E$16,2,FALSE))))</f>
        <v/>
      </c>
      <c r="AD104" s="845"/>
      <c r="AE104" s="781"/>
      <c r="AF104" s="851"/>
      <c r="AG104" s="846"/>
      <c r="AH104" s="802"/>
      <c r="AI104" s="802"/>
      <c r="AK104" s="868"/>
      <c r="AL104" s="797" t="str">
        <f t="shared" si="42"/>
        <v/>
      </c>
      <c r="AM104" s="807"/>
      <c r="AN104" s="807"/>
      <c r="AO104" s="807"/>
      <c r="AP104" s="807"/>
      <c r="AQ104" s="807"/>
      <c r="AR104" s="807"/>
      <c r="AS104" s="807"/>
      <c r="AT104" s="847">
        <f t="shared" si="44"/>
        <v>0</v>
      </c>
      <c r="AU104" s="807"/>
      <c r="AV104" s="797">
        <f t="shared" si="43"/>
        <v>0</v>
      </c>
      <c r="AW104" s="797" t="str">
        <f t="shared" si="45"/>
        <v/>
      </c>
      <c r="AX104" s="797" t="str">
        <f t="shared" si="46"/>
        <v/>
      </c>
      <c r="AY104" s="807"/>
      <c r="AZ104" s="807"/>
      <c r="BA104" s="807"/>
      <c r="BB104" s="807"/>
      <c r="BG104" s="807"/>
      <c r="BH104" s="1169"/>
      <c r="BI104" s="1169"/>
      <c r="BJ104" s="1169"/>
      <c r="BK104" s="1169"/>
      <c r="BL104" s="1169"/>
    </row>
    <row r="105" spans="1:64">
      <c r="A105" s="839">
        <f t="shared" si="33"/>
        <v>0</v>
      </c>
      <c r="B105" s="844" t="str">
        <f>前年度登録!AE102</f>
        <v/>
      </c>
      <c r="C105" s="1286">
        <f t="shared" si="34"/>
        <v>0</v>
      </c>
      <c r="D105" s="848"/>
      <c r="E105" s="849">
        <f>前年度登録!T102</f>
        <v>0</v>
      </c>
      <c r="F105" s="694" t="str">
        <f>前年度登録!DB102</f>
        <v/>
      </c>
      <c r="G105" s="1134" t="str">
        <f>前年度登録!AO102</f>
        <v/>
      </c>
      <c r="H105" s="663" t="str">
        <f>前年度登録!DB102</f>
        <v/>
      </c>
      <c r="I105" s="290" t="str">
        <f>前年度登録!AN102</f>
        <v/>
      </c>
      <c r="J105" s="359" t="str">
        <f>前年度登録!DC102</f>
        <v/>
      </c>
      <c r="K105" s="1247">
        <f>前年度登録!DE102</f>
        <v>0</v>
      </c>
      <c r="L105" s="1037" t="str">
        <f>前年度登録!DJ102</f>
        <v>00</v>
      </c>
      <c r="M105" s="844" t="s">
        <v>1061</v>
      </c>
      <c r="N105" s="1248">
        <f>前年度登録!S102</f>
        <v>0</v>
      </c>
      <c r="O105" s="291"/>
      <c r="P105" s="292" t="str">
        <f t="shared" si="35"/>
        <v/>
      </c>
      <c r="Q105" s="623" t="str">
        <f>IF(O105="","",HLOOKUP(O105,前年度登録!$AW$3:$CW$118,100,FALSE))</f>
        <v/>
      </c>
      <c r="R105" s="773" t="str">
        <f t="shared" si="36"/>
        <v/>
      </c>
      <c r="S105" s="774" t="str">
        <f t="shared" si="37"/>
        <v/>
      </c>
      <c r="T105" s="293"/>
      <c r="U105" s="850" t="str">
        <f t="shared" si="38"/>
        <v/>
      </c>
      <c r="V105" s="1290"/>
      <c r="W105" s="773" t="str">
        <f t="shared" si="39"/>
        <v/>
      </c>
      <c r="X105" s="774" t="str">
        <f t="shared" si="40"/>
        <v/>
      </c>
      <c r="Y105" s="1311"/>
      <c r="Z105" s="1308" t="str">
        <f t="shared" si="41"/>
        <v/>
      </c>
      <c r="AA105" s="777"/>
      <c r="AB105" s="780"/>
      <c r="AC105" s="851" t="str">
        <f>IF(AB105="","",IF(I105=1,VLOOKUP(AB105,男子種目コード!$D$2:$E$16,2,FALSE),IF(I105=2,VLOOKUP(AB105,女子種目コード!$D$2:$E$16,2,FALSE))))</f>
        <v/>
      </c>
      <c r="AD105" s="845"/>
      <c r="AE105" s="781"/>
      <c r="AF105" s="851"/>
      <c r="AG105" s="846"/>
      <c r="AH105" s="802"/>
      <c r="AI105" s="802"/>
      <c r="AK105" s="868"/>
      <c r="AL105" s="797" t="str">
        <f t="shared" si="42"/>
        <v/>
      </c>
      <c r="AM105" s="807"/>
      <c r="AN105" s="807"/>
      <c r="AO105" s="807"/>
      <c r="AP105" s="807"/>
      <c r="AQ105" s="807"/>
      <c r="AR105" s="807"/>
      <c r="AS105" s="807"/>
      <c r="AT105" s="847">
        <f t="shared" si="44"/>
        <v>0</v>
      </c>
      <c r="AU105" s="807"/>
      <c r="AV105" s="797">
        <f t="shared" si="43"/>
        <v>0</v>
      </c>
      <c r="AW105" s="797" t="str">
        <f t="shared" si="45"/>
        <v/>
      </c>
      <c r="AX105" s="797" t="str">
        <f t="shared" si="46"/>
        <v/>
      </c>
      <c r="AY105" s="807"/>
      <c r="AZ105" s="807"/>
      <c r="BA105" s="807"/>
      <c r="BB105" s="807"/>
      <c r="BG105" s="807"/>
      <c r="BH105" s="1169"/>
      <c r="BI105" s="1169"/>
      <c r="BJ105" s="1169"/>
      <c r="BK105" s="1169"/>
      <c r="BL105" s="1169"/>
    </row>
    <row r="106" spans="1:64">
      <c r="A106" s="839">
        <f t="shared" si="33"/>
        <v>0</v>
      </c>
      <c r="B106" s="844" t="str">
        <f>前年度登録!AE103</f>
        <v/>
      </c>
      <c r="C106" s="1286">
        <f t="shared" si="34"/>
        <v>0</v>
      </c>
      <c r="D106" s="848"/>
      <c r="E106" s="849">
        <f>前年度登録!T103</f>
        <v>0</v>
      </c>
      <c r="F106" s="694" t="str">
        <f>前年度登録!DB103</f>
        <v/>
      </c>
      <c r="G106" s="1134" t="str">
        <f>前年度登録!AO103</f>
        <v/>
      </c>
      <c r="H106" s="663" t="str">
        <f>前年度登録!DB103</f>
        <v/>
      </c>
      <c r="I106" s="290" t="str">
        <f>前年度登録!AN103</f>
        <v/>
      </c>
      <c r="J106" s="359" t="str">
        <f>前年度登録!DC103</f>
        <v/>
      </c>
      <c r="K106" s="1247">
        <f>前年度登録!DE103</f>
        <v>0</v>
      </c>
      <c r="L106" s="1037" t="str">
        <f>前年度登録!DJ103</f>
        <v>00</v>
      </c>
      <c r="M106" s="844" t="s">
        <v>1061</v>
      </c>
      <c r="N106" s="1248">
        <f>前年度登録!S103</f>
        <v>0</v>
      </c>
      <c r="O106" s="291"/>
      <c r="P106" s="292" t="str">
        <f t="shared" si="35"/>
        <v/>
      </c>
      <c r="Q106" s="623" t="str">
        <f>IF(O106="","",HLOOKUP(O106,前年度登録!$AW$3:$CW$118,101,FALSE))</f>
        <v/>
      </c>
      <c r="R106" s="773" t="str">
        <f t="shared" si="36"/>
        <v/>
      </c>
      <c r="S106" s="774" t="str">
        <f t="shared" si="37"/>
        <v/>
      </c>
      <c r="T106" s="293"/>
      <c r="U106" s="850" t="str">
        <f t="shared" si="38"/>
        <v/>
      </c>
      <c r="V106" s="1290"/>
      <c r="W106" s="773" t="str">
        <f t="shared" si="39"/>
        <v/>
      </c>
      <c r="X106" s="774" t="str">
        <f t="shared" si="40"/>
        <v/>
      </c>
      <c r="Y106" s="1311"/>
      <c r="Z106" s="1308" t="str">
        <f t="shared" si="41"/>
        <v/>
      </c>
      <c r="AA106" s="777"/>
      <c r="AB106" s="780"/>
      <c r="AC106" s="851"/>
      <c r="AD106" s="845"/>
      <c r="AE106" s="781"/>
      <c r="AF106" s="851"/>
      <c r="AG106" s="846"/>
      <c r="AH106" s="802"/>
      <c r="AI106" s="802"/>
      <c r="AK106" s="868"/>
      <c r="AL106" s="797" t="str">
        <f t="shared" si="42"/>
        <v/>
      </c>
      <c r="AM106" s="807"/>
      <c r="AN106" s="807"/>
      <c r="AO106" s="807"/>
      <c r="AP106" s="807"/>
      <c r="AQ106" s="807"/>
      <c r="AR106" s="807"/>
      <c r="AS106" s="807"/>
      <c r="AT106" s="847">
        <f t="shared" si="44"/>
        <v>0</v>
      </c>
      <c r="AU106" s="807"/>
      <c r="AV106" s="797">
        <f t="shared" si="43"/>
        <v>0</v>
      </c>
      <c r="AW106" s="797" t="str">
        <f t="shared" si="45"/>
        <v/>
      </c>
      <c r="AX106" s="797" t="str">
        <f t="shared" si="46"/>
        <v/>
      </c>
      <c r="AY106" s="807"/>
      <c r="AZ106" s="807"/>
      <c r="BA106" s="807"/>
      <c r="BB106" s="807"/>
      <c r="BG106" s="807"/>
      <c r="BH106" s="1169"/>
      <c r="BI106" s="1169"/>
      <c r="BJ106" s="1169"/>
      <c r="BK106" s="1169"/>
      <c r="BL106" s="1169"/>
    </row>
    <row r="107" spans="1:64">
      <c r="A107" s="839">
        <f t="shared" si="33"/>
        <v>0</v>
      </c>
      <c r="B107" s="844" t="str">
        <f>前年度登録!AE104</f>
        <v/>
      </c>
      <c r="C107" s="1286">
        <f t="shared" si="34"/>
        <v>0</v>
      </c>
      <c r="D107" s="848"/>
      <c r="E107" s="849">
        <f>前年度登録!T104</f>
        <v>0</v>
      </c>
      <c r="F107" s="694" t="str">
        <f>前年度登録!DB104</f>
        <v/>
      </c>
      <c r="G107" s="1134" t="str">
        <f>前年度登録!AO104</f>
        <v/>
      </c>
      <c r="H107" s="663" t="str">
        <f>前年度登録!DB104</f>
        <v/>
      </c>
      <c r="I107" s="290" t="str">
        <f>前年度登録!AN104</f>
        <v/>
      </c>
      <c r="J107" s="359" t="str">
        <f>前年度登録!DC104</f>
        <v/>
      </c>
      <c r="K107" s="1247">
        <f>前年度登録!DE104</f>
        <v>0</v>
      </c>
      <c r="L107" s="1037" t="str">
        <f>前年度登録!DJ104</f>
        <v>00</v>
      </c>
      <c r="M107" s="844" t="s">
        <v>1061</v>
      </c>
      <c r="N107" s="1248">
        <f>前年度登録!S104</f>
        <v>0</v>
      </c>
      <c r="O107" s="291"/>
      <c r="P107" s="292" t="str">
        <f t="shared" si="35"/>
        <v/>
      </c>
      <c r="Q107" s="623" t="str">
        <f>IF(O107="","",HLOOKUP(O107,前年度登録!$AW$3:$CW$118,102,FALSE))</f>
        <v/>
      </c>
      <c r="R107" s="773" t="str">
        <f t="shared" si="36"/>
        <v/>
      </c>
      <c r="S107" s="774" t="str">
        <f t="shared" si="37"/>
        <v/>
      </c>
      <c r="T107" s="293"/>
      <c r="U107" s="850" t="str">
        <f t="shared" si="38"/>
        <v/>
      </c>
      <c r="V107" s="1290"/>
      <c r="W107" s="773" t="str">
        <f t="shared" si="39"/>
        <v/>
      </c>
      <c r="X107" s="774" t="str">
        <f t="shared" si="40"/>
        <v/>
      </c>
      <c r="Y107" s="1311"/>
      <c r="Z107" s="1308" t="str">
        <f t="shared" si="41"/>
        <v/>
      </c>
      <c r="AA107" s="777"/>
      <c r="AB107" s="780"/>
      <c r="AC107" s="851"/>
      <c r="AD107" s="845"/>
      <c r="AE107" s="781"/>
      <c r="AF107" s="851"/>
      <c r="AG107" s="846"/>
      <c r="AH107" s="802"/>
      <c r="AI107" s="802"/>
      <c r="AK107" s="868"/>
      <c r="AL107" s="797" t="str">
        <f t="shared" si="42"/>
        <v/>
      </c>
      <c r="AM107" s="807"/>
      <c r="AN107" s="807"/>
      <c r="AO107" s="807"/>
      <c r="AP107" s="807"/>
      <c r="AQ107" s="807"/>
      <c r="AR107" s="807"/>
      <c r="AS107" s="807"/>
      <c r="AT107" s="847">
        <f t="shared" si="44"/>
        <v>0</v>
      </c>
      <c r="AU107" s="807"/>
      <c r="AV107" s="797">
        <f t="shared" si="43"/>
        <v>0</v>
      </c>
      <c r="AW107" s="797" t="str">
        <f t="shared" si="45"/>
        <v/>
      </c>
      <c r="AX107" s="797" t="str">
        <f t="shared" si="46"/>
        <v/>
      </c>
      <c r="AY107" s="807"/>
      <c r="AZ107" s="807"/>
      <c r="BA107" s="807"/>
      <c r="BB107" s="807"/>
      <c r="BG107" s="807"/>
      <c r="BH107" s="1169"/>
      <c r="BI107" s="1169"/>
      <c r="BJ107" s="1169"/>
      <c r="BK107" s="1169"/>
      <c r="BL107" s="1169"/>
    </row>
    <row r="108" spans="1:64">
      <c r="A108" s="839">
        <f t="shared" si="33"/>
        <v>0</v>
      </c>
      <c r="B108" s="844" t="str">
        <f>前年度登録!AE105</f>
        <v/>
      </c>
      <c r="C108" s="1286">
        <f t="shared" si="34"/>
        <v>0</v>
      </c>
      <c r="D108" s="848"/>
      <c r="E108" s="849">
        <f>前年度登録!T105</f>
        <v>0</v>
      </c>
      <c r="F108" s="694" t="str">
        <f>前年度登録!DB105</f>
        <v/>
      </c>
      <c r="G108" s="1134" t="str">
        <f>前年度登録!AO105</f>
        <v/>
      </c>
      <c r="H108" s="663" t="str">
        <f>前年度登録!DB105</f>
        <v/>
      </c>
      <c r="I108" s="290" t="str">
        <f>前年度登録!AN105</f>
        <v/>
      </c>
      <c r="J108" s="359" t="str">
        <f>前年度登録!DC105</f>
        <v/>
      </c>
      <c r="K108" s="1247">
        <f>前年度登録!DE105</f>
        <v>0</v>
      </c>
      <c r="L108" s="1037" t="str">
        <f>前年度登録!DJ105</f>
        <v>00</v>
      </c>
      <c r="M108" s="844" t="s">
        <v>1061</v>
      </c>
      <c r="N108" s="1248">
        <f>前年度登録!S105</f>
        <v>0</v>
      </c>
      <c r="O108" s="291"/>
      <c r="P108" s="292" t="str">
        <f t="shared" si="35"/>
        <v/>
      </c>
      <c r="Q108" s="623" t="str">
        <f>IF(O108="","",HLOOKUP(O108,前年度登録!$AW$3:$CW$118,103,FALSE))</f>
        <v/>
      </c>
      <c r="R108" s="773" t="str">
        <f t="shared" si="36"/>
        <v/>
      </c>
      <c r="S108" s="774" t="str">
        <f t="shared" si="37"/>
        <v/>
      </c>
      <c r="T108" s="293"/>
      <c r="U108" s="850" t="str">
        <f t="shared" si="38"/>
        <v/>
      </c>
      <c r="V108" s="1290"/>
      <c r="W108" s="773" t="str">
        <f t="shared" si="39"/>
        <v/>
      </c>
      <c r="X108" s="774" t="str">
        <f t="shared" si="40"/>
        <v/>
      </c>
      <c r="Y108" s="1311"/>
      <c r="Z108" s="1308" t="str">
        <f t="shared" si="41"/>
        <v/>
      </c>
      <c r="AA108" s="777"/>
      <c r="AB108" s="780"/>
      <c r="AC108" s="851"/>
      <c r="AD108" s="845"/>
      <c r="AE108" s="781"/>
      <c r="AF108" s="851"/>
      <c r="AG108" s="846"/>
      <c r="AH108" s="802"/>
      <c r="AI108" s="802"/>
      <c r="AK108" s="868"/>
      <c r="AL108" s="797" t="str">
        <f t="shared" si="42"/>
        <v/>
      </c>
      <c r="AM108" s="807"/>
      <c r="AN108" s="807"/>
      <c r="AO108" s="807"/>
      <c r="AP108" s="807"/>
      <c r="AQ108" s="807"/>
      <c r="AR108" s="807"/>
      <c r="AS108" s="807"/>
      <c r="AT108" s="847">
        <f t="shared" si="44"/>
        <v>0</v>
      </c>
      <c r="AU108" s="807"/>
      <c r="AV108" s="797">
        <f t="shared" si="43"/>
        <v>0</v>
      </c>
      <c r="AW108" s="797" t="str">
        <f t="shared" si="45"/>
        <v/>
      </c>
      <c r="AX108" s="797" t="str">
        <f t="shared" si="46"/>
        <v/>
      </c>
      <c r="AY108" s="807"/>
      <c r="AZ108" s="807"/>
      <c r="BA108" s="807"/>
      <c r="BB108" s="807"/>
      <c r="BG108" s="807"/>
      <c r="BH108" s="1169"/>
      <c r="BI108" s="1169"/>
      <c r="BJ108" s="1169"/>
      <c r="BK108" s="1169"/>
      <c r="BL108" s="1169"/>
    </row>
    <row r="109" spans="1:64">
      <c r="A109" s="839">
        <f t="shared" si="33"/>
        <v>0</v>
      </c>
      <c r="B109" s="844" t="str">
        <f>前年度登録!AE106</f>
        <v/>
      </c>
      <c r="C109" s="1286">
        <f t="shared" si="34"/>
        <v>0</v>
      </c>
      <c r="D109" s="848"/>
      <c r="E109" s="849">
        <f>前年度登録!T106</f>
        <v>0</v>
      </c>
      <c r="F109" s="694" t="str">
        <f>前年度登録!DB106</f>
        <v/>
      </c>
      <c r="G109" s="1134" t="str">
        <f>前年度登録!AO106</f>
        <v/>
      </c>
      <c r="H109" s="663" t="str">
        <f>前年度登録!DB106</f>
        <v/>
      </c>
      <c r="I109" s="290" t="str">
        <f>前年度登録!AN106</f>
        <v/>
      </c>
      <c r="J109" s="359" t="str">
        <f>前年度登録!DC106</f>
        <v/>
      </c>
      <c r="K109" s="1247">
        <f>前年度登録!DE106</f>
        <v>0</v>
      </c>
      <c r="L109" s="1037" t="str">
        <f>前年度登録!DJ106</f>
        <v>00</v>
      </c>
      <c r="M109" s="844" t="s">
        <v>1061</v>
      </c>
      <c r="N109" s="1248">
        <f>前年度登録!S106</f>
        <v>0</v>
      </c>
      <c r="O109" s="291"/>
      <c r="P109" s="292" t="str">
        <f t="shared" si="35"/>
        <v/>
      </c>
      <c r="Q109" s="623" t="str">
        <f>IF(O109="","",HLOOKUP(O109,前年度登録!$AW$3:$CW$118,104,FALSE))</f>
        <v/>
      </c>
      <c r="R109" s="773" t="str">
        <f t="shared" si="36"/>
        <v/>
      </c>
      <c r="S109" s="774" t="str">
        <f t="shared" si="37"/>
        <v/>
      </c>
      <c r="T109" s="293"/>
      <c r="U109" s="850" t="str">
        <f t="shared" si="38"/>
        <v/>
      </c>
      <c r="V109" s="1290"/>
      <c r="W109" s="773" t="str">
        <f t="shared" si="39"/>
        <v/>
      </c>
      <c r="X109" s="774" t="str">
        <f t="shared" si="40"/>
        <v/>
      </c>
      <c r="Y109" s="1311"/>
      <c r="Z109" s="1308" t="str">
        <f t="shared" si="41"/>
        <v/>
      </c>
      <c r="AA109" s="777"/>
      <c r="AB109" s="780"/>
      <c r="AC109" s="851"/>
      <c r="AD109" s="845"/>
      <c r="AE109" s="781"/>
      <c r="AF109" s="851"/>
      <c r="AG109" s="846"/>
      <c r="AH109" s="802"/>
      <c r="AI109" s="802"/>
      <c r="AK109" s="868"/>
      <c r="AL109" s="797" t="str">
        <f t="shared" si="42"/>
        <v/>
      </c>
      <c r="AM109" s="807"/>
      <c r="AN109" s="807"/>
      <c r="AO109" s="807"/>
      <c r="AP109" s="807"/>
      <c r="AQ109" s="807"/>
      <c r="AR109" s="807"/>
      <c r="AS109" s="807"/>
      <c r="AT109" s="847">
        <f t="shared" si="44"/>
        <v>0</v>
      </c>
      <c r="AU109" s="807"/>
      <c r="AV109" s="797">
        <f t="shared" si="43"/>
        <v>0</v>
      </c>
      <c r="AW109" s="797" t="str">
        <f t="shared" si="45"/>
        <v/>
      </c>
      <c r="AX109" s="797" t="str">
        <f t="shared" si="46"/>
        <v/>
      </c>
      <c r="AY109" s="807"/>
      <c r="AZ109" s="807"/>
      <c r="BA109" s="807"/>
      <c r="BB109" s="807"/>
      <c r="BG109" s="807"/>
      <c r="BH109" s="1169"/>
      <c r="BI109" s="1169"/>
      <c r="BJ109" s="1169"/>
      <c r="BK109" s="1169"/>
      <c r="BL109" s="1169"/>
    </row>
    <row r="110" spans="1:64">
      <c r="A110" s="839">
        <f t="shared" si="33"/>
        <v>0</v>
      </c>
      <c r="B110" s="844" t="str">
        <f>前年度登録!AE107</f>
        <v/>
      </c>
      <c r="C110" s="1286">
        <f t="shared" si="34"/>
        <v>0</v>
      </c>
      <c r="D110" s="848"/>
      <c r="E110" s="849">
        <f>前年度登録!T107</f>
        <v>0</v>
      </c>
      <c r="F110" s="694" t="str">
        <f>前年度登録!DB107</f>
        <v/>
      </c>
      <c r="G110" s="1134" t="str">
        <f>前年度登録!AO107</f>
        <v/>
      </c>
      <c r="H110" s="663" t="str">
        <f>前年度登録!DB107</f>
        <v/>
      </c>
      <c r="I110" s="290" t="str">
        <f>前年度登録!AN107</f>
        <v/>
      </c>
      <c r="J110" s="359" t="str">
        <f>前年度登録!DC107</f>
        <v/>
      </c>
      <c r="K110" s="1247">
        <f>前年度登録!DE107</f>
        <v>0</v>
      </c>
      <c r="L110" s="1037" t="str">
        <f>前年度登録!DJ107</f>
        <v>00</v>
      </c>
      <c r="M110" s="844" t="s">
        <v>1061</v>
      </c>
      <c r="N110" s="1248">
        <f>前年度登録!S107</f>
        <v>0</v>
      </c>
      <c r="O110" s="291"/>
      <c r="P110" s="292" t="str">
        <f t="shared" si="35"/>
        <v/>
      </c>
      <c r="Q110" s="623" t="str">
        <f>IF(O110="","",HLOOKUP(O110,前年度登録!$AW$3:$CW$118,105,FALSE))</f>
        <v/>
      </c>
      <c r="R110" s="773" t="str">
        <f t="shared" si="36"/>
        <v/>
      </c>
      <c r="S110" s="774" t="str">
        <f t="shared" si="37"/>
        <v/>
      </c>
      <c r="T110" s="293"/>
      <c r="U110" s="850" t="str">
        <f t="shared" si="38"/>
        <v/>
      </c>
      <c r="V110" s="1290"/>
      <c r="W110" s="773" t="str">
        <f t="shared" si="39"/>
        <v/>
      </c>
      <c r="X110" s="774" t="str">
        <f t="shared" si="40"/>
        <v/>
      </c>
      <c r="Y110" s="1311"/>
      <c r="Z110" s="1308" t="str">
        <f t="shared" si="41"/>
        <v/>
      </c>
      <c r="AA110" s="777"/>
      <c r="AB110" s="780"/>
      <c r="AC110" s="851"/>
      <c r="AD110" s="845"/>
      <c r="AE110" s="781"/>
      <c r="AF110" s="851"/>
      <c r="AG110" s="846"/>
      <c r="AH110" s="802"/>
      <c r="AI110" s="802"/>
      <c r="AK110" s="868"/>
      <c r="AL110" s="797" t="str">
        <f t="shared" si="42"/>
        <v/>
      </c>
      <c r="AM110" s="807"/>
      <c r="AN110" s="807"/>
      <c r="AO110" s="807"/>
      <c r="AP110" s="807"/>
      <c r="AQ110" s="807"/>
      <c r="AR110" s="807"/>
      <c r="AS110" s="807"/>
      <c r="AT110" s="847">
        <f t="shared" si="44"/>
        <v>0</v>
      </c>
      <c r="AU110" s="807"/>
      <c r="AV110" s="797">
        <f t="shared" si="43"/>
        <v>0</v>
      </c>
      <c r="AW110" s="797" t="str">
        <f t="shared" si="45"/>
        <v/>
      </c>
      <c r="AX110" s="797" t="str">
        <f t="shared" si="46"/>
        <v/>
      </c>
      <c r="AY110" s="807"/>
      <c r="AZ110" s="807"/>
      <c r="BA110" s="807"/>
      <c r="BB110" s="807"/>
      <c r="BG110" s="807"/>
      <c r="BH110" s="1169"/>
      <c r="BI110" s="1169"/>
      <c r="BJ110" s="1169"/>
      <c r="BK110" s="1169"/>
      <c r="BL110" s="1169"/>
    </row>
    <row r="111" spans="1:64">
      <c r="A111" s="839">
        <f t="shared" si="33"/>
        <v>0</v>
      </c>
      <c r="B111" s="844" t="str">
        <f>前年度登録!AE108</f>
        <v/>
      </c>
      <c r="C111" s="1286">
        <f t="shared" si="34"/>
        <v>0</v>
      </c>
      <c r="D111" s="848"/>
      <c r="E111" s="849">
        <f>前年度登録!T108</f>
        <v>0</v>
      </c>
      <c r="F111" s="694" t="str">
        <f>前年度登録!DB108</f>
        <v/>
      </c>
      <c r="G111" s="1134" t="str">
        <f>前年度登録!AO108</f>
        <v/>
      </c>
      <c r="H111" s="663" t="str">
        <f>前年度登録!DB108</f>
        <v/>
      </c>
      <c r="I111" s="290" t="str">
        <f>前年度登録!AN108</f>
        <v/>
      </c>
      <c r="J111" s="359" t="str">
        <f>前年度登録!DC108</f>
        <v/>
      </c>
      <c r="K111" s="1247">
        <f>前年度登録!DE108</f>
        <v>0</v>
      </c>
      <c r="L111" s="1037" t="str">
        <f>前年度登録!DJ108</f>
        <v>00</v>
      </c>
      <c r="M111" s="844" t="s">
        <v>1061</v>
      </c>
      <c r="N111" s="1248">
        <f>前年度登録!S108</f>
        <v>0</v>
      </c>
      <c r="O111" s="291"/>
      <c r="P111" s="292" t="str">
        <f t="shared" si="35"/>
        <v/>
      </c>
      <c r="Q111" s="623" t="str">
        <f>IF(O111="","",HLOOKUP(O111,前年度登録!$AW$3:$CW$118,106,FALSE))</f>
        <v/>
      </c>
      <c r="R111" s="773" t="str">
        <f t="shared" si="36"/>
        <v/>
      </c>
      <c r="S111" s="774" t="str">
        <f t="shared" si="37"/>
        <v/>
      </c>
      <c r="T111" s="293"/>
      <c r="U111" s="850" t="str">
        <f t="shared" si="38"/>
        <v/>
      </c>
      <c r="V111" s="1290"/>
      <c r="W111" s="773" t="str">
        <f t="shared" si="39"/>
        <v/>
      </c>
      <c r="X111" s="774" t="str">
        <f t="shared" si="40"/>
        <v/>
      </c>
      <c r="Y111" s="1311"/>
      <c r="Z111" s="1308" t="str">
        <f t="shared" si="41"/>
        <v/>
      </c>
      <c r="AA111" s="777"/>
      <c r="AB111" s="780"/>
      <c r="AC111" s="851"/>
      <c r="AD111" s="845"/>
      <c r="AE111" s="781"/>
      <c r="AF111" s="851"/>
      <c r="AG111" s="846"/>
      <c r="AH111" s="802"/>
      <c r="AI111" s="802"/>
      <c r="AK111" s="868"/>
      <c r="AL111" s="797" t="str">
        <f t="shared" si="42"/>
        <v/>
      </c>
      <c r="AM111" s="807"/>
      <c r="AN111" s="807"/>
      <c r="AO111" s="807"/>
      <c r="AP111" s="807"/>
      <c r="AQ111" s="807"/>
      <c r="AR111" s="807"/>
      <c r="AS111" s="807"/>
      <c r="AT111" s="847">
        <f t="shared" si="44"/>
        <v>0</v>
      </c>
      <c r="AU111" s="807"/>
      <c r="AV111" s="797">
        <f t="shared" si="43"/>
        <v>0</v>
      </c>
      <c r="AW111" s="797" t="str">
        <f t="shared" si="45"/>
        <v/>
      </c>
      <c r="AX111" s="797" t="str">
        <f t="shared" si="46"/>
        <v/>
      </c>
      <c r="AY111" s="807"/>
      <c r="AZ111" s="807"/>
      <c r="BA111" s="807"/>
      <c r="BB111" s="807"/>
      <c r="BG111" s="807"/>
      <c r="BH111" s="1169"/>
      <c r="BI111" s="1169"/>
      <c r="BJ111" s="1169"/>
      <c r="BK111" s="1169"/>
      <c r="BL111" s="1169"/>
    </row>
    <row r="112" spans="1:64">
      <c r="A112" s="839">
        <f t="shared" si="33"/>
        <v>0</v>
      </c>
      <c r="B112" s="844" t="str">
        <f>前年度登録!AE109</f>
        <v/>
      </c>
      <c r="C112" s="1286">
        <f t="shared" si="34"/>
        <v>0</v>
      </c>
      <c r="D112" s="848"/>
      <c r="E112" s="849">
        <f>前年度登録!T109</f>
        <v>0</v>
      </c>
      <c r="F112" s="694" t="str">
        <f>前年度登録!DB109</f>
        <v/>
      </c>
      <c r="G112" s="1134" t="str">
        <f>前年度登録!AO109</f>
        <v/>
      </c>
      <c r="H112" s="663" t="str">
        <f>前年度登録!DB109</f>
        <v/>
      </c>
      <c r="I112" s="290" t="str">
        <f>前年度登録!AN109</f>
        <v/>
      </c>
      <c r="J112" s="359" t="str">
        <f>前年度登録!DC109</f>
        <v/>
      </c>
      <c r="K112" s="1247">
        <f>前年度登録!DE109</f>
        <v>0</v>
      </c>
      <c r="L112" s="1037" t="str">
        <f>前年度登録!DJ109</f>
        <v>00</v>
      </c>
      <c r="M112" s="844" t="s">
        <v>1061</v>
      </c>
      <c r="N112" s="1248">
        <f>前年度登録!S109</f>
        <v>0</v>
      </c>
      <c r="O112" s="291"/>
      <c r="P112" s="292" t="str">
        <f t="shared" si="35"/>
        <v/>
      </c>
      <c r="Q112" s="623" t="str">
        <f>IF(O112="","",HLOOKUP(O112,前年度登録!$AW$3:$CW$118,107,FALSE))</f>
        <v/>
      </c>
      <c r="R112" s="773" t="str">
        <f t="shared" si="36"/>
        <v/>
      </c>
      <c r="S112" s="774" t="str">
        <f t="shared" si="37"/>
        <v/>
      </c>
      <c r="T112" s="293"/>
      <c r="U112" s="850" t="str">
        <f t="shared" si="38"/>
        <v/>
      </c>
      <c r="V112" s="1290"/>
      <c r="W112" s="773" t="str">
        <f t="shared" si="39"/>
        <v/>
      </c>
      <c r="X112" s="774" t="str">
        <f t="shared" si="40"/>
        <v/>
      </c>
      <c r="Y112" s="1311"/>
      <c r="Z112" s="1308" t="str">
        <f t="shared" si="41"/>
        <v/>
      </c>
      <c r="AA112" s="777"/>
      <c r="AB112" s="780"/>
      <c r="AC112" s="851"/>
      <c r="AD112" s="845"/>
      <c r="AE112" s="781"/>
      <c r="AF112" s="851"/>
      <c r="AG112" s="846"/>
      <c r="AH112" s="802"/>
      <c r="AI112" s="802"/>
      <c r="AK112" s="868"/>
      <c r="AL112" s="797" t="str">
        <f t="shared" si="42"/>
        <v/>
      </c>
      <c r="AM112" s="807"/>
      <c r="AN112" s="807"/>
      <c r="AO112" s="807"/>
      <c r="AP112" s="807"/>
      <c r="AQ112" s="807"/>
      <c r="AR112" s="807"/>
      <c r="AS112" s="807"/>
      <c r="AT112" s="847">
        <f t="shared" si="44"/>
        <v>0</v>
      </c>
      <c r="AU112" s="807"/>
      <c r="AV112" s="797">
        <f t="shared" si="43"/>
        <v>0</v>
      </c>
      <c r="AW112" s="797" t="str">
        <f t="shared" si="45"/>
        <v/>
      </c>
      <c r="AX112" s="797" t="str">
        <f t="shared" si="46"/>
        <v/>
      </c>
      <c r="AY112" s="807"/>
      <c r="AZ112" s="807"/>
      <c r="BA112" s="807"/>
      <c r="BB112" s="807"/>
      <c r="BG112" s="807"/>
      <c r="BH112" s="1169"/>
      <c r="BI112" s="1169"/>
      <c r="BJ112" s="1169"/>
      <c r="BK112" s="1169"/>
      <c r="BL112" s="1169"/>
    </row>
    <row r="113" spans="1:64">
      <c r="A113" s="839">
        <f t="shared" si="33"/>
        <v>0</v>
      </c>
      <c r="B113" s="844" t="str">
        <f>前年度登録!AE110</f>
        <v/>
      </c>
      <c r="C113" s="1286">
        <f t="shared" si="34"/>
        <v>0</v>
      </c>
      <c r="D113" s="848"/>
      <c r="E113" s="849">
        <f>前年度登録!T110</f>
        <v>0</v>
      </c>
      <c r="F113" s="694" t="str">
        <f>前年度登録!DB110</f>
        <v/>
      </c>
      <c r="G113" s="1134" t="str">
        <f>前年度登録!AO110</f>
        <v/>
      </c>
      <c r="H113" s="663" t="str">
        <f>前年度登録!DB110</f>
        <v/>
      </c>
      <c r="I113" s="290" t="str">
        <f>前年度登録!AN110</f>
        <v/>
      </c>
      <c r="J113" s="359" t="str">
        <f>前年度登録!DC110</f>
        <v/>
      </c>
      <c r="K113" s="1247">
        <f>前年度登録!DE110</f>
        <v>0</v>
      </c>
      <c r="L113" s="1037" t="str">
        <f>前年度登録!DJ110</f>
        <v>00</v>
      </c>
      <c r="M113" s="844" t="s">
        <v>1061</v>
      </c>
      <c r="N113" s="1248">
        <f>前年度登録!S110</f>
        <v>0</v>
      </c>
      <c r="O113" s="291"/>
      <c r="P113" s="292" t="str">
        <f t="shared" si="35"/>
        <v/>
      </c>
      <c r="Q113" s="623" t="str">
        <f>IF(O113="","",HLOOKUP(O113,前年度登録!$AW$3:$CW$118,108,FALSE))</f>
        <v/>
      </c>
      <c r="R113" s="773" t="str">
        <f t="shared" si="36"/>
        <v/>
      </c>
      <c r="S113" s="774" t="str">
        <f t="shared" si="37"/>
        <v/>
      </c>
      <c r="T113" s="293"/>
      <c r="U113" s="850" t="str">
        <f t="shared" si="38"/>
        <v/>
      </c>
      <c r="V113" s="1290"/>
      <c r="W113" s="773" t="str">
        <f t="shared" si="39"/>
        <v/>
      </c>
      <c r="X113" s="774" t="str">
        <f t="shared" si="40"/>
        <v/>
      </c>
      <c r="Y113" s="1311"/>
      <c r="Z113" s="1308" t="str">
        <f t="shared" si="41"/>
        <v/>
      </c>
      <c r="AA113" s="777"/>
      <c r="AB113" s="780"/>
      <c r="AC113" s="851"/>
      <c r="AD113" s="845"/>
      <c r="AE113" s="781"/>
      <c r="AF113" s="851"/>
      <c r="AG113" s="846"/>
      <c r="AH113" s="802"/>
      <c r="AI113" s="802"/>
      <c r="AK113" s="868"/>
      <c r="AL113" s="797" t="str">
        <f t="shared" si="42"/>
        <v/>
      </c>
      <c r="AM113" s="807"/>
      <c r="AN113" s="807"/>
      <c r="AO113" s="807"/>
      <c r="AP113" s="807"/>
      <c r="AQ113" s="807"/>
      <c r="AR113" s="807"/>
      <c r="AS113" s="807"/>
      <c r="AT113" s="847">
        <f t="shared" si="44"/>
        <v>0</v>
      </c>
      <c r="AU113" s="807"/>
      <c r="AV113" s="797">
        <f t="shared" si="43"/>
        <v>0</v>
      </c>
      <c r="AW113" s="797" t="str">
        <f t="shared" si="45"/>
        <v/>
      </c>
      <c r="AX113" s="797" t="str">
        <f t="shared" si="46"/>
        <v/>
      </c>
      <c r="AY113" s="807"/>
      <c r="AZ113" s="807"/>
      <c r="BA113" s="807"/>
      <c r="BB113" s="807"/>
      <c r="BG113" s="807"/>
      <c r="BH113" s="1169"/>
      <c r="BI113" s="1169"/>
      <c r="BJ113" s="1169"/>
      <c r="BK113" s="1169"/>
      <c r="BL113" s="1169"/>
    </row>
    <row r="114" spans="1:64">
      <c r="A114" s="839">
        <f t="shared" si="33"/>
        <v>0</v>
      </c>
      <c r="B114" s="844" t="str">
        <f>前年度登録!AE111</f>
        <v/>
      </c>
      <c r="C114" s="1286">
        <f t="shared" si="34"/>
        <v>0</v>
      </c>
      <c r="D114" s="848"/>
      <c r="E114" s="849">
        <f>前年度登録!T111</f>
        <v>0</v>
      </c>
      <c r="F114" s="694" t="str">
        <f>前年度登録!DB111</f>
        <v/>
      </c>
      <c r="G114" s="1134" t="str">
        <f>前年度登録!AO111</f>
        <v/>
      </c>
      <c r="H114" s="663" t="str">
        <f>前年度登録!DB111</f>
        <v/>
      </c>
      <c r="I114" s="290" t="str">
        <f>前年度登録!AN111</f>
        <v/>
      </c>
      <c r="J114" s="359" t="str">
        <f>前年度登録!DC111</f>
        <v/>
      </c>
      <c r="K114" s="1247">
        <f>前年度登録!DE111</f>
        <v>0</v>
      </c>
      <c r="L114" s="1037" t="str">
        <f>前年度登録!DJ111</f>
        <v>00</v>
      </c>
      <c r="M114" s="844" t="s">
        <v>1061</v>
      </c>
      <c r="N114" s="1248">
        <f>前年度登録!S111</f>
        <v>0</v>
      </c>
      <c r="O114" s="291"/>
      <c r="P114" s="292" t="str">
        <f t="shared" si="35"/>
        <v/>
      </c>
      <c r="Q114" s="623" t="str">
        <f>IF(O114="","",HLOOKUP(O114,前年度登録!$AW$3:$CW$118,109,FALSE))</f>
        <v/>
      </c>
      <c r="R114" s="773" t="str">
        <f t="shared" si="36"/>
        <v/>
      </c>
      <c r="S114" s="774" t="str">
        <f t="shared" si="37"/>
        <v/>
      </c>
      <c r="T114" s="293"/>
      <c r="U114" s="850" t="str">
        <f t="shared" si="38"/>
        <v/>
      </c>
      <c r="V114" s="1290"/>
      <c r="W114" s="773" t="str">
        <f t="shared" si="39"/>
        <v/>
      </c>
      <c r="X114" s="774" t="str">
        <f t="shared" si="40"/>
        <v/>
      </c>
      <c r="Y114" s="1311"/>
      <c r="Z114" s="1308" t="str">
        <f t="shared" si="41"/>
        <v/>
      </c>
      <c r="AA114" s="777"/>
      <c r="AB114" s="780"/>
      <c r="AC114" s="851"/>
      <c r="AD114" s="845"/>
      <c r="AE114" s="781"/>
      <c r="AF114" s="851"/>
      <c r="AG114" s="846"/>
      <c r="AH114" s="802"/>
      <c r="AI114" s="802"/>
      <c r="AK114" s="868"/>
      <c r="AL114" s="797" t="str">
        <f t="shared" si="42"/>
        <v/>
      </c>
      <c r="AM114" s="807"/>
      <c r="AN114" s="807"/>
      <c r="AO114" s="807"/>
      <c r="AP114" s="807"/>
      <c r="AQ114" s="807"/>
      <c r="AR114" s="807"/>
      <c r="AS114" s="807"/>
      <c r="AT114" s="847">
        <f t="shared" si="44"/>
        <v>0</v>
      </c>
      <c r="AU114" s="807"/>
      <c r="AV114" s="797">
        <f t="shared" si="43"/>
        <v>0</v>
      </c>
      <c r="AW114" s="797" t="str">
        <f t="shared" si="45"/>
        <v/>
      </c>
      <c r="AX114" s="797" t="str">
        <f t="shared" si="46"/>
        <v/>
      </c>
      <c r="AY114" s="807"/>
      <c r="AZ114" s="807"/>
      <c r="BA114" s="807"/>
      <c r="BB114" s="807"/>
      <c r="BG114" s="807"/>
      <c r="BH114" s="1169"/>
      <c r="BI114" s="1169"/>
      <c r="BJ114" s="1169"/>
      <c r="BK114" s="1169"/>
      <c r="BL114" s="1169"/>
    </row>
    <row r="115" spans="1:64">
      <c r="A115" s="839">
        <f t="shared" si="33"/>
        <v>0</v>
      </c>
      <c r="B115" s="844" t="str">
        <f>前年度登録!AE112</f>
        <v/>
      </c>
      <c r="C115" s="1286">
        <f t="shared" si="34"/>
        <v>0</v>
      </c>
      <c r="D115" s="848"/>
      <c r="E115" s="849">
        <f>前年度登録!T112</f>
        <v>0</v>
      </c>
      <c r="F115" s="694" t="str">
        <f>前年度登録!DB112</f>
        <v/>
      </c>
      <c r="G115" s="1134" t="str">
        <f>前年度登録!AO112</f>
        <v/>
      </c>
      <c r="H115" s="663" t="str">
        <f>前年度登録!DB112</f>
        <v/>
      </c>
      <c r="I115" s="290" t="str">
        <f>前年度登録!AN112</f>
        <v/>
      </c>
      <c r="J115" s="359" t="str">
        <f>前年度登録!DC112</f>
        <v/>
      </c>
      <c r="K115" s="1247">
        <f>前年度登録!DE112</f>
        <v>0</v>
      </c>
      <c r="L115" s="1037" t="str">
        <f>前年度登録!DJ112</f>
        <v>00</v>
      </c>
      <c r="M115" s="844" t="s">
        <v>1061</v>
      </c>
      <c r="N115" s="1248">
        <f>前年度登録!S112</f>
        <v>0</v>
      </c>
      <c r="O115" s="291"/>
      <c r="P115" s="292" t="str">
        <f t="shared" si="35"/>
        <v/>
      </c>
      <c r="Q115" s="623" t="str">
        <f>IF(O115="","",HLOOKUP(O115,前年度登録!$AW$3:$CW$118,110,FALSE))</f>
        <v/>
      </c>
      <c r="R115" s="773" t="str">
        <f t="shared" si="36"/>
        <v/>
      </c>
      <c r="S115" s="774" t="str">
        <f t="shared" si="37"/>
        <v/>
      </c>
      <c r="T115" s="293"/>
      <c r="U115" s="850" t="str">
        <f t="shared" si="38"/>
        <v/>
      </c>
      <c r="V115" s="1290"/>
      <c r="W115" s="773" t="str">
        <f t="shared" si="39"/>
        <v/>
      </c>
      <c r="X115" s="774" t="str">
        <f t="shared" si="40"/>
        <v/>
      </c>
      <c r="Y115" s="1311"/>
      <c r="Z115" s="1308" t="str">
        <f t="shared" si="41"/>
        <v/>
      </c>
      <c r="AA115" s="777"/>
      <c r="AB115" s="780"/>
      <c r="AC115" s="851"/>
      <c r="AD115" s="845"/>
      <c r="AE115" s="781"/>
      <c r="AF115" s="851"/>
      <c r="AG115" s="846"/>
      <c r="AH115" s="802"/>
      <c r="AI115" s="802"/>
      <c r="AK115" s="868"/>
      <c r="AL115" s="797" t="str">
        <f t="shared" si="42"/>
        <v/>
      </c>
      <c r="AM115" s="807"/>
      <c r="AN115" s="807"/>
      <c r="AO115" s="807"/>
      <c r="AP115" s="807"/>
      <c r="AQ115" s="807"/>
      <c r="AR115" s="807"/>
      <c r="AS115" s="807"/>
      <c r="AT115" s="847">
        <f t="shared" si="44"/>
        <v>0</v>
      </c>
      <c r="AU115" s="807"/>
      <c r="AV115" s="797">
        <f t="shared" si="43"/>
        <v>0</v>
      </c>
      <c r="AW115" s="797" t="str">
        <f t="shared" si="45"/>
        <v/>
      </c>
      <c r="AX115" s="797" t="str">
        <f t="shared" si="46"/>
        <v/>
      </c>
      <c r="AY115" s="807"/>
      <c r="AZ115" s="807"/>
      <c r="BA115" s="807"/>
      <c r="BB115" s="807"/>
      <c r="BG115" s="807"/>
      <c r="BH115" s="1169"/>
      <c r="BI115" s="1169"/>
      <c r="BJ115" s="1169"/>
      <c r="BK115" s="1169"/>
      <c r="BL115" s="1169"/>
    </row>
    <row r="116" spans="1:64" ht="14.25" thickBot="1">
      <c r="A116" s="839">
        <f t="shared" si="33"/>
        <v>0</v>
      </c>
      <c r="B116" s="875" t="str">
        <f>前年度登録!AE113</f>
        <v/>
      </c>
      <c r="C116" s="1286">
        <f t="shared" si="34"/>
        <v>0</v>
      </c>
      <c r="D116" s="876"/>
      <c r="E116" s="877">
        <f>前年度登録!T113</f>
        <v>0</v>
      </c>
      <c r="F116" s="695" t="str">
        <f>前年度登録!DB113</f>
        <v/>
      </c>
      <c r="G116" s="1250" t="str">
        <f>前年度登録!AO113</f>
        <v/>
      </c>
      <c r="H116" s="664" t="str">
        <f>前年度登録!DB113</f>
        <v/>
      </c>
      <c r="I116" s="361" t="str">
        <f>前年度登録!AN113</f>
        <v/>
      </c>
      <c r="J116" s="361" t="str">
        <f>前年度登録!DC113</f>
        <v/>
      </c>
      <c r="K116" s="1249">
        <f>前年度登録!DE113</f>
        <v>0</v>
      </c>
      <c r="L116" s="1038" t="str">
        <f>前年度登録!DJ113</f>
        <v>00</v>
      </c>
      <c r="M116" s="963" t="s">
        <v>1061</v>
      </c>
      <c r="N116" s="1251">
        <f>前年度登録!S113</f>
        <v>0</v>
      </c>
      <c r="O116" s="294"/>
      <c r="P116" s="295" t="str">
        <f t="shared" si="35"/>
        <v/>
      </c>
      <c r="Q116" s="624" t="str">
        <f>IF(O116="","",HLOOKUP(O116,前年度登録!$AW$3:$CW$118,111,FALSE))</f>
        <v/>
      </c>
      <c r="R116" s="775" t="str">
        <f t="shared" si="36"/>
        <v/>
      </c>
      <c r="S116" s="776" t="str">
        <f t="shared" si="37"/>
        <v/>
      </c>
      <c r="T116" s="296"/>
      <c r="U116" s="878" t="str">
        <f t="shared" si="38"/>
        <v/>
      </c>
      <c r="V116" s="1291"/>
      <c r="W116" s="775" t="str">
        <f t="shared" si="39"/>
        <v/>
      </c>
      <c r="X116" s="776" t="str">
        <f t="shared" si="40"/>
        <v/>
      </c>
      <c r="Y116" s="1312"/>
      <c r="Z116" s="1308" t="str">
        <f t="shared" si="41"/>
        <v/>
      </c>
      <c r="AA116" s="777"/>
      <c r="AB116" s="780"/>
      <c r="AC116" s="851" t="str">
        <f>IF(AB116="","",IF(I116=1,VLOOKUP(AB116,男子種目コード!$D$2:$E$16,2,FALSE),IF(I116=2,VLOOKUP(AB116,女子種目コード!$D$2:$E$16,2,FALSE))))</f>
        <v/>
      </c>
      <c r="AD116" s="845"/>
      <c r="AE116" s="781"/>
      <c r="AF116" s="851"/>
      <c r="AG116" s="846"/>
      <c r="AH116" s="802"/>
      <c r="AI116" s="802"/>
      <c r="AK116" s="868"/>
      <c r="AL116" s="797" t="str">
        <f t="shared" si="42"/>
        <v/>
      </c>
      <c r="AM116" s="807"/>
      <c r="AN116" s="807"/>
      <c r="AO116" s="807"/>
      <c r="AP116" s="807"/>
      <c r="AQ116" s="807"/>
      <c r="AR116" s="807"/>
      <c r="AS116" s="807"/>
      <c r="AT116" s="847">
        <f t="shared" si="44"/>
        <v>0</v>
      </c>
      <c r="AU116" s="807"/>
      <c r="AV116" s="797">
        <f t="shared" si="43"/>
        <v>0</v>
      </c>
      <c r="AW116" s="797" t="str">
        <f t="shared" si="45"/>
        <v/>
      </c>
      <c r="AX116" s="797" t="str">
        <f t="shared" si="46"/>
        <v/>
      </c>
      <c r="AY116" s="807"/>
      <c r="AZ116" s="807"/>
      <c r="BA116" s="807"/>
      <c r="BB116" s="807"/>
      <c r="BG116" s="807"/>
      <c r="BH116" s="1169"/>
      <c r="BI116" s="1169"/>
      <c r="BJ116" s="1169"/>
      <c r="BK116" s="1169"/>
      <c r="BL116" s="1169"/>
    </row>
    <row r="117" spans="1:64">
      <c r="B117" s="807"/>
      <c r="C117" s="807"/>
      <c r="D117" s="807"/>
      <c r="E117" s="807"/>
      <c r="F117" s="807"/>
      <c r="G117" s="879"/>
      <c r="H117" s="807"/>
      <c r="I117" s="807"/>
      <c r="J117" s="800"/>
      <c r="K117" s="798"/>
      <c r="L117" s="807"/>
      <c r="M117" s="281"/>
      <c r="N117" s="282"/>
      <c r="O117" s="283"/>
      <c r="P117" s="281"/>
      <c r="Q117" s="880"/>
      <c r="R117" s="283"/>
      <c r="S117" s="281"/>
      <c r="T117" s="880"/>
      <c r="U117" s="283"/>
      <c r="V117" s="258"/>
      <c r="W117" s="807"/>
      <c r="X117" s="881"/>
      <c r="Y117" s="1292"/>
      <c r="Z117" s="807"/>
      <c r="AA117" s="881"/>
      <c r="AB117" s="800"/>
      <c r="AC117" s="800"/>
      <c r="AD117" s="807"/>
      <c r="AE117" s="809"/>
      <c r="AF117" s="807">
        <f>SUM(AL7:AL116)</f>
        <v>0</v>
      </c>
      <c r="AG117" s="807"/>
      <c r="AH117" s="807"/>
      <c r="AI117" s="807"/>
      <c r="AJ117" s="807"/>
      <c r="AK117" s="807"/>
      <c r="AL117" s="807"/>
      <c r="AM117" s="807"/>
      <c r="AN117" s="807"/>
      <c r="AO117" s="847"/>
      <c r="AP117" s="847">
        <f>SUM(AV7:AV116)</f>
        <v>0</v>
      </c>
      <c r="AQ117" s="847">
        <f>SUM(AW7:AW116)</f>
        <v>0</v>
      </c>
      <c r="AR117" s="847">
        <f>SUM(AX7:AX116)</f>
        <v>0</v>
      </c>
      <c r="AS117" s="847">
        <f ca="1">SUM(AY6:AY115)</f>
        <v>0</v>
      </c>
      <c r="AT117" s="847">
        <f>SUM(AT7:AT116)</f>
        <v>0</v>
      </c>
      <c r="AY117" s="807"/>
      <c r="AZ117" s="807"/>
      <c r="BA117" s="807"/>
      <c r="BB117" s="807"/>
      <c r="BG117" s="807"/>
      <c r="BH117" s="1169"/>
      <c r="BI117" s="1169"/>
      <c r="BJ117" s="1169"/>
      <c r="BK117" s="1169"/>
      <c r="BL117" s="1169"/>
    </row>
    <row r="118" spans="1:64">
      <c r="B118" s="807"/>
      <c r="C118" s="807"/>
      <c r="D118" s="807"/>
      <c r="E118" s="807"/>
      <c r="F118" s="807"/>
      <c r="G118" s="879"/>
      <c r="H118" s="807"/>
      <c r="I118" s="807"/>
      <c r="J118" s="800"/>
      <c r="K118" s="798"/>
      <c r="L118" s="807"/>
      <c r="M118" s="281"/>
      <c r="N118" s="282"/>
      <c r="O118" s="283"/>
      <c r="P118" s="281"/>
      <c r="Q118" s="880"/>
      <c r="R118" s="283"/>
      <c r="S118" s="281"/>
      <c r="T118" s="880"/>
      <c r="U118" s="283"/>
      <c r="V118" s="258"/>
      <c r="W118" s="807"/>
      <c r="X118" s="881"/>
      <c r="Y118" s="1292"/>
      <c r="Z118" s="807"/>
      <c r="AA118" s="881"/>
      <c r="AB118" s="800"/>
      <c r="AC118" s="800"/>
      <c r="AD118" s="807"/>
      <c r="AE118" s="809"/>
      <c r="AF118" s="807"/>
      <c r="AG118" s="807"/>
      <c r="AH118" s="807"/>
      <c r="AI118" s="807"/>
      <c r="AJ118" s="807"/>
      <c r="AK118" s="807"/>
      <c r="AL118" s="807"/>
      <c r="AM118" s="807"/>
      <c r="AN118" s="807"/>
      <c r="AO118" s="807"/>
      <c r="AY118" s="807"/>
      <c r="AZ118" s="807"/>
      <c r="BA118" s="807"/>
      <c r="BB118" s="807"/>
      <c r="BG118" s="807"/>
      <c r="BH118" s="1169"/>
      <c r="BI118" s="1169"/>
      <c r="BJ118" s="1169"/>
      <c r="BK118" s="1169"/>
      <c r="BL118" s="1169"/>
    </row>
    <row r="119" spans="1:64">
      <c r="B119" s="807"/>
      <c r="C119" s="807"/>
      <c r="D119" s="807"/>
      <c r="E119" s="807"/>
      <c r="F119" s="807"/>
      <c r="G119" s="879"/>
      <c r="H119" s="807"/>
      <c r="I119" s="807"/>
      <c r="J119" s="800"/>
      <c r="K119" s="798"/>
      <c r="L119" s="807"/>
      <c r="M119" s="281"/>
      <c r="N119" s="282"/>
      <c r="O119" s="283"/>
      <c r="P119" s="281"/>
      <c r="Q119" s="880"/>
      <c r="R119" s="283"/>
      <c r="S119" s="281"/>
      <c r="T119" s="880"/>
      <c r="U119" s="283"/>
      <c r="V119" s="258"/>
      <c r="W119" s="807"/>
      <c r="X119" s="881"/>
      <c r="Y119" s="1292"/>
      <c r="Z119" s="807"/>
      <c r="AA119" s="881"/>
      <c r="AB119" s="800"/>
      <c r="AC119" s="800"/>
      <c r="AD119" s="807"/>
      <c r="AE119" s="809"/>
      <c r="AF119" s="807"/>
      <c r="AG119" s="807"/>
      <c r="AH119" s="807"/>
      <c r="AI119" s="807"/>
      <c r="AJ119" s="807"/>
      <c r="AK119" s="807"/>
      <c r="AL119" s="807"/>
      <c r="AM119" s="807"/>
      <c r="AN119" s="807"/>
      <c r="AO119" s="807"/>
      <c r="AY119" s="807"/>
      <c r="AZ119" s="807"/>
      <c r="BA119" s="807"/>
      <c r="BB119" s="807"/>
      <c r="BG119" s="807"/>
      <c r="BH119" s="1169"/>
      <c r="BI119" s="1169"/>
      <c r="BJ119" s="1169"/>
      <c r="BK119" s="1169"/>
      <c r="BL119" s="1169"/>
    </row>
    <row r="120" spans="1:64">
      <c r="B120" s="807"/>
      <c r="C120" s="807"/>
      <c r="D120" s="807"/>
      <c r="E120" s="807"/>
      <c r="F120" s="807"/>
      <c r="G120" s="879"/>
      <c r="H120" s="807"/>
      <c r="I120" s="807"/>
      <c r="J120" s="800"/>
      <c r="K120" s="798"/>
      <c r="L120" s="807"/>
      <c r="M120" s="281"/>
      <c r="N120" s="282"/>
      <c r="O120" s="283"/>
      <c r="P120" s="281"/>
      <c r="Q120" s="880"/>
      <c r="R120" s="283"/>
      <c r="S120" s="281"/>
      <c r="T120" s="880"/>
      <c r="U120" s="283"/>
      <c r="V120" s="258"/>
      <c r="W120" s="807"/>
      <c r="X120" s="881"/>
      <c r="Y120" s="1292"/>
      <c r="Z120" s="807"/>
      <c r="AA120" s="881"/>
      <c r="AB120" s="800"/>
      <c r="AC120" s="800"/>
      <c r="AD120" s="807"/>
      <c r="AE120" s="809"/>
      <c r="AF120" s="807"/>
      <c r="AG120" s="807"/>
      <c r="AH120" s="807"/>
      <c r="AI120" s="807"/>
      <c r="AJ120" s="807"/>
      <c r="AK120" s="807"/>
      <c r="AL120" s="807"/>
      <c r="AM120" s="807"/>
      <c r="AN120" s="807"/>
      <c r="AO120" s="807"/>
      <c r="AY120" s="807"/>
      <c r="AZ120" s="807"/>
      <c r="BA120" s="807"/>
      <c r="BB120" s="807"/>
      <c r="BG120" s="807"/>
      <c r="BH120" s="1169"/>
      <c r="BI120" s="1169"/>
      <c r="BJ120" s="1169"/>
      <c r="BK120" s="1169"/>
      <c r="BL120" s="1169"/>
    </row>
    <row r="121" spans="1:64">
      <c r="B121" s="807"/>
      <c r="C121" s="807"/>
      <c r="D121" s="807"/>
      <c r="E121" s="807"/>
      <c r="F121" s="807"/>
      <c r="G121" s="879"/>
      <c r="H121" s="807"/>
      <c r="I121" s="807"/>
      <c r="J121" s="800"/>
      <c r="K121" s="798"/>
      <c r="L121" s="807"/>
      <c r="M121" s="281"/>
      <c r="N121" s="282"/>
      <c r="O121" s="283"/>
      <c r="P121" s="281"/>
      <c r="Q121" s="880"/>
      <c r="R121" s="283"/>
      <c r="S121" s="281"/>
      <c r="T121" s="880"/>
      <c r="U121" s="283"/>
      <c r="V121" s="258"/>
      <c r="W121" s="807"/>
      <c r="X121" s="881"/>
      <c r="Y121" s="1292"/>
      <c r="Z121" s="807"/>
      <c r="AA121" s="881"/>
      <c r="AB121" s="800"/>
      <c r="AC121" s="800"/>
      <c r="AD121" s="807"/>
      <c r="AE121" s="809"/>
      <c r="AF121" s="807"/>
      <c r="AG121" s="807"/>
      <c r="AH121" s="807"/>
      <c r="AI121" s="807"/>
      <c r="AJ121" s="807"/>
      <c r="AK121" s="807"/>
      <c r="AL121" s="807"/>
      <c r="AM121" s="807"/>
      <c r="AN121" s="807"/>
      <c r="AO121" s="807"/>
      <c r="AY121" s="807"/>
      <c r="AZ121" s="807"/>
      <c r="BA121" s="807"/>
      <c r="BB121" s="807"/>
      <c r="BG121" s="807"/>
      <c r="BH121" s="1169"/>
      <c r="BI121" s="1169"/>
      <c r="BJ121" s="1169"/>
      <c r="BK121" s="1169"/>
      <c r="BL121" s="1169"/>
    </row>
    <row r="122" spans="1:64">
      <c r="B122" s="807"/>
      <c r="C122" s="807"/>
      <c r="D122" s="807"/>
      <c r="E122" s="807"/>
      <c r="F122" s="807"/>
      <c r="G122" s="879"/>
      <c r="H122" s="807"/>
      <c r="I122" s="807"/>
      <c r="J122" s="800"/>
      <c r="K122" s="798"/>
      <c r="L122" s="807"/>
      <c r="M122" s="281"/>
      <c r="N122" s="282"/>
      <c r="O122" s="283"/>
      <c r="P122" s="281"/>
      <c r="Q122" s="880"/>
      <c r="R122" s="283"/>
      <c r="S122" s="281"/>
      <c r="T122" s="880"/>
      <c r="U122" s="283"/>
      <c r="V122" s="258"/>
      <c r="W122" s="807"/>
      <c r="X122" s="881"/>
      <c r="Y122" s="1292"/>
      <c r="Z122" s="807"/>
      <c r="AA122" s="881"/>
      <c r="AB122" s="800"/>
      <c r="AC122" s="800"/>
      <c r="AD122" s="807"/>
      <c r="AE122" s="809"/>
      <c r="AF122" s="807"/>
      <c r="AG122" s="807"/>
      <c r="AH122" s="807"/>
      <c r="AI122" s="807"/>
      <c r="AJ122" s="807"/>
      <c r="AK122" s="807"/>
      <c r="AL122" s="807"/>
      <c r="AM122" s="807"/>
      <c r="AN122" s="807"/>
      <c r="AO122" s="807"/>
      <c r="AY122" s="807"/>
      <c r="AZ122" s="807"/>
      <c r="BA122" s="807"/>
      <c r="BB122" s="807"/>
      <c r="BG122" s="807"/>
      <c r="BH122" s="1169"/>
      <c r="BI122" s="1169"/>
      <c r="BJ122" s="1169"/>
      <c r="BK122" s="1169"/>
      <c r="BL122" s="1169"/>
    </row>
    <row r="123" spans="1:64">
      <c r="B123" s="807"/>
      <c r="C123" s="807"/>
      <c r="D123" s="807"/>
      <c r="E123" s="807"/>
      <c r="F123" s="807"/>
      <c r="G123" s="879"/>
      <c r="H123" s="807"/>
      <c r="I123" s="807"/>
      <c r="J123" s="800"/>
      <c r="K123" s="798"/>
      <c r="L123" s="807"/>
      <c r="M123" s="281"/>
      <c r="N123" s="282"/>
      <c r="O123" s="283"/>
      <c r="P123" s="281"/>
      <c r="Q123" s="880"/>
      <c r="R123" s="283"/>
      <c r="S123" s="281"/>
      <c r="T123" s="880"/>
      <c r="U123" s="283"/>
      <c r="V123" s="258"/>
      <c r="W123" s="807"/>
      <c r="X123" s="881"/>
      <c r="Y123" s="1292"/>
      <c r="Z123" s="807"/>
      <c r="AA123" s="881"/>
      <c r="AB123" s="800"/>
      <c r="AC123" s="800"/>
      <c r="AD123" s="807"/>
      <c r="AE123" s="809"/>
      <c r="AF123" s="807"/>
      <c r="AG123" s="807"/>
      <c r="AH123" s="807"/>
      <c r="AI123" s="807"/>
      <c r="AJ123" s="807"/>
      <c r="AK123" s="807"/>
      <c r="AL123" s="807"/>
      <c r="AM123" s="807"/>
      <c r="AN123" s="807"/>
      <c r="AO123" s="807"/>
      <c r="AY123" s="807"/>
      <c r="AZ123" s="807"/>
      <c r="BA123" s="807"/>
      <c r="BB123" s="807"/>
      <c r="BG123" s="807"/>
      <c r="BH123" s="1169"/>
      <c r="BI123" s="1169"/>
      <c r="BJ123" s="1169"/>
      <c r="BK123" s="1169"/>
      <c r="BL123" s="1169"/>
    </row>
    <row r="124" spans="1:64">
      <c r="B124" s="807"/>
      <c r="C124" s="807"/>
      <c r="D124" s="807"/>
      <c r="E124" s="807"/>
      <c r="F124" s="807"/>
      <c r="G124" s="879"/>
      <c r="H124" s="807"/>
      <c r="I124" s="807"/>
      <c r="J124" s="800"/>
      <c r="K124" s="798"/>
      <c r="L124" s="807"/>
      <c r="M124" s="281"/>
      <c r="N124" s="282"/>
      <c r="O124" s="283"/>
      <c r="P124" s="281"/>
      <c r="Q124" s="880"/>
      <c r="R124" s="283"/>
      <c r="S124" s="281"/>
      <c r="T124" s="880"/>
      <c r="U124" s="283"/>
      <c r="V124" s="258"/>
      <c r="W124" s="807"/>
      <c r="X124" s="881"/>
      <c r="Y124" s="1292"/>
      <c r="Z124" s="807"/>
      <c r="AA124" s="881"/>
      <c r="AB124" s="800"/>
      <c r="AC124" s="800"/>
      <c r="AD124" s="807"/>
      <c r="AE124" s="809"/>
      <c r="AF124" s="807"/>
      <c r="AG124" s="807"/>
      <c r="AH124" s="807"/>
      <c r="AI124" s="807"/>
      <c r="AJ124" s="807"/>
      <c r="AK124" s="807"/>
      <c r="AL124" s="807"/>
      <c r="AM124" s="807"/>
      <c r="AN124" s="807"/>
      <c r="AO124" s="807"/>
      <c r="AY124" s="807"/>
      <c r="AZ124" s="807"/>
      <c r="BA124" s="807"/>
      <c r="BB124" s="807"/>
      <c r="BG124" s="807"/>
      <c r="BH124" s="1169"/>
      <c r="BI124" s="1169"/>
      <c r="BJ124" s="1169"/>
      <c r="BK124" s="1169"/>
      <c r="BL124" s="1169"/>
    </row>
    <row r="125" spans="1:64">
      <c r="B125" s="807"/>
      <c r="C125" s="807"/>
      <c r="D125" s="807"/>
      <c r="E125" s="807"/>
      <c r="F125" s="807"/>
      <c r="G125" s="879"/>
      <c r="H125" s="807"/>
      <c r="I125" s="807"/>
      <c r="J125" s="800"/>
      <c r="K125" s="798"/>
      <c r="L125" s="807"/>
      <c r="M125" s="281"/>
      <c r="N125" s="282"/>
      <c r="O125" s="283"/>
      <c r="P125" s="281"/>
      <c r="Q125" s="880"/>
      <c r="R125" s="283"/>
      <c r="S125" s="281"/>
      <c r="T125" s="880"/>
      <c r="U125" s="283"/>
      <c r="V125" s="258"/>
      <c r="W125" s="807"/>
      <c r="X125" s="881"/>
      <c r="Y125" s="1292"/>
      <c r="Z125" s="807"/>
      <c r="AA125" s="881"/>
      <c r="AB125" s="800"/>
      <c r="AC125" s="800"/>
      <c r="AD125" s="807"/>
      <c r="AE125" s="809"/>
      <c r="AF125" s="807"/>
      <c r="AG125" s="807"/>
      <c r="AH125" s="807"/>
      <c r="AI125" s="807"/>
      <c r="AJ125" s="807"/>
      <c r="AK125" s="807"/>
      <c r="AL125" s="807"/>
      <c r="AM125" s="807"/>
      <c r="AN125" s="807"/>
      <c r="AO125" s="807"/>
      <c r="AY125" s="807"/>
      <c r="AZ125" s="807"/>
      <c r="BA125" s="807"/>
      <c r="BB125" s="807"/>
      <c r="BG125" s="807"/>
      <c r="BH125" s="1169"/>
      <c r="BI125" s="1169"/>
      <c r="BJ125" s="1169"/>
      <c r="BK125" s="1169"/>
      <c r="BL125" s="1169"/>
    </row>
    <row r="126" spans="1:64">
      <c r="B126" s="807"/>
      <c r="C126" s="807"/>
      <c r="D126" s="807"/>
      <c r="E126" s="807"/>
      <c r="F126" s="807"/>
      <c r="G126" s="879"/>
      <c r="H126" s="807"/>
      <c r="I126" s="807"/>
      <c r="J126" s="800"/>
      <c r="K126" s="798"/>
      <c r="L126" s="807"/>
      <c r="M126" s="281"/>
      <c r="N126" s="282"/>
      <c r="O126" s="283"/>
      <c r="P126" s="281"/>
      <c r="Q126" s="880"/>
      <c r="R126" s="283"/>
      <c r="S126" s="281"/>
      <c r="T126" s="880"/>
      <c r="U126" s="283"/>
      <c r="V126" s="258"/>
      <c r="W126" s="807"/>
      <c r="X126" s="881"/>
      <c r="Y126" s="1292"/>
      <c r="Z126" s="807"/>
      <c r="AA126" s="881"/>
      <c r="AB126" s="800"/>
      <c r="AC126" s="800"/>
      <c r="AD126" s="807"/>
      <c r="AE126" s="809"/>
      <c r="AF126" s="807"/>
      <c r="AG126" s="807"/>
      <c r="AH126" s="807"/>
      <c r="AI126" s="807"/>
      <c r="AJ126" s="807"/>
      <c r="AK126" s="807"/>
      <c r="AL126" s="807"/>
      <c r="AM126" s="807"/>
      <c r="AN126" s="807"/>
      <c r="AO126" s="807"/>
      <c r="AY126" s="807"/>
      <c r="AZ126" s="807"/>
      <c r="BA126" s="807"/>
      <c r="BB126" s="807"/>
      <c r="BG126" s="807"/>
      <c r="BH126" s="1169"/>
      <c r="BI126" s="1169"/>
      <c r="BJ126" s="1169"/>
      <c r="BK126" s="1169"/>
      <c r="BL126" s="1169"/>
    </row>
    <row r="127" spans="1:64">
      <c r="B127" s="807"/>
      <c r="C127" s="807"/>
      <c r="D127" s="807"/>
      <c r="E127" s="807"/>
      <c r="F127" s="807"/>
      <c r="G127" s="879"/>
      <c r="H127" s="807"/>
      <c r="I127" s="807"/>
      <c r="J127" s="800"/>
      <c r="K127" s="798"/>
      <c r="L127" s="807"/>
      <c r="M127" s="281"/>
      <c r="N127" s="282"/>
      <c r="O127" s="283"/>
      <c r="P127" s="281"/>
      <c r="Q127" s="880"/>
      <c r="R127" s="283"/>
      <c r="S127" s="281"/>
      <c r="T127" s="880"/>
      <c r="U127" s="283"/>
      <c r="V127" s="258"/>
      <c r="W127" s="807"/>
      <c r="X127" s="881"/>
      <c r="Y127" s="1292"/>
      <c r="Z127" s="807"/>
      <c r="AA127" s="881"/>
      <c r="AB127" s="800"/>
      <c r="AC127" s="800"/>
      <c r="AD127" s="807"/>
      <c r="AE127" s="809"/>
      <c r="AF127" s="807"/>
      <c r="AG127" s="807"/>
      <c r="AH127" s="807"/>
      <c r="AI127" s="807"/>
      <c r="AJ127" s="807"/>
      <c r="AK127" s="807"/>
      <c r="AL127" s="807"/>
      <c r="AM127" s="807"/>
      <c r="AN127" s="807"/>
      <c r="AO127" s="807"/>
      <c r="AY127" s="807"/>
      <c r="AZ127" s="807"/>
      <c r="BA127" s="807"/>
      <c r="BB127" s="807"/>
      <c r="BG127" s="807"/>
      <c r="BH127" s="1169"/>
      <c r="BI127" s="1169"/>
      <c r="BJ127" s="1169"/>
      <c r="BK127" s="1169"/>
      <c r="BL127" s="1169"/>
    </row>
    <row r="128" spans="1:64">
      <c r="B128" s="807"/>
      <c r="C128" s="807"/>
      <c r="D128" s="807"/>
      <c r="E128" s="807"/>
      <c r="F128" s="807"/>
      <c r="G128" s="879"/>
      <c r="H128" s="807"/>
      <c r="I128" s="807"/>
      <c r="J128" s="800"/>
      <c r="K128" s="798"/>
      <c r="L128" s="807"/>
      <c r="M128" s="281"/>
      <c r="N128" s="282"/>
      <c r="O128" s="283"/>
      <c r="P128" s="281"/>
      <c r="Q128" s="880"/>
      <c r="R128" s="283"/>
      <c r="S128" s="281"/>
      <c r="T128" s="880"/>
      <c r="U128" s="283"/>
      <c r="V128" s="258"/>
      <c r="W128" s="807"/>
      <c r="X128" s="881"/>
      <c r="Y128" s="1292"/>
      <c r="Z128" s="807"/>
      <c r="AA128" s="881"/>
      <c r="AB128" s="800"/>
      <c r="AC128" s="800"/>
      <c r="AD128" s="807"/>
      <c r="AE128" s="809"/>
      <c r="AF128" s="807"/>
      <c r="AG128" s="807"/>
      <c r="AH128" s="807"/>
      <c r="AI128" s="807"/>
      <c r="AJ128" s="807"/>
      <c r="AK128" s="807"/>
      <c r="AL128" s="807"/>
      <c r="AM128" s="807"/>
      <c r="AN128" s="807"/>
      <c r="AO128" s="807"/>
      <c r="AY128" s="807"/>
      <c r="AZ128" s="807"/>
      <c r="BA128" s="807"/>
      <c r="BB128" s="807"/>
      <c r="BG128" s="807"/>
      <c r="BH128" s="1169"/>
      <c r="BI128" s="1169"/>
      <c r="BJ128" s="1169"/>
      <c r="BK128" s="1169"/>
      <c r="BL128" s="1169"/>
    </row>
  </sheetData>
  <sheetProtection password="83D4" sheet="1" objects="1" scenarios="1"/>
  <mergeCells count="30">
    <mergeCell ref="BA31:BB31"/>
    <mergeCell ref="AY22:AZ22"/>
    <mergeCell ref="BA22:BB22"/>
    <mergeCell ref="AY23:AZ23"/>
    <mergeCell ref="BA23:BB23"/>
    <mergeCell ref="AY30:AZ30"/>
    <mergeCell ref="BA30:BB30"/>
    <mergeCell ref="BA6:BB6"/>
    <mergeCell ref="AY7:AZ7"/>
    <mergeCell ref="BA7:BB7"/>
    <mergeCell ref="AY15:AZ15"/>
    <mergeCell ref="AY14:AZ14"/>
    <mergeCell ref="BA14:BB14"/>
    <mergeCell ref="BA15:BB15"/>
    <mergeCell ref="AY38:AZ38"/>
    <mergeCell ref="AY39:AZ39"/>
    <mergeCell ref="AY46:AZ46"/>
    <mergeCell ref="AY47:AZ47"/>
    <mergeCell ref="T5:Y5"/>
    <mergeCell ref="AM17:AN17"/>
    <mergeCell ref="AM18:AN18"/>
    <mergeCell ref="AM6:AO6"/>
    <mergeCell ref="AM8:AN8"/>
    <mergeCell ref="AM13:AN13"/>
    <mergeCell ref="AM7:AO7"/>
    <mergeCell ref="AM12:AO12"/>
    <mergeCell ref="AY6:AZ6"/>
    <mergeCell ref="AM35:AN35"/>
    <mergeCell ref="AY31:AZ31"/>
    <mergeCell ref="AM26:AN26"/>
  </mergeCells>
  <phoneticPr fontId="5"/>
  <conditionalFormatting sqref="F7:F116">
    <cfRule type="expression" dxfId="517" priority="14" stopIfTrue="1">
      <formula>I7=2</formula>
    </cfRule>
  </conditionalFormatting>
  <conditionalFormatting sqref="G7:G116">
    <cfRule type="expression" dxfId="516" priority="15" stopIfTrue="1">
      <formula>I7=2</formula>
    </cfRule>
  </conditionalFormatting>
  <conditionalFormatting sqref="I7:I116">
    <cfRule type="cellIs" dxfId="515" priority="16" stopIfTrue="1" operator="equal">
      <formula>2</formula>
    </cfRule>
  </conditionalFormatting>
  <conditionalFormatting sqref="AO9:AO11 AO14:AO16">
    <cfRule type="cellIs" dxfId="514" priority="22" stopIfTrue="1" operator="greaterThan">
      <formula>6</formula>
    </cfRule>
    <cfRule type="cellIs" dxfId="513" priority="23" stopIfTrue="1" operator="between">
      <formula>4</formula>
      <formula>6</formula>
    </cfRule>
    <cfRule type="cellIs" dxfId="512" priority="24" stopIfTrue="1" operator="between">
      <formula>1</formula>
      <formula>3</formula>
    </cfRule>
  </conditionalFormatting>
  <conditionalFormatting sqref="Q7">
    <cfRule type="expression" dxfId="511" priority="25" stopIfTrue="1">
      <formula>$I$7=""</formula>
    </cfRule>
  </conditionalFormatting>
  <conditionalFormatting sqref="Q8">
    <cfRule type="expression" dxfId="510" priority="26" stopIfTrue="1">
      <formula>$I$8=""</formula>
    </cfRule>
  </conditionalFormatting>
  <conditionalFormatting sqref="Q9">
    <cfRule type="expression" dxfId="509" priority="27" stopIfTrue="1">
      <formula>$I$9=""</formula>
    </cfRule>
  </conditionalFormatting>
  <conditionalFormatting sqref="Q10">
    <cfRule type="expression" dxfId="508" priority="28" stopIfTrue="1">
      <formula>$I$10=""</formula>
    </cfRule>
  </conditionalFormatting>
  <conditionalFormatting sqref="Q11">
    <cfRule type="expression" dxfId="507" priority="29" stopIfTrue="1">
      <formula>$I$11=""</formula>
    </cfRule>
  </conditionalFormatting>
  <conditionalFormatting sqref="Q12">
    <cfRule type="expression" dxfId="506" priority="30" stopIfTrue="1">
      <formula>$I$12=""</formula>
    </cfRule>
  </conditionalFormatting>
  <conditionalFormatting sqref="Q13">
    <cfRule type="expression" dxfId="505" priority="31" stopIfTrue="1">
      <formula>$I$13=""</formula>
    </cfRule>
  </conditionalFormatting>
  <conditionalFormatting sqref="Q14">
    <cfRule type="expression" dxfId="504" priority="32" stopIfTrue="1">
      <formula>$I$14=""</formula>
    </cfRule>
  </conditionalFormatting>
  <conditionalFormatting sqref="Q15">
    <cfRule type="expression" dxfId="503" priority="33" stopIfTrue="1">
      <formula>$I$15=""</formula>
    </cfRule>
  </conditionalFormatting>
  <conditionalFormatting sqref="Q16">
    <cfRule type="expression" dxfId="502" priority="34" stopIfTrue="1">
      <formula>$I$16=""</formula>
    </cfRule>
  </conditionalFormatting>
  <conditionalFormatting sqref="Q17">
    <cfRule type="expression" dxfId="501" priority="35" stopIfTrue="1">
      <formula>$I$17=""</formula>
    </cfRule>
  </conditionalFormatting>
  <conditionalFormatting sqref="Q18">
    <cfRule type="expression" dxfId="500" priority="36" stopIfTrue="1">
      <formula>$I$18=""</formula>
    </cfRule>
  </conditionalFormatting>
  <conditionalFormatting sqref="Q19">
    <cfRule type="expression" dxfId="499" priority="37" stopIfTrue="1">
      <formula>$I$19=""</formula>
    </cfRule>
  </conditionalFormatting>
  <conditionalFormatting sqref="Q20">
    <cfRule type="expression" dxfId="498" priority="38" stopIfTrue="1">
      <formula>$I$20=""</formula>
    </cfRule>
  </conditionalFormatting>
  <conditionalFormatting sqref="Q21">
    <cfRule type="expression" dxfId="497" priority="39" stopIfTrue="1">
      <formula>$I$21=""</formula>
    </cfRule>
  </conditionalFormatting>
  <conditionalFormatting sqref="Q22">
    <cfRule type="expression" dxfId="496" priority="40" stopIfTrue="1">
      <formula>$I$22=""</formula>
    </cfRule>
  </conditionalFormatting>
  <conditionalFormatting sqref="Q23">
    <cfRule type="expression" dxfId="495" priority="41" stopIfTrue="1">
      <formula>$I$23=""</formula>
    </cfRule>
  </conditionalFormatting>
  <conditionalFormatting sqref="Q24">
    <cfRule type="expression" dxfId="494" priority="42" stopIfTrue="1">
      <formula>$I$24=""</formula>
    </cfRule>
  </conditionalFormatting>
  <conditionalFormatting sqref="Q25">
    <cfRule type="expression" dxfId="493" priority="43" stopIfTrue="1">
      <formula>$I$25=""</formula>
    </cfRule>
  </conditionalFormatting>
  <conditionalFormatting sqref="Q26">
    <cfRule type="expression" dxfId="492" priority="44" stopIfTrue="1">
      <formula>$I$26=""</formula>
    </cfRule>
  </conditionalFormatting>
  <conditionalFormatting sqref="Q27">
    <cfRule type="expression" dxfId="491" priority="45" stopIfTrue="1">
      <formula>$I$27=""</formula>
    </cfRule>
  </conditionalFormatting>
  <conditionalFormatting sqref="Q28">
    <cfRule type="expression" dxfId="490" priority="46" stopIfTrue="1">
      <formula>$I$28=""</formula>
    </cfRule>
  </conditionalFormatting>
  <conditionalFormatting sqref="Q29">
    <cfRule type="expression" dxfId="489" priority="47" stopIfTrue="1">
      <formula>$I$29=""</formula>
    </cfRule>
  </conditionalFormatting>
  <conditionalFormatting sqref="Q30">
    <cfRule type="expression" dxfId="488" priority="48" stopIfTrue="1">
      <formula>$I$30=""</formula>
    </cfRule>
  </conditionalFormatting>
  <conditionalFormatting sqref="Q31">
    <cfRule type="expression" dxfId="487" priority="49" stopIfTrue="1">
      <formula>$I$31=""</formula>
    </cfRule>
  </conditionalFormatting>
  <conditionalFormatting sqref="Q32">
    <cfRule type="expression" dxfId="486" priority="50" stopIfTrue="1">
      <formula>$I$32=""</formula>
    </cfRule>
  </conditionalFormatting>
  <conditionalFormatting sqref="Q33">
    <cfRule type="expression" dxfId="485" priority="51" stopIfTrue="1">
      <formula>$I$33=""</formula>
    </cfRule>
  </conditionalFormatting>
  <conditionalFormatting sqref="Q34">
    <cfRule type="expression" dxfId="484" priority="52" stopIfTrue="1">
      <formula>$I$34=""</formula>
    </cfRule>
  </conditionalFormatting>
  <conditionalFormatting sqref="Q35">
    <cfRule type="expression" dxfId="483" priority="53" stopIfTrue="1">
      <formula>$I$35=""</formula>
    </cfRule>
  </conditionalFormatting>
  <conditionalFormatting sqref="Q36">
    <cfRule type="expression" dxfId="482" priority="54" stopIfTrue="1">
      <formula>$I$36=""</formula>
    </cfRule>
  </conditionalFormatting>
  <conditionalFormatting sqref="Q47">
    <cfRule type="expression" dxfId="481" priority="55" stopIfTrue="1">
      <formula>$I$47=""</formula>
    </cfRule>
  </conditionalFormatting>
  <conditionalFormatting sqref="Q48">
    <cfRule type="expression" dxfId="480" priority="56" stopIfTrue="1">
      <formula>$I$48=""</formula>
    </cfRule>
  </conditionalFormatting>
  <conditionalFormatting sqref="Q49">
    <cfRule type="expression" dxfId="479" priority="57" stopIfTrue="1">
      <formula>$I$49=""</formula>
    </cfRule>
  </conditionalFormatting>
  <conditionalFormatting sqref="Q50">
    <cfRule type="expression" dxfId="478" priority="58" stopIfTrue="1">
      <formula>$I$50=""</formula>
    </cfRule>
  </conditionalFormatting>
  <conditionalFormatting sqref="Q51">
    <cfRule type="expression" dxfId="477" priority="59" stopIfTrue="1">
      <formula>$I$51=""</formula>
    </cfRule>
  </conditionalFormatting>
  <conditionalFormatting sqref="Q52">
    <cfRule type="expression" dxfId="476" priority="60" stopIfTrue="1">
      <formula>$I$52=""</formula>
    </cfRule>
  </conditionalFormatting>
  <conditionalFormatting sqref="Q53">
    <cfRule type="expression" dxfId="475" priority="61" stopIfTrue="1">
      <formula>$I$53=""</formula>
    </cfRule>
  </conditionalFormatting>
  <conditionalFormatting sqref="Q54">
    <cfRule type="expression" dxfId="474" priority="62" stopIfTrue="1">
      <formula>$I$54=""</formula>
    </cfRule>
  </conditionalFormatting>
  <conditionalFormatting sqref="Q55">
    <cfRule type="expression" dxfId="473" priority="63" stopIfTrue="1">
      <formula>$I$55=""</formula>
    </cfRule>
  </conditionalFormatting>
  <conditionalFormatting sqref="Q56">
    <cfRule type="expression" dxfId="472" priority="64" stopIfTrue="1">
      <formula>$I$56=""</formula>
    </cfRule>
  </conditionalFormatting>
  <conditionalFormatting sqref="Q57">
    <cfRule type="expression" dxfId="471" priority="65" stopIfTrue="1">
      <formula>$I$57=""</formula>
    </cfRule>
  </conditionalFormatting>
  <conditionalFormatting sqref="Q58">
    <cfRule type="expression" dxfId="470" priority="66" stopIfTrue="1">
      <formula>$I$58=""</formula>
    </cfRule>
  </conditionalFormatting>
  <conditionalFormatting sqref="Q59">
    <cfRule type="expression" dxfId="469" priority="67" stopIfTrue="1">
      <formula>$I$59=""</formula>
    </cfRule>
  </conditionalFormatting>
  <conditionalFormatting sqref="Q60">
    <cfRule type="expression" dxfId="468" priority="68" stopIfTrue="1">
      <formula>$I$60=""</formula>
    </cfRule>
  </conditionalFormatting>
  <conditionalFormatting sqref="Q61">
    <cfRule type="expression" dxfId="467" priority="69" stopIfTrue="1">
      <formula>$I$61=""</formula>
    </cfRule>
  </conditionalFormatting>
  <conditionalFormatting sqref="Q62">
    <cfRule type="expression" dxfId="466" priority="70" stopIfTrue="1">
      <formula>$I$62=""</formula>
    </cfRule>
  </conditionalFormatting>
  <conditionalFormatting sqref="Q63">
    <cfRule type="expression" dxfId="465" priority="71" stopIfTrue="1">
      <formula>$I$63=""</formula>
    </cfRule>
  </conditionalFormatting>
  <conditionalFormatting sqref="Q64">
    <cfRule type="expression" dxfId="464" priority="72" stopIfTrue="1">
      <formula>$I$64=""</formula>
    </cfRule>
  </conditionalFormatting>
  <conditionalFormatting sqref="Q65">
    <cfRule type="expression" dxfId="463" priority="73" stopIfTrue="1">
      <formula>$I$65=""</formula>
    </cfRule>
  </conditionalFormatting>
  <conditionalFormatting sqref="Q66">
    <cfRule type="expression" dxfId="462" priority="74" stopIfTrue="1">
      <formula>$I$66=""</formula>
    </cfRule>
  </conditionalFormatting>
  <conditionalFormatting sqref="Q67">
    <cfRule type="expression" dxfId="461" priority="75" stopIfTrue="1">
      <formula>$I$67=""</formula>
    </cfRule>
  </conditionalFormatting>
  <conditionalFormatting sqref="Q68">
    <cfRule type="expression" dxfId="460" priority="76" stopIfTrue="1">
      <formula>$I$68=""</formula>
    </cfRule>
  </conditionalFormatting>
  <conditionalFormatting sqref="Q69">
    <cfRule type="expression" dxfId="459" priority="77" stopIfTrue="1">
      <formula>$I$69=""</formula>
    </cfRule>
  </conditionalFormatting>
  <conditionalFormatting sqref="Q71">
    <cfRule type="expression" dxfId="458" priority="78" stopIfTrue="1">
      <formula>$I$71=""</formula>
    </cfRule>
  </conditionalFormatting>
  <conditionalFormatting sqref="Q72">
    <cfRule type="expression" dxfId="457" priority="79" stopIfTrue="1">
      <formula>$I$72=""</formula>
    </cfRule>
  </conditionalFormatting>
  <conditionalFormatting sqref="Q73">
    <cfRule type="expression" dxfId="456" priority="80" stopIfTrue="1">
      <formula>$I$73=""</formula>
    </cfRule>
  </conditionalFormatting>
  <conditionalFormatting sqref="Q74">
    <cfRule type="expression" dxfId="455" priority="81" stopIfTrue="1">
      <formula>$I$74=""</formula>
    </cfRule>
  </conditionalFormatting>
  <conditionalFormatting sqref="Q75">
    <cfRule type="expression" dxfId="454" priority="82" stopIfTrue="1">
      <formula>$I$75=""</formula>
    </cfRule>
  </conditionalFormatting>
  <conditionalFormatting sqref="Q76">
    <cfRule type="expression" dxfId="453" priority="83" stopIfTrue="1">
      <formula>$I$76=""</formula>
    </cfRule>
  </conditionalFormatting>
  <conditionalFormatting sqref="Q77">
    <cfRule type="expression" dxfId="452" priority="84" stopIfTrue="1">
      <formula>$I$77=""</formula>
    </cfRule>
  </conditionalFormatting>
  <conditionalFormatting sqref="Q78">
    <cfRule type="expression" dxfId="451" priority="85" stopIfTrue="1">
      <formula>$I$78=""</formula>
    </cfRule>
  </conditionalFormatting>
  <conditionalFormatting sqref="Q79">
    <cfRule type="expression" dxfId="450" priority="86" stopIfTrue="1">
      <formula>$I$79=""</formula>
    </cfRule>
  </conditionalFormatting>
  <conditionalFormatting sqref="Q80">
    <cfRule type="expression" dxfId="449" priority="87" stopIfTrue="1">
      <formula>$I$80=""</formula>
    </cfRule>
  </conditionalFormatting>
  <conditionalFormatting sqref="Q81">
    <cfRule type="expression" dxfId="448" priority="88" stopIfTrue="1">
      <formula>$I$81=""</formula>
    </cfRule>
  </conditionalFormatting>
  <conditionalFormatting sqref="Q82">
    <cfRule type="expression" dxfId="447" priority="89" stopIfTrue="1">
      <formula>$I$82=""</formula>
    </cfRule>
  </conditionalFormatting>
  <conditionalFormatting sqref="Q83">
    <cfRule type="expression" dxfId="446" priority="90" stopIfTrue="1">
      <formula>$I$83=""</formula>
    </cfRule>
  </conditionalFormatting>
  <conditionalFormatting sqref="Q84">
    <cfRule type="expression" dxfId="445" priority="91" stopIfTrue="1">
      <formula>$I$84=""</formula>
    </cfRule>
  </conditionalFormatting>
  <conditionalFormatting sqref="Q85">
    <cfRule type="expression" dxfId="444" priority="92" stopIfTrue="1">
      <formula>$I$85=""</formula>
    </cfRule>
  </conditionalFormatting>
  <conditionalFormatting sqref="Q86">
    <cfRule type="expression" dxfId="443" priority="93" stopIfTrue="1">
      <formula>$I$86=""</formula>
    </cfRule>
  </conditionalFormatting>
  <conditionalFormatting sqref="Q87">
    <cfRule type="expression" dxfId="442" priority="94" stopIfTrue="1">
      <formula>$I$87=""</formula>
    </cfRule>
  </conditionalFormatting>
  <conditionalFormatting sqref="Q88">
    <cfRule type="expression" dxfId="441" priority="95" stopIfTrue="1">
      <formula>$I$88=""</formula>
    </cfRule>
  </conditionalFormatting>
  <conditionalFormatting sqref="Q89">
    <cfRule type="expression" dxfId="440" priority="96" stopIfTrue="1">
      <formula>$I$89=""</formula>
    </cfRule>
  </conditionalFormatting>
  <conditionalFormatting sqref="Q90">
    <cfRule type="expression" dxfId="439" priority="97" stopIfTrue="1">
      <formula>$I$90=""</formula>
    </cfRule>
  </conditionalFormatting>
  <conditionalFormatting sqref="Q91">
    <cfRule type="expression" dxfId="438" priority="98" stopIfTrue="1">
      <formula>$I$91=""</formula>
    </cfRule>
  </conditionalFormatting>
  <conditionalFormatting sqref="Q92">
    <cfRule type="expression" dxfId="437" priority="99" stopIfTrue="1">
      <formula>$I$92=""</formula>
    </cfRule>
  </conditionalFormatting>
  <conditionalFormatting sqref="Q93">
    <cfRule type="expression" dxfId="436" priority="100" stopIfTrue="1">
      <formula>$I$93=""</formula>
    </cfRule>
  </conditionalFormatting>
  <conditionalFormatting sqref="Q94">
    <cfRule type="expression" dxfId="435" priority="101" stopIfTrue="1">
      <formula>$I$94=""</formula>
    </cfRule>
  </conditionalFormatting>
  <conditionalFormatting sqref="Q95">
    <cfRule type="expression" dxfId="434" priority="102" stopIfTrue="1">
      <formula>$I$95=""</formula>
    </cfRule>
  </conditionalFormatting>
  <conditionalFormatting sqref="Q96">
    <cfRule type="expression" dxfId="433" priority="103" stopIfTrue="1">
      <formula>$I$96=""</formula>
    </cfRule>
  </conditionalFormatting>
  <conditionalFormatting sqref="Q97">
    <cfRule type="expression" dxfId="432" priority="104" stopIfTrue="1">
      <formula>$I$97=""</formula>
    </cfRule>
  </conditionalFormatting>
  <conditionalFormatting sqref="Q98">
    <cfRule type="expression" dxfId="431" priority="105" stopIfTrue="1">
      <formula>$I$98=""</formula>
    </cfRule>
  </conditionalFormatting>
  <conditionalFormatting sqref="Q99">
    <cfRule type="expression" dxfId="430" priority="106" stopIfTrue="1">
      <formula>$I$99=""</formula>
    </cfRule>
  </conditionalFormatting>
  <conditionalFormatting sqref="Q100">
    <cfRule type="expression" dxfId="429" priority="107" stopIfTrue="1">
      <formula>$I$100=""</formula>
    </cfRule>
  </conditionalFormatting>
  <conditionalFormatting sqref="Q101">
    <cfRule type="expression" dxfId="428" priority="108" stopIfTrue="1">
      <formula>$I$101=""</formula>
    </cfRule>
  </conditionalFormatting>
  <conditionalFormatting sqref="Q102">
    <cfRule type="expression" dxfId="427" priority="109" stopIfTrue="1">
      <formula>$I$102=""</formula>
    </cfRule>
  </conditionalFormatting>
  <conditionalFormatting sqref="Q103">
    <cfRule type="expression" dxfId="426" priority="110" stopIfTrue="1">
      <formula>$I$103=""</formula>
    </cfRule>
  </conditionalFormatting>
  <conditionalFormatting sqref="Q104">
    <cfRule type="expression" dxfId="425" priority="111" stopIfTrue="1">
      <formula>$I$104=""</formula>
    </cfRule>
  </conditionalFormatting>
  <conditionalFormatting sqref="Q105">
    <cfRule type="expression" dxfId="424" priority="112" stopIfTrue="1">
      <formula>$I$105=""</formula>
    </cfRule>
  </conditionalFormatting>
  <conditionalFormatting sqref="Q106">
    <cfRule type="expression" dxfId="423" priority="113" stopIfTrue="1">
      <formula>$I$106=""</formula>
    </cfRule>
  </conditionalFormatting>
  <conditionalFormatting sqref="Q107">
    <cfRule type="expression" dxfId="422" priority="114" stopIfTrue="1">
      <formula>$I$107=""</formula>
    </cfRule>
  </conditionalFormatting>
  <conditionalFormatting sqref="Q108">
    <cfRule type="expression" dxfId="421" priority="115" stopIfTrue="1">
      <formula>$I$108=""</formula>
    </cfRule>
  </conditionalFormatting>
  <conditionalFormatting sqref="Q109">
    <cfRule type="expression" dxfId="420" priority="116" stopIfTrue="1">
      <formula>$I$109=""</formula>
    </cfRule>
  </conditionalFormatting>
  <conditionalFormatting sqref="Q110">
    <cfRule type="expression" dxfId="419" priority="117" stopIfTrue="1">
      <formula>$I$110=""</formula>
    </cfRule>
  </conditionalFormatting>
  <conditionalFormatting sqref="Q111">
    <cfRule type="expression" dxfId="418" priority="118" stopIfTrue="1">
      <formula>$I$111=""</formula>
    </cfRule>
  </conditionalFormatting>
  <conditionalFormatting sqref="Q112">
    <cfRule type="expression" dxfId="417" priority="119" stopIfTrue="1">
      <formula>$I$112=""</formula>
    </cfRule>
  </conditionalFormatting>
  <conditionalFormatting sqref="Q113">
    <cfRule type="expression" dxfId="416" priority="120" stopIfTrue="1">
      <formula>$I$113=""</formula>
    </cfRule>
  </conditionalFormatting>
  <conditionalFormatting sqref="Q114">
    <cfRule type="expression" dxfId="415" priority="121" stopIfTrue="1">
      <formula>$I$114=""</formula>
    </cfRule>
  </conditionalFormatting>
  <conditionalFormatting sqref="Q115">
    <cfRule type="expression" dxfId="414" priority="122" stopIfTrue="1">
      <formula>$I$115=""</formula>
    </cfRule>
  </conditionalFormatting>
  <conditionalFormatting sqref="Q116">
    <cfRule type="expression" dxfId="413" priority="123" stopIfTrue="1">
      <formula>$I$116=""</formula>
    </cfRule>
  </conditionalFormatting>
  <conditionalFormatting sqref="Q37">
    <cfRule type="expression" dxfId="412" priority="124" stopIfTrue="1">
      <formula>$I$37=""</formula>
    </cfRule>
  </conditionalFormatting>
  <conditionalFormatting sqref="Q38">
    <cfRule type="expression" dxfId="411" priority="125" stopIfTrue="1">
      <formula>$I$38=""</formula>
    </cfRule>
  </conditionalFormatting>
  <conditionalFormatting sqref="Q39">
    <cfRule type="expression" dxfId="410" priority="126" stopIfTrue="1">
      <formula>$I$39=""</formula>
    </cfRule>
  </conditionalFormatting>
  <conditionalFormatting sqref="Q40">
    <cfRule type="expression" dxfId="409" priority="127" stopIfTrue="1">
      <formula>$I$40=""</formula>
    </cfRule>
  </conditionalFormatting>
  <conditionalFormatting sqref="Q41">
    <cfRule type="expression" dxfId="408" priority="128" stopIfTrue="1">
      <formula>$I$41=""</formula>
    </cfRule>
  </conditionalFormatting>
  <conditionalFormatting sqref="Q42">
    <cfRule type="expression" dxfId="407" priority="129" stopIfTrue="1">
      <formula>$I$42=""</formula>
    </cfRule>
  </conditionalFormatting>
  <conditionalFormatting sqref="Q43">
    <cfRule type="expression" dxfId="406" priority="130" stopIfTrue="1">
      <formula>$I$43=""</formula>
    </cfRule>
  </conditionalFormatting>
  <conditionalFormatting sqref="Q44">
    <cfRule type="expression" dxfId="405" priority="131" stopIfTrue="1">
      <formula>$I$44=""</formula>
    </cfRule>
  </conditionalFormatting>
  <conditionalFormatting sqref="Q45">
    <cfRule type="expression" dxfId="404" priority="132" stopIfTrue="1">
      <formula>$I$45=""</formula>
    </cfRule>
  </conditionalFormatting>
  <conditionalFormatting sqref="Q46">
    <cfRule type="expression" dxfId="403" priority="133" stopIfTrue="1">
      <formula>$I$46=""</formula>
    </cfRule>
  </conditionalFormatting>
  <conditionalFormatting sqref="Q70">
    <cfRule type="expression" dxfId="402" priority="134" stopIfTrue="1">
      <formula>$I$70=""</formula>
    </cfRule>
  </conditionalFormatting>
  <conditionalFormatting sqref="O7:O116">
    <cfRule type="expression" dxfId="401" priority="135" stopIfTrue="1">
      <formula>ISNA(P7)</formula>
    </cfRule>
    <cfRule type="expression" dxfId="400" priority="136" stopIfTrue="1">
      <formula>I7=""</formula>
    </cfRule>
  </conditionalFormatting>
  <conditionalFormatting sqref="T7:T116">
    <cfRule type="expression" dxfId="399" priority="473" stopIfTrue="1">
      <formula>ISNA(U7)</formula>
    </cfRule>
    <cfRule type="expression" dxfId="398" priority="474" stopIfTrue="1">
      <formula>COUNTIF($AO$9:$AO$16,7)</formula>
    </cfRule>
    <cfRule type="expression" dxfId="397" priority="475" stopIfTrue="1">
      <formula>I7=""</formula>
    </cfRule>
  </conditionalFormatting>
  <conditionalFormatting sqref="AN19:AN24">
    <cfRule type="cellIs" dxfId="396" priority="7" operator="greaterThan">
      <formula>3</formula>
    </cfRule>
  </conditionalFormatting>
  <conditionalFormatting sqref="AN27:AN32">
    <cfRule type="cellIs" dxfId="395" priority="6" operator="greaterThan">
      <formula>3</formula>
    </cfRule>
  </conditionalFormatting>
  <conditionalFormatting sqref="AZ32:AZ37">
    <cfRule type="expression" dxfId="394" priority="3">
      <formula>BE32=2</formula>
    </cfRule>
  </conditionalFormatting>
  <conditionalFormatting sqref="AZ40:AZ45">
    <cfRule type="expression" dxfId="393" priority="2">
      <formula>BE40=2</formula>
    </cfRule>
  </conditionalFormatting>
  <conditionalFormatting sqref="AZ48:AZ53">
    <cfRule type="expression" dxfId="392" priority="1">
      <formula>BE48=2</formula>
    </cfRule>
  </conditionalFormatting>
  <dataValidations count="11">
    <dataValidation imeMode="disabled" allowBlank="1" showInputMessage="1" showErrorMessage="1" sqref="AN14:AN16 AN9:AN11"/>
    <dataValidation imeMode="halfAlpha" allowBlank="1" showInputMessage="1" showErrorMessage="1" sqref="AA7:AA116 AD7:AD116 AG7:AG116 V7:V116"/>
    <dataValidation type="list" errorStyle="warning" allowBlank="1" showInputMessage="1" showErrorMessage="1" sqref="AB7:AB116 AE7:AE116">
      <formula1>$AK$6:$AK$11</formula1>
    </dataValidation>
    <dataValidation imeMode="disabled" allowBlank="1" sqref="O117:O65536 O2 Q6"/>
    <dataValidation allowBlank="1" prompt="#N/Aは種目選択ミスです" sqref="P7:P116"/>
    <dataValidation allowBlank="1" showErrorMessage="1" prompt="#N/Aの表示は種目選択ミスです" sqref="U7:U116"/>
    <dataValidation allowBlank="1" showErrorMessage="1" sqref="Z7:Z116"/>
    <dataValidation imeMode="disabled" allowBlank="1" showInputMessage="1" prompt="記録は半角英数字で_x000a_例_x000a_11秒11→11.11_x000a_1分50秒00→1.50.00_x000a_15m50→15m50_x000a__x000a_" sqref="Q7:Q116"/>
    <dataValidation type="list" allowBlank="1" showInputMessage="1" showErrorMessage="1" sqref="O7:O116">
      <formula1>IF(I7=1,$AM$19:$AM$24,$AM$27:$AM$32)</formula1>
    </dataValidation>
    <dataValidation type="list" allowBlank="1" showInputMessage="1" showErrorMessage="1" sqref="T7:T116">
      <formula1>IF(I7=1,$AM$39:$AM$41,$AM$42:$AM$44)</formula1>
    </dataValidation>
    <dataValidation type="list" errorStyle="warning" allowBlank="1" showInputMessage="1" showErrorMessage="1" sqref="Y7:Y116">
      <formula1>$AM$45:$AM$47</formula1>
    </dataValidation>
  </dataValidations>
  <printOptions horizontalCentered="1"/>
  <pageMargins left="0.59055118110236227" right="0.78740157480314965" top="0.98425196850393704" bottom="0.98425196850393704" header="0.51181102362204722" footer="0.51181102362204722"/>
  <pageSetup paperSize="9" scale="61" fitToHeight="2" orientation="portrait" verticalDpi="300" r:id="rId1"/>
  <headerFooter alignWithMargins="0">
    <oddHeader>&amp;R&amp;D　&amp;T</oddHeader>
    <oddFooter>&amp;L&amp;P&amp;R三重陸上競技協会</oddFooter>
  </headerFooter>
  <legacyDrawing r:id="rId2"/>
</worksheet>
</file>

<file path=xl/worksheets/sheet9.xml><?xml version="1.0" encoding="utf-8"?>
<worksheet xmlns="http://schemas.openxmlformats.org/spreadsheetml/2006/main" xmlns:r="http://schemas.openxmlformats.org/officeDocument/2006/relationships">
  <sheetPr codeName="Sheet27">
    <tabColor indexed="29"/>
    <pageSetUpPr fitToPage="1"/>
  </sheetPr>
  <dimension ref="A1:BE128"/>
  <sheetViews>
    <sheetView showGridLines="0" showZeros="0" topLeftCell="E1" workbookViewId="0">
      <selection activeCell="E1" sqref="E1"/>
    </sheetView>
  </sheetViews>
  <sheetFormatPr defaultColWidth="8.625" defaultRowHeight="13.5"/>
  <cols>
    <col min="1" max="1" width="8.875" style="885" hidden="1" customWidth="1"/>
    <col min="2" max="2" width="10.125" style="885" hidden="1" customWidth="1"/>
    <col min="3" max="3" width="12.25" style="885" hidden="1" customWidth="1"/>
    <col min="4" max="4" width="9.375" style="885" hidden="1" customWidth="1"/>
    <col min="5" max="5" width="12.25" style="885" bestFit="1" customWidth="1"/>
    <col min="6" max="6" width="14.375" style="885" customWidth="1"/>
    <col min="7" max="7" width="14.375" style="928" customWidth="1"/>
    <col min="8" max="8" width="9" style="137" hidden="1" customWidth="1"/>
    <col min="9" max="9" width="4.75" style="137" customWidth="1"/>
    <col min="10" max="10" width="4.375" style="802" customWidth="1"/>
    <col min="11" max="11" width="5.5" style="802" hidden="1" customWidth="1"/>
    <col min="12" max="12" width="5.375" style="885" hidden="1" customWidth="1"/>
    <col min="13" max="13" width="6.75" style="140" hidden="1" customWidth="1"/>
    <col min="14" max="14" width="10.5" style="138" bestFit="1" customWidth="1"/>
    <col min="15" max="15" width="22.125" style="139" customWidth="1"/>
    <col min="16" max="16" width="7.125" style="140" hidden="1" customWidth="1"/>
    <col min="17" max="17" width="16.25" style="138" customWidth="1"/>
    <col min="18" max="18" width="8.125" style="139" hidden="1" customWidth="1"/>
    <col min="19" max="19" width="7.25" style="140" hidden="1" customWidth="1"/>
    <col min="20" max="20" width="12" style="141" hidden="1" customWidth="1"/>
    <col min="21" max="21" width="7.375" style="139" hidden="1" customWidth="1"/>
    <col min="22" max="22" width="11.625" style="142" hidden="1" customWidth="1"/>
    <col min="23" max="23" width="0.25" style="141" hidden="1" customWidth="1"/>
    <col min="24" max="24" width="3.25" style="139" hidden="1" customWidth="1"/>
    <col min="25" max="25" width="6.75" style="140" hidden="1" customWidth="1"/>
    <col min="26" max="26" width="5" style="141" hidden="1" customWidth="1"/>
    <col min="27" max="27" width="6.75" style="139" hidden="1" customWidth="1"/>
    <col min="28" max="28" width="6.75" style="802" hidden="1" customWidth="1"/>
    <col min="29" max="29" width="5.875" style="802" hidden="1" customWidth="1"/>
    <col min="30" max="30" width="18" style="885" hidden="1" customWidth="1"/>
    <col min="31" max="31" width="8.75" style="143" hidden="1" customWidth="1"/>
    <col min="32" max="32" width="12.5" style="907" hidden="1" customWidth="1"/>
    <col min="33" max="33" width="12" style="907" hidden="1" customWidth="1"/>
    <col min="34" max="34" width="10.875" style="907" hidden="1" customWidth="1"/>
    <col min="35" max="35" width="9.5" style="885" hidden="1" customWidth="1"/>
    <col min="36" max="36" width="11" style="885" hidden="1" customWidth="1"/>
    <col min="37" max="38" width="13.5" style="885" hidden="1" customWidth="1"/>
    <col min="39" max="39" width="10.375" style="885" hidden="1" customWidth="1"/>
    <col min="40" max="40" width="10.5" style="885" hidden="1" customWidth="1"/>
    <col min="41" max="41" width="10.125" style="885" hidden="1" customWidth="1"/>
    <col min="42" max="42" width="11" style="143" customWidth="1"/>
    <col min="43" max="43" width="10.25" style="143" customWidth="1"/>
    <col min="44" max="44" width="7" style="885" hidden="1" customWidth="1"/>
    <col min="45" max="45" width="8" style="885" hidden="1" customWidth="1"/>
    <col min="46" max="46" width="7.375" style="885" hidden="1" customWidth="1"/>
    <col min="47" max="47" width="9.125" style="885" hidden="1" customWidth="1"/>
    <col min="48" max="48" width="10.625" style="885" hidden="1" customWidth="1"/>
    <col min="49" max="49" width="10" style="885" hidden="1" customWidth="1"/>
    <col min="50" max="16384" width="8.625" style="885"/>
  </cols>
  <sheetData>
    <row r="1" spans="1:57" ht="21.75" customHeight="1">
      <c r="B1" s="249"/>
      <c r="C1" s="555"/>
      <c r="D1" s="886"/>
      <c r="E1" s="249" t="s">
        <v>610</v>
      </c>
      <c r="F1" s="555">
        <f>IF(名簿!$O$4="","",名簿!$O$4)</f>
        <v>0</v>
      </c>
      <c r="G1" s="301"/>
      <c r="H1" s="301"/>
      <c r="I1" s="301"/>
      <c r="J1" s="301"/>
      <c r="K1" s="301"/>
      <c r="L1" s="301"/>
      <c r="M1" s="301"/>
      <c r="N1" s="301"/>
      <c r="O1" s="301"/>
      <c r="P1" s="301"/>
      <c r="Q1" s="301"/>
      <c r="R1" s="301"/>
      <c r="S1" s="302"/>
      <c r="T1" s="303"/>
      <c r="U1" s="304"/>
      <c r="V1" s="305"/>
      <c r="W1" s="303"/>
      <c r="X1" s="304"/>
      <c r="Y1" s="302"/>
      <c r="Z1" s="303"/>
      <c r="AA1" s="304"/>
      <c r="AB1" s="800"/>
      <c r="AC1" s="800"/>
      <c r="AD1" s="886"/>
      <c r="AE1" s="306"/>
      <c r="AF1" s="307"/>
      <c r="AG1" s="307"/>
      <c r="AH1" s="307"/>
      <c r="AI1" s="886"/>
      <c r="AJ1" s="886"/>
      <c r="AK1" s="886"/>
      <c r="AL1" s="886"/>
      <c r="AM1" s="886"/>
      <c r="AN1" s="886"/>
      <c r="AO1" s="886"/>
      <c r="AP1" s="306"/>
      <c r="AQ1" s="306"/>
      <c r="AR1" s="886"/>
      <c r="AS1" s="886"/>
      <c r="AT1" s="886"/>
      <c r="AU1" s="886"/>
      <c r="AV1" s="886"/>
      <c r="AX1" s="886"/>
      <c r="AY1" s="886"/>
      <c r="AZ1" s="1349"/>
      <c r="BA1" s="1349"/>
      <c r="BB1" s="1349"/>
      <c r="BC1" s="1349"/>
      <c r="BD1" s="1349"/>
      <c r="BE1" s="918"/>
    </row>
    <row r="2" spans="1:57" ht="34.5" customHeight="1">
      <c r="B2" s="249"/>
      <c r="C2" s="308"/>
      <c r="D2" s="309"/>
      <c r="E2" s="249"/>
      <c r="F2" s="262" t="e">
        <f>名簿!$P$4</f>
        <v>#N/A</v>
      </c>
      <c r="G2" s="1428" t="s">
        <v>1209</v>
      </c>
      <c r="H2" s="1428"/>
      <c r="I2" s="1428"/>
      <c r="J2" s="1428"/>
      <c r="K2" s="1428"/>
      <c r="L2" s="1428"/>
      <c r="M2" s="1428"/>
      <c r="N2" s="1428"/>
      <c r="O2" s="1428"/>
      <c r="P2" s="1428"/>
      <c r="Q2" s="1428"/>
      <c r="R2" s="1428"/>
      <c r="S2" s="312"/>
      <c r="T2" s="313"/>
      <c r="U2" s="310"/>
      <c r="V2" s="1435"/>
      <c r="W2" s="1435"/>
      <c r="X2" s="304"/>
      <c r="Y2" s="302"/>
      <c r="Z2" s="303"/>
      <c r="AA2" s="304"/>
      <c r="AB2" s="800"/>
      <c r="AC2" s="800"/>
      <c r="AD2" s="886"/>
      <c r="AE2" s="306"/>
      <c r="AF2" s="315"/>
      <c r="AG2" s="315"/>
      <c r="AH2" s="315"/>
      <c r="AI2" s="886"/>
      <c r="AJ2" s="1436"/>
      <c r="AK2" s="1436"/>
      <c r="AL2" s="1436"/>
      <c r="AM2" s="1436"/>
      <c r="AN2" s="886"/>
      <c r="AO2" s="886"/>
      <c r="AP2" s="306"/>
      <c r="AQ2" s="306"/>
      <c r="AR2" s="886"/>
      <c r="AS2" s="886"/>
      <c r="AT2" s="886"/>
      <c r="AU2" s="886"/>
      <c r="AV2" s="886"/>
      <c r="AX2" s="886"/>
      <c r="AY2" s="886"/>
      <c r="AZ2" s="1349"/>
      <c r="BA2" s="1349"/>
      <c r="BB2" s="1349"/>
      <c r="BC2" s="1349"/>
      <c r="BD2" s="1349"/>
      <c r="BE2" s="918"/>
    </row>
    <row r="3" spans="1:57" ht="34.5" customHeight="1">
      <c r="B3" s="250"/>
      <c r="C3" s="272"/>
      <c r="D3" s="272"/>
      <c r="E3" s="250" t="s">
        <v>1217</v>
      </c>
      <c r="F3" s="272" t="str">
        <f>IF(名簿!$D$1="","",名簿!$D$1)</f>
        <v/>
      </c>
      <c r="G3" s="329" t="s">
        <v>451</v>
      </c>
      <c r="H3" s="328"/>
      <c r="I3" s="328"/>
      <c r="J3" s="547"/>
      <c r="K3" s="547"/>
      <c r="L3" s="547"/>
      <c r="M3" s="547"/>
      <c r="N3" s="547"/>
      <c r="O3" s="547">
        <f>$AF$118</f>
        <v>0</v>
      </c>
      <c r="P3" s="318"/>
      <c r="Q3" s="311"/>
      <c r="R3" s="311"/>
      <c r="S3" s="319"/>
      <c r="T3" s="320"/>
      <c r="U3" s="318"/>
      <c r="V3" s="1335"/>
      <c r="W3" s="1335"/>
      <c r="X3" s="321"/>
      <c r="Y3" s="322"/>
      <c r="Z3" s="323"/>
      <c r="AA3" s="321"/>
      <c r="AB3" s="1121"/>
      <c r="AC3" s="1121"/>
      <c r="AD3" s="887"/>
      <c r="AE3" s="325"/>
      <c r="AF3" s="326"/>
      <c r="AG3" s="326"/>
      <c r="AH3" s="326"/>
      <c r="AI3" s="887"/>
      <c r="AJ3" s="1336"/>
      <c r="AK3" s="1336"/>
      <c r="AL3" s="1336"/>
      <c r="AM3" s="1336"/>
      <c r="AN3" s="886"/>
      <c r="AO3" s="886"/>
      <c r="AP3" s="306"/>
      <c r="AQ3" s="306"/>
      <c r="AR3" s="886"/>
      <c r="AS3" s="886"/>
      <c r="AT3" s="886"/>
      <c r="AU3" s="886"/>
      <c r="AV3" s="886"/>
      <c r="AX3" s="886"/>
      <c r="AY3" s="886"/>
      <c r="AZ3" s="1349"/>
      <c r="BA3" s="1349"/>
      <c r="BB3" s="1349"/>
      <c r="BC3" s="1349"/>
      <c r="BD3" s="1349"/>
      <c r="BE3" s="918"/>
    </row>
    <row r="4" spans="1:57" ht="34.5" customHeight="1" thickBot="1">
      <c r="B4" s="250"/>
      <c r="C4" s="272"/>
      <c r="D4" s="272"/>
      <c r="E4" s="250" t="s">
        <v>1218</v>
      </c>
      <c r="F4" s="272" t="str">
        <f>IF(名簿!$I$1="","",名簿!$I$1)</f>
        <v/>
      </c>
      <c r="G4" s="329" t="s">
        <v>419</v>
      </c>
      <c r="H4" s="328"/>
      <c r="I4" s="329"/>
      <c r="J4" s="766"/>
      <c r="K4" s="766"/>
      <c r="L4" s="766"/>
      <c r="M4" s="766"/>
      <c r="N4" s="766"/>
      <c r="O4" s="766">
        <f>$AF$118*500+O5*300</f>
        <v>0</v>
      </c>
      <c r="P4" s="318"/>
      <c r="Q4" s="311"/>
      <c r="R4" s="311"/>
      <c r="S4" s="319"/>
      <c r="T4" s="320"/>
      <c r="U4" s="318"/>
      <c r="V4" s="1335"/>
      <c r="W4" s="1335"/>
      <c r="X4" s="321"/>
      <c r="Y4" s="322"/>
      <c r="Z4" s="323"/>
      <c r="AA4" s="321"/>
      <c r="AB4" s="1121"/>
      <c r="AC4" s="1121"/>
      <c r="AD4" s="887"/>
      <c r="AE4" s="325"/>
      <c r="AF4" s="326"/>
      <c r="AG4" s="326"/>
      <c r="AH4" s="326"/>
      <c r="AI4" s="887"/>
      <c r="AJ4" s="1336"/>
      <c r="AK4" s="1336"/>
      <c r="AL4" s="1336"/>
      <c r="AM4" s="1336"/>
      <c r="AN4" s="886"/>
      <c r="AO4" s="886"/>
      <c r="AP4" s="306"/>
      <c r="AQ4" s="306"/>
      <c r="AR4" s="886"/>
      <c r="AS4" s="886"/>
      <c r="AT4" s="886"/>
      <c r="AU4" s="886"/>
      <c r="AV4" s="886"/>
      <c r="AX4" s="886"/>
      <c r="AY4" s="886"/>
      <c r="AZ4" s="1349"/>
      <c r="BA4" s="1349"/>
      <c r="BB4" s="1349"/>
      <c r="BC4" s="1349"/>
      <c r="BD4" s="1349"/>
      <c r="BE4" s="918"/>
    </row>
    <row r="5" spans="1:57" ht="34.5" customHeight="1" thickBot="1">
      <c r="B5" s="330"/>
      <c r="C5" s="309"/>
      <c r="D5" s="309"/>
      <c r="E5" s="309"/>
      <c r="F5" s="309"/>
      <c r="G5" s="1210" t="s">
        <v>849</v>
      </c>
      <c r="H5" s="1209"/>
      <c r="I5" s="1209"/>
      <c r="J5" s="1209"/>
      <c r="K5" s="1209"/>
      <c r="L5" s="1209"/>
      <c r="M5" s="1209"/>
      <c r="N5" s="1209"/>
      <c r="O5" s="1212"/>
      <c r="P5" s="1211"/>
      <c r="Q5" s="1211" t="s">
        <v>850</v>
      </c>
      <c r="R5" s="311"/>
      <c r="S5" s="319"/>
      <c r="T5" s="320"/>
      <c r="U5" s="318"/>
      <c r="V5" s="1335"/>
      <c r="W5" s="1335"/>
      <c r="X5" s="321"/>
      <c r="Y5" s="322"/>
      <c r="Z5" s="323"/>
      <c r="AA5" s="321"/>
      <c r="AB5" s="1121"/>
      <c r="AC5" s="1121"/>
      <c r="AD5" s="887"/>
      <c r="AE5" s="325"/>
      <c r="AF5" s="326"/>
      <c r="AG5" s="326"/>
      <c r="AH5" s="326"/>
      <c r="AI5" s="887"/>
      <c r="AJ5" s="1336"/>
      <c r="AK5" s="1336"/>
      <c r="AL5" s="1336"/>
      <c r="AM5" s="1336"/>
      <c r="AN5" s="886"/>
      <c r="AO5" s="886"/>
      <c r="AP5" s="306"/>
      <c r="AQ5" s="306"/>
      <c r="AR5" s="886"/>
      <c r="AS5" s="886"/>
      <c r="AT5" s="886"/>
      <c r="AU5" s="886"/>
      <c r="AV5" s="886"/>
      <c r="AX5" s="886"/>
      <c r="AY5" s="886"/>
      <c r="AZ5" s="1349"/>
      <c r="BA5" s="1349"/>
      <c r="BB5" s="1349"/>
      <c r="BC5" s="1349"/>
      <c r="BD5" s="1349"/>
      <c r="BE5" s="918"/>
    </row>
    <row r="6" spans="1:57" s="888" customFormat="1" ht="12.75" thickBot="1">
      <c r="A6" s="888" t="s">
        <v>25</v>
      </c>
      <c r="B6" s="889" t="s">
        <v>16</v>
      </c>
      <c r="C6" s="888" t="s">
        <v>739</v>
      </c>
      <c r="D6" s="888" t="s">
        <v>742</v>
      </c>
      <c r="E6" s="890" t="s">
        <v>21</v>
      </c>
      <c r="F6" s="891" t="s">
        <v>429</v>
      </c>
      <c r="G6" s="889" t="s">
        <v>18</v>
      </c>
      <c r="H6" s="889" t="s">
        <v>26</v>
      </c>
      <c r="I6" s="889" t="s">
        <v>19</v>
      </c>
      <c r="J6" s="891" t="s">
        <v>17</v>
      </c>
      <c r="K6" s="1241" t="s">
        <v>740</v>
      </c>
      <c r="L6" s="1241" t="s">
        <v>741</v>
      </c>
      <c r="M6" s="892" t="s">
        <v>430</v>
      </c>
      <c r="N6" s="1081" t="s">
        <v>1060</v>
      </c>
      <c r="O6" s="893" t="s">
        <v>420</v>
      </c>
      <c r="P6" s="889" t="s">
        <v>228</v>
      </c>
      <c r="Q6" s="896" t="s">
        <v>236</v>
      </c>
      <c r="R6" s="895"/>
      <c r="S6" s="895"/>
      <c r="T6" s="893" t="s">
        <v>421</v>
      </c>
      <c r="U6" s="889" t="s">
        <v>228</v>
      </c>
      <c r="V6" s="896" t="s">
        <v>236</v>
      </c>
      <c r="W6" s="895"/>
      <c r="X6" s="895"/>
      <c r="Y6" s="897" t="s">
        <v>213</v>
      </c>
      <c r="Z6" s="898"/>
      <c r="AA6" s="899" t="s">
        <v>229</v>
      </c>
      <c r="AB6" s="900" t="s">
        <v>431</v>
      </c>
      <c r="AC6" s="901" t="s">
        <v>228</v>
      </c>
      <c r="AD6" s="902" t="s">
        <v>236</v>
      </c>
      <c r="AE6" s="903" t="s">
        <v>242</v>
      </c>
      <c r="AF6" s="904" t="s">
        <v>228</v>
      </c>
      <c r="AG6" s="902" t="s">
        <v>785</v>
      </c>
      <c r="AH6" s="905"/>
      <c r="AI6" s="905"/>
      <c r="AK6" s="1082">
        <v>100</v>
      </c>
      <c r="AL6" s="1083"/>
      <c r="AM6" s="1084"/>
      <c r="AN6" s="1084"/>
      <c r="AP6" s="1433" t="s">
        <v>638</v>
      </c>
      <c r="AQ6" s="1434"/>
      <c r="AR6" s="1085"/>
      <c r="AS6" s="1085"/>
      <c r="AV6" s="1086">
        <v>100</v>
      </c>
      <c r="AW6" s="1086">
        <v>100</v>
      </c>
      <c r="AX6" s="908"/>
      <c r="AY6" s="908"/>
      <c r="AZ6" s="1350"/>
      <c r="BA6" s="1350"/>
      <c r="BB6" s="1350"/>
      <c r="BC6" s="1350"/>
      <c r="BD6" s="1350"/>
      <c r="BE6" s="1347"/>
    </row>
    <row r="7" spans="1:57" ht="14.25" thickBot="1">
      <c r="A7" s="1337">
        <f>Z7</f>
        <v>0</v>
      </c>
      <c r="B7" s="151" t="e">
        <f>名簿!P4</f>
        <v>#N/A</v>
      </c>
      <c r="C7" s="151"/>
      <c r="D7" s="930"/>
      <c r="E7" s="180">
        <f>名簿!E4</f>
        <v>0</v>
      </c>
      <c r="F7" s="696" t="str">
        <f>名簿!CM4</f>
        <v/>
      </c>
      <c r="G7" s="151" t="str">
        <f>名簿!Z4</f>
        <v/>
      </c>
      <c r="H7" s="674" t="str">
        <f>名簿!CM4</f>
        <v/>
      </c>
      <c r="I7" s="152" t="str">
        <f>名簿!Y4</f>
        <v/>
      </c>
      <c r="J7" s="189" t="str">
        <f>名簿!CN4</f>
        <v/>
      </c>
      <c r="K7" s="1039">
        <f>名簿!CP4</f>
        <v>0</v>
      </c>
      <c r="L7" s="749" t="str">
        <f>名簿!CU4</f>
        <v>00</v>
      </c>
      <c r="M7" s="151" t="e">
        <f>名簿!Q4</f>
        <v>#N/A</v>
      </c>
      <c r="N7" s="1340">
        <f>名簿!D4</f>
        <v>0</v>
      </c>
      <c r="O7" s="336"/>
      <c r="P7" s="287" t="str">
        <f t="shared" ref="P7:P38" si="0">IF(O7="","",IF(I7=1,VLOOKUP(O7,$AP$8:$AR$12,3,FALSE),IF(I7=2,VLOOKUP(O7,$AP$15:$AR$19,3,FALSE))))</f>
        <v/>
      </c>
      <c r="Q7" s="671" t="str">
        <f>IF(O7="","",HLOOKUP(O7,名簿!$AH$3:$CF$118,2,FALSE))</f>
        <v/>
      </c>
      <c r="R7" s="1343" t="str">
        <f>IF(O7="","",0)</f>
        <v/>
      </c>
      <c r="S7" s="1281" t="str">
        <f>IF(O7="","",2)</f>
        <v/>
      </c>
      <c r="T7" s="367"/>
      <c r="U7" s="287" t="str">
        <f t="shared" ref="U7:U38" si="1">IF(T7="","",IF(I7=1,VLOOKUP(T7,$AP$8:$AR$12,3,FALSE),IF(I7=2,VLOOKUP(T7,$AP$15:$AR$19,3,FALSE))))</f>
        <v/>
      </c>
      <c r="V7" s="671" t="str">
        <f>IF(T7="","",HLOOKUP(T7,名簿!$AW$3:$CW$118,2,FALSE))</f>
        <v/>
      </c>
      <c r="W7" s="768" t="str">
        <f>IF(T7="","",0)</f>
        <v/>
      </c>
      <c r="X7" s="772" t="str">
        <f>IF(T7="","",2)</f>
        <v/>
      </c>
      <c r="Y7" s="155"/>
      <c r="Z7" s="156"/>
      <c r="AA7" s="153"/>
      <c r="AB7" s="157"/>
      <c r="AC7" s="158"/>
      <c r="AD7" s="159"/>
      <c r="AE7" s="160"/>
      <c r="AF7" s="161"/>
      <c r="AG7" s="154"/>
      <c r="AH7" s="802"/>
      <c r="AI7" s="802"/>
      <c r="AK7" s="906">
        <v>200</v>
      </c>
      <c r="AL7" s="907" t="str">
        <f t="shared" ref="AL7:AL70" si="2">IF(O7="","",1)</f>
        <v/>
      </c>
      <c r="AM7" s="859">
        <f t="shared" ref="AM7:AM70" si="3">IF(OR(AL7=1,T7=""),0,1)</f>
        <v>0</v>
      </c>
      <c r="AN7" s="859"/>
      <c r="AP7" s="1429" t="s">
        <v>273</v>
      </c>
      <c r="AQ7" s="1430"/>
      <c r="AT7" s="859"/>
      <c r="AV7" s="1058">
        <v>200</v>
      </c>
      <c r="AW7" s="1058">
        <v>200</v>
      </c>
      <c r="AX7" s="886"/>
      <c r="AY7" s="886"/>
      <c r="AZ7" s="1349"/>
      <c r="BA7" s="1349"/>
      <c r="BB7" s="1349"/>
      <c r="BC7" s="1349"/>
      <c r="BD7" s="1349"/>
      <c r="BE7" s="918"/>
    </row>
    <row r="8" spans="1:57">
      <c r="A8" s="1338">
        <f t="shared" ref="A8:A71" si="4">Z8</f>
        <v>0</v>
      </c>
      <c r="B8" s="162" t="str">
        <f>名簿!P5</f>
        <v/>
      </c>
      <c r="C8" s="162"/>
      <c r="D8" s="931"/>
      <c r="E8" s="182">
        <f>名簿!E5</f>
        <v>0</v>
      </c>
      <c r="F8" s="697" t="str">
        <f>名簿!CM5</f>
        <v/>
      </c>
      <c r="G8" s="162" t="str">
        <f>名簿!Z5</f>
        <v/>
      </c>
      <c r="H8" s="675" t="str">
        <f>名簿!CM5</f>
        <v/>
      </c>
      <c r="I8" s="187" t="str">
        <f>名簿!Y5</f>
        <v/>
      </c>
      <c r="J8" s="190" t="str">
        <f>名簿!CN5</f>
        <v/>
      </c>
      <c r="K8" s="1040">
        <f>名簿!CP5</f>
        <v>0</v>
      </c>
      <c r="L8" s="750" t="str">
        <f>名簿!CU5</f>
        <v>00</v>
      </c>
      <c r="M8" s="162" t="str">
        <f>名簿!Q5</f>
        <v/>
      </c>
      <c r="N8" s="1341">
        <f>名簿!D5</f>
        <v>0</v>
      </c>
      <c r="O8" s="338"/>
      <c r="P8" s="292" t="str">
        <f t="shared" si="0"/>
        <v/>
      </c>
      <c r="Q8" s="1346" t="str">
        <f>IF(O8="","",HLOOKUP(O8,名簿!$AH$3:$CF$118,3,FALSE))</f>
        <v/>
      </c>
      <c r="R8" s="1344" t="str">
        <f t="shared" ref="R8:R71" si="5">IF(O8="","",0)</f>
        <v/>
      </c>
      <c r="S8" s="1282" t="str">
        <f t="shared" ref="S8:S71" si="6">IF(O8="","",2)</f>
        <v/>
      </c>
      <c r="T8" s="368"/>
      <c r="U8" s="292" t="str">
        <f t="shared" si="1"/>
        <v/>
      </c>
      <c r="V8" s="669" t="str">
        <f>IF(T8="","",HLOOKUP(T8,名簿!$AW$3:$CW$118,3,FALSE))</f>
        <v/>
      </c>
      <c r="W8" s="769" t="str">
        <f t="shared" ref="W8:W71" si="7">IF(T8="","",0)</f>
        <v/>
      </c>
      <c r="X8" s="774" t="str">
        <f t="shared" ref="X8:X71" si="8">IF(T8="","",2)</f>
        <v/>
      </c>
      <c r="Y8" s="160"/>
      <c r="Z8" s="165"/>
      <c r="AA8" s="163"/>
      <c r="AB8" s="166"/>
      <c r="AC8" s="167"/>
      <c r="AD8" s="159"/>
      <c r="AE8" s="160"/>
      <c r="AF8" s="161"/>
      <c r="AG8" s="164"/>
      <c r="AH8" s="802"/>
      <c r="AI8" s="802"/>
      <c r="AK8" s="906">
        <v>400</v>
      </c>
      <c r="AL8" s="907" t="str">
        <f t="shared" si="2"/>
        <v/>
      </c>
      <c r="AM8" s="859">
        <f t="shared" si="3"/>
        <v>0</v>
      </c>
      <c r="AN8" s="859">
        <f t="shared" ref="AN8:AN71" si="9">IF(OR(AL8=1,AM8=1,AB8=""),0,1)</f>
        <v>0</v>
      </c>
      <c r="AP8" s="1277" t="s">
        <v>1097</v>
      </c>
      <c r="AQ8" s="195">
        <f>COUNTIF($P$7:$P$116,101)+COUNTIF($U$7:$U$116,101)</f>
        <v>0</v>
      </c>
      <c r="AR8">
        <v>101</v>
      </c>
      <c r="AT8" s="859"/>
      <c r="AU8" s="859"/>
      <c r="AV8" s="1058">
        <v>400</v>
      </c>
      <c r="AW8" s="1058">
        <v>400</v>
      </c>
      <c r="AX8" s="886"/>
      <c r="AY8" s="886"/>
      <c r="AZ8" s="1349"/>
      <c r="BA8" s="1349"/>
      <c r="BB8" s="1349"/>
      <c r="BC8" s="1349"/>
      <c r="BD8" s="1349"/>
      <c r="BE8" s="918"/>
    </row>
    <row r="9" spans="1:57" ht="13.5" customHeight="1">
      <c r="A9" s="1338">
        <f t="shared" si="4"/>
        <v>0</v>
      </c>
      <c r="B9" s="162" t="str">
        <f>名簿!P6</f>
        <v/>
      </c>
      <c r="C9" s="162"/>
      <c r="D9" s="931"/>
      <c r="E9" s="182">
        <f>名簿!E6</f>
        <v>0</v>
      </c>
      <c r="F9" s="697" t="str">
        <f>名簿!CM6</f>
        <v/>
      </c>
      <c r="G9" s="162" t="str">
        <f>名簿!Z6</f>
        <v/>
      </c>
      <c r="H9" s="675" t="str">
        <f>名簿!CM6</f>
        <v/>
      </c>
      <c r="I9" s="187" t="str">
        <f>名簿!Y6</f>
        <v/>
      </c>
      <c r="J9" s="190" t="str">
        <f>名簿!CN6</f>
        <v/>
      </c>
      <c r="K9" s="1040">
        <f>名簿!CP6</f>
        <v>0</v>
      </c>
      <c r="L9" s="750" t="str">
        <f>名簿!CU6</f>
        <v>00</v>
      </c>
      <c r="M9" s="162" t="str">
        <f>名簿!Q6</f>
        <v/>
      </c>
      <c r="N9" s="1341">
        <f>名簿!D6</f>
        <v>0</v>
      </c>
      <c r="O9" s="338"/>
      <c r="P9" s="292" t="str">
        <f t="shared" si="0"/>
        <v/>
      </c>
      <c r="Q9" s="669" t="str">
        <f>IF(O9="","",HLOOKUP(O9,名簿!$AH$3:$CF$118,4,FALSE))</f>
        <v/>
      </c>
      <c r="R9" s="1344" t="str">
        <f t="shared" si="5"/>
        <v/>
      </c>
      <c r="S9" s="1282" t="str">
        <f t="shared" si="6"/>
        <v/>
      </c>
      <c r="T9" s="368"/>
      <c r="U9" s="292" t="str">
        <f t="shared" si="1"/>
        <v/>
      </c>
      <c r="V9" s="669" t="str">
        <f>IF(T9="","",HLOOKUP(T9,名簿!$AW$3:$CW$118,4,FALSE))</f>
        <v/>
      </c>
      <c r="W9" s="769" t="str">
        <f t="shared" si="7"/>
        <v/>
      </c>
      <c r="X9" s="774" t="str">
        <f t="shared" si="8"/>
        <v/>
      </c>
      <c r="Y9" s="160"/>
      <c r="Z9" s="165"/>
      <c r="AA9" s="163"/>
      <c r="AB9" s="166"/>
      <c r="AC9" s="167"/>
      <c r="AD9" s="159"/>
      <c r="AE9" s="160"/>
      <c r="AF9" s="161"/>
      <c r="AG9" s="164"/>
      <c r="AH9" s="802"/>
      <c r="AI9" s="802"/>
      <c r="AK9" s="906">
        <v>800</v>
      </c>
      <c r="AL9" s="907" t="str">
        <f t="shared" si="2"/>
        <v/>
      </c>
      <c r="AM9" s="859">
        <f t="shared" si="3"/>
        <v>0</v>
      </c>
      <c r="AN9" s="859">
        <f t="shared" si="9"/>
        <v>0</v>
      </c>
      <c r="AP9" s="1278" t="s">
        <v>1210</v>
      </c>
      <c r="AQ9" s="196">
        <f>COUNTIF($P$7:$P$116,102)+COUNTIF($U$7:$U$116,102)</f>
        <v>0</v>
      </c>
      <c r="AR9">
        <v>102</v>
      </c>
      <c r="AT9" s="859"/>
      <c r="AV9" s="1058">
        <v>800</v>
      </c>
      <c r="AW9" s="1058">
        <v>800</v>
      </c>
      <c r="AX9" s="886"/>
      <c r="AY9" s="886"/>
      <c r="AZ9" s="1349"/>
      <c r="BA9" s="1349"/>
      <c r="BB9" s="1349"/>
      <c r="BC9" s="1349"/>
      <c r="BD9" s="1349"/>
      <c r="BE9" s="918"/>
    </row>
    <row r="10" spans="1:57">
      <c r="A10" s="1338">
        <f t="shared" si="4"/>
        <v>0</v>
      </c>
      <c r="B10" s="162" t="str">
        <f>名簿!P7</f>
        <v/>
      </c>
      <c r="C10" s="162"/>
      <c r="D10" s="931"/>
      <c r="E10" s="182">
        <f>名簿!E7</f>
        <v>0</v>
      </c>
      <c r="F10" s="697" t="str">
        <f>名簿!CM7</f>
        <v/>
      </c>
      <c r="G10" s="162" t="str">
        <f>名簿!Z7</f>
        <v/>
      </c>
      <c r="H10" s="675" t="str">
        <f>名簿!CM7</f>
        <v/>
      </c>
      <c r="I10" s="187" t="str">
        <f>名簿!Y7</f>
        <v/>
      </c>
      <c r="J10" s="190" t="str">
        <f>名簿!CN7</f>
        <v/>
      </c>
      <c r="K10" s="1040">
        <f>名簿!CP7</f>
        <v>0</v>
      </c>
      <c r="L10" s="750" t="str">
        <f>名簿!CU7</f>
        <v>00</v>
      </c>
      <c r="M10" s="162" t="str">
        <f>名簿!Q7</f>
        <v/>
      </c>
      <c r="N10" s="1341">
        <f>名簿!D7</f>
        <v>0</v>
      </c>
      <c r="O10" s="338"/>
      <c r="P10" s="292" t="str">
        <f t="shared" si="0"/>
        <v/>
      </c>
      <c r="Q10" s="669" t="str">
        <f>IF(O10="","",HLOOKUP(O10,名簿!$AH$3:$CF$118,5,FALSE))</f>
        <v/>
      </c>
      <c r="R10" s="1344" t="str">
        <f t="shared" si="5"/>
        <v/>
      </c>
      <c r="S10" s="1282" t="str">
        <f t="shared" si="6"/>
        <v/>
      </c>
      <c r="T10" s="368"/>
      <c r="U10" s="292" t="str">
        <f t="shared" si="1"/>
        <v/>
      </c>
      <c r="V10" s="669" t="str">
        <f>IF(T10="","",HLOOKUP(T10,名簿!$AW$3:$CW$118,5,FALSE))</f>
        <v/>
      </c>
      <c r="W10" s="769" t="str">
        <f t="shared" si="7"/>
        <v/>
      </c>
      <c r="X10" s="774" t="str">
        <f t="shared" si="8"/>
        <v/>
      </c>
      <c r="Y10" s="160"/>
      <c r="Z10" s="165"/>
      <c r="AA10" s="163"/>
      <c r="AB10" s="166"/>
      <c r="AC10" s="167"/>
      <c r="AD10" s="159"/>
      <c r="AE10" s="160"/>
      <c r="AF10" s="161"/>
      <c r="AG10" s="164"/>
      <c r="AH10" s="802"/>
      <c r="AI10" s="802"/>
      <c r="AK10" s="906">
        <v>1500</v>
      </c>
      <c r="AL10" s="907" t="str">
        <f t="shared" si="2"/>
        <v/>
      </c>
      <c r="AM10" s="859">
        <f t="shared" si="3"/>
        <v>0</v>
      </c>
      <c r="AN10" s="859">
        <f t="shared" si="9"/>
        <v>0</v>
      </c>
      <c r="AP10" s="1278" t="s">
        <v>1211</v>
      </c>
      <c r="AQ10" s="196">
        <f>COUNTIF($P$7:$P$116,103)+COUNTIF($U$7:$U$116,103)</f>
        <v>0</v>
      </c>
      <c r="AR10">
        <v>103</v>
      </c>
      <c r="AT10" s="859"/>
      <c r="AV10" s="1058">
        <v>1500</v>
      </c>
      <c r="AW10" s="1058">
        <v>1500</v>
      </c>
      <c r="AX10" s="886"/>
      <c r="AY10" s="886"/>
      <c r="AZ10" s="1349"/>
      <c r="BA10" s="1349"/>
      <c r="BB10" s="1349"/>
      <c r="BC10" s="1349"/>
      <c r="BD10" s="1349"/>
      <c r="BE10" s="918"/>
    </row>
    <row r="11" spans="1:57">
      <c r="A11" s="1338">
        <f t="shared" si="4"/>
        <v>0</v>
      </c>
      <c r="B11" s="162" t="str">
        <f>名簿!P8</f>
        <v/>
      </c>
      <c r="C11" s="162"/>
      <c r="D11" s="931"/>
      <c r="E11" s="182">
        <f>名簿!E8</f>
        <v>0</v>
      </c>
      <c r="F11" s="697" t="str">
        <f>名簿!CM8</f>
        <v/>
      </c>
      <c r="G11" s="162" t="str">
        <f>名簿!Z8</f>
        <v/>
      </c>
      <c r="H11" s="675" t="str">
        <f>名簿!CM8</f>
        <v/>
      </c>
      <c r="I11" s="187" t="str">
        <f>名簿!Y8</f>
        <v/>
      </c>
      <c r="J11" s="190" t="str">
        <f>名簿!CN8</f>
        <v/>
      </c>
      <c r="K11" s="1040">
        <f>名簿!CP8</f>
        <v>0</v>
      </c>
      <c r="L11" s="750" t="str">
        <f>名簿!CU8</f>
        <v>00</v>
      </c>
      <c r="M11" s="162" t="str">
        <f>名簿!Q8</f>
        <v/>
      </c>
      <c r="N11" s="1341">
        <f>名簿!D8</f>
        <v>0</v>
      </c>
      <c r="O11" s="338"/>
      <c r="P11" s="292" t="str">
        <f t="shared" si="0"/>
        <v/>
      </c>
      <c r="Q11" s="669" t="str">
        <f>IF(O11="","",HLOOKUP(O11,名簿!$AH$3:$CF$118,6,FALSE))</f>
        <v/>
      </c>
      <c r="R11" s="1344" t="str">
        <f t="shared" si="5"/>
        <v/>
      </c>
      <c r="S11" s="1282" t="str">
        <f t="shared" si="6"/>
        <v/>
      </c>
      <c r="T11" s="368"/>
      <c r="U11" s="292" t="str">
        <f t="shared" si="1"/>
        <v/>
      </c>
      <c r="V11" s="669" t="str">
        <f>IF(T11="","",HLOOKUP(T11,名簿!$AW$3:$CW$118,6,FALSE))</f>
        <v/>
      </c>
      <c r="W11" s="769" t="str">
        <f t="shared" si="7"/>
        <v/>
      </c>
      <c r="X11" s="774" t="str">
        <f t="shared" si="8"/>
        <v/>
      </c>
      <c r="Y11" s="160"/>
      <c r="Z11" s="165"/>
      <c r="AA11" s="163"/>
      <c r="AB11" s="166"/>
      <c r="AC11" s="167"/>
      <c r="AD11" s="159"/>
      <c r="AE11" s="160"/>
      <c r="AF11" s="161"/>
      <c r="AG11" s="164"/>
      <c r="AH11" s="802"/>
      <c r="AI11" s="802"/>
      <c r="AK11" s="906">
        <v>5000</v>
      </c>
      <c r="AL11" s="907" t="str">
        <f t="shared" si="2"/>
        <v/>
      </c>
      <c r="AM11" s="859">
        <f t="shared" si="3"/>
        <v>0</v>
      </c>
      <c r="AN11" s="859">
        <f t="shared" si="9"/>
        <v>0</v>
      </c>
      <c r="AP11" s="1278"/>
      <c r="AQ11" s="196">
        <f>COUNTIF($P$7:$P$116,4)+COUNTIF($U$7:$U$116,4)</f>
        <v>0</v>
      </c>
      <c r="AR11" s="252"/>
      <c r="AS11" s="913"/>
      <c r="AV11" s="1058">
        <v>5000</v>
      </c>
      <c r="AW11" s="1058">
        <v>5000</v>
      </c>
      <c r="AX11" s="886"/>
      <c r="AY11" s="886"/>
      <c r="AZ11" s="1349"/>
      <c r="BA11" s="1349"/>
      <c r="BB11" s="1349"/>
      <c r="BC11" s="1349"/>
      <c r="BD11" s="1349"/>
      <c r="BE11" s="918"/>
    </row>
    <row r="12" spans="1:57">
      <c r="A12" s="1338">
        <f t="shared" si="4"/>
        <v>0</v>
      </c>
      <c r="B12" s="162" t="str">
        <f>名簿!P9</f>
        <v/>
      </c>
      <c r="C12" s="162"/>
      <c r="D12" s="931"/>
      <c r="E12" s="182">
        <f>名簿!E9</f>
        <v>0</v>
      </c>
      <c r="F12" s="697" t="str">
        <f>名簿!CM9</f>
        <v/>
      </c>
      <c r="G12" s="162" t="str">
        <f>名簿!Z9</f>
        <v/>
      </c>
      <c r="H12" s="675" t="str">
        <f>名簿!CM9</f>
        <v/>
      </c>
      <c r="I12" s="187" t="str">
        <f>名簿!Y9</f>
        <v/>
      </c>
      <c r="J12" s="190" t="str">
        <f>名簿!CN9</f>
        <v/>
      </c>
      <c r="K12" s="1040">
        <f>名簿!CP9</f>
        <v>0</v>
      </c>
      <c r="L12" s="750" t="str">
        <f>名簿!CU9</f>
        <v>00</v>
      </c>
      <c r="M12" s="162" t="str">
        <f>名簿!Q9</f>
        <v/>
      </c>
      <c r="N12" s="1341">
        <f>名簿!D9</f>
        <v>0</v>
      </c>
      <c r="O12" s="338"/>
      <c r="P12" s="292" t="str">
        <f t="shared" si="0"/>
        <v/>
      </c>
      <c r="Q12" s="669" t="str">
        <f>IF(O12="","",HLOOKUP(O12,名簿!$AH$3:$CF$118,7,FALSE))</f>
        <v/>
      </c>
      <c r="R12" s="1344" t="str">
        <f t="shared" si="5"/>
        <v/>
      </c>
      <c r="S12" s="1282" t="str">
        <f t="shared" si="6"/>
        <v/>
      </c>
      <c r="T12" s="368"/>
      <c r="U12" s="292" t="str">
        <f t="shared" si="1"/>
        <v/>
      </c>
      <c r="V12" s="669" t="str">
        <f>IF(T12="","",HLOOKUP(T12,名簿!$AW$3:$CW$118,7,FALSE))</f>
        <v/>
      </c>
      <c r="W12" s="769" t="str">
        <f t="shared" si="7"/>
        <v/>
      </c>
      <c r="X12" s="774" t="str">
        <f t="shared" si="8"/>
        <v/>
      </c>
      <c r="Y12" s="160"/>
      <c r="Z12" s="165"/>
      <c r="AA12" s="163"/>
      <c r="AB12" s="166"/>
      <c r="AC12" s="167"/>
      <c r="AD12" s="159"/>
      <c r="AE12" s="160"/>
      <c r="AF12" s="161"/>
      <c r="AG12" s="164"/>
      <c r="AH12" s="802"/>
      <c r="AI12" s="802"/>
      <c r="AK12" s="906">
        <v>10000</v>
      </c>
      <c r="AL12" s="907" t="str">
        <f t="shared" si="2"/>
        <v/>
      </c>
      <c r="AM12" s="859">
        <f t="shared" si="3"/>
        <v>0</v>
      </c>
      <c r="AN12" s="859">
        <f t="shared" si="9"/>
        <v>0</v>
      </c>
      <c r="AP12" s="1278"/>
      <c r="AQ12" s="196">
        <f>COUNTIF($P$7:$P$116,5)+COUNTIF($U$7:$U$116,5)</f>
        <v>0</v>
      </c>
      <c r="AR12" s="252"/>
      <c r="AS12" s="913"/>
      <c r="AV12" s="1058">
        <v>10000</v>
      </c>
      <c r="AW12" s="1058">
        <v>10000</v>
      </c>
      <c r="AX12" s="886"/>
      <c r="AY12" s="886"/>
      <c r="AZ12" s="1349"/>
      <c r="BA12" s="1349"/>
      <c r="BB12" s="1349"/>
      <c r="BC12" s="1349"/>
      <c r="BD12" s="1349"/>
      <c r="BE12" s="918"/>
    </row>
    <row r="13" spans="1:57" ht="14.25" thickBot="1">
      <c r="A13" s="1338">
        <f t="shared" si="4"/>
        <v>0</v>
      </c>
      <c r="B13" s="162" t="str">
        <f>名簿!P10</f>
        <v/>
      </c>
      <c r="C13" s="162"/>
      <c r="D13" s="931"/>
      <c r="E13" s="182">
        <f>名簿!E10</f>
        <v>0</v>
      </c>
      <c r="F13" s="697" t="str">
        <f>名簿!CM10</f>
        <v/>
      </c>
      <c r="G13" s="162" t="str">
        <f>名簿!Z10</f>
        <v/>
      </c>
      <c r="H13" s="675" t="str">
        <f>名簿!CM10</f>
        <v/>
      </c>
      <c r="I13" s="187" t="str">
        <f>名簿!Y10</f>
        <v/>
      </c>
      <c r="J13" s="190" t="str">
        <f>名簿!CN10</f>
        <v/>
      </c>
      <c r="K13" s="1040">
        <f>名簿!CP10</f>
        <v>0</v>
      </c>
      <c r="L13" s="750" t="str">
        <f>名簿!CU10</f>
        <v>00</v>
      </c>
      <c r="M13" s="162" t="str">
        <f>名簿!Q10</f>
        <v/>
      </c>
      <c r="N13" s="1341">
        <f>名簿!D10</f>
        <v>0</v>
      </c>
      <c r="O13" s="338"/>
      <c r="P13" s="292" t="str">
        <f t="shared" si="0"/>
        <v/>
      </c>
      <c r="Q13" s="669" t="str">
        <f>IF(O13="","",HLOOKUP(O13,名簿!$AH$3:$CF$118,8,FALSE))</f>
        <v/>
      </c>
      <c r="R13" s="1344" t="str">
        <f t="shared" si="5"/>
        <v/>
      </c>
      <c r="S13" s="1282" t="str">
        <f t="shared" si="6"/>
        <v/>
      </c>
      <c r="T13" s="368"/>
      <c r="U13" s="292" t="str">
        <f t="shared" si="1"/>
        <v/>
      </c>
      <c r="V13" s="669" t="str">
        <f>IF(T13="","",HLOOKUP(T13,名簿!$AW$3:$CW$118,8,FALSE))</f>
        <v/>
      </c>
      <c r="W13" s="769" t="str">
        <f t="shared" si="7"/>
        <v/>
      </c>
      <c r="X13" s="774" t="str">
        <f t="shared" si="8"/>
        <v/>
      </c>
      <c r="Y13" s="160"/>
      <c r="Z13" s="165"/>
      <c r="AA13" s="163"/>
      <c r="AB13" s="166"/>
      <c r="AC13" s="167"/>
      <c r="AD13" s="159"/>
      <c r="AE13" s="160"/>
      <c r="AF13" s="161"/>
      <c r="AG13" s="164"/>
      <c r="AH13" s="802"/>
      <c r="AI13" s="802"/>
      <c r="AK13" s="906" t="s">
        <v>324</v>
      </c>
      <c r="AL13" s="907" t="str">
        <f t="shared" si="2"/>
        <v/>
      </c>
      <c r="AM13" s="859">
        <f t="shared" si="3"/>
        <v>0</v>
      </c>
      <c r="AN13" s="859">
        <f t="shared" si="9"/>
        <v>0</v>
      </c>
      <c r="AP13" s="917" t="s">
        <v>450</v>
      </c>
      <c r="AQ13" s="203">
        <f>SUM(AQ8:AQ12)</f>
        <v>0</v>
      </c>
      <c r="AV13" s="1059" t="s">
        <v>258</v>
      </c>
      <c r="AW13" s="1058" t="s">
        <v>324</v>
      </c>
      <c r="AX13" s="886"/>
      <c r="AY13" s="886"/>
      <c r="AZ13" s="1349"/>
      <c r="BA13" s="1349"/>
      <c r="BB13" s="1349"/>
      <c r="BC13" s="1349"/>
      <c r="BD13" s="1349"/>
      <c r="BE13" s="918"/>
    </row>
    <row r="14" spans="1:57" ht="14.25" thickBot="1">
      <c r="A14" s="1338">
        <f t="shared" si="4"/>
        <v>0</v>
      </c>
      <c r="B14" s="162" t="str">
        <f>名簿!P11</f>
        <v/>
      </c>
      <c r="C14" s="162"/>
      <c r="D14" s="931"/>
      <c r="E14" s="182">
        <f>名簿!E11</f>
        <v>0</v>
      </c>
      <c r="F14" s="697" t="str">
        <f>名簿!CM11</f>
        <v/>
      </c>
      <c r="G14" s="162" t="str">
        <f>名簿!Z11</f>
        <v/>
      </c>
      <c r="H14" s="675" t="str">
        <f>名簿!CM11</f>
        <v/>
      </c>
      <c r="I14" s="187" t="str">
        <f>名簿!Y11</f>
        <v/>
      </c>
      <c r="J14" s="190" t="str">
        <f>名簿!CN11</f>
        <v/>
      </c>
      <c r="K14" s="1040">
        <f>名簿!CP11</f>
        <v>0</v>
      </c>
      <c r="L14" s="750" t="str">
        <f>名簿!CU11</f>
        <v>00</v>
      </c>
      <c r="M14" s="162" t="str">
        <f>名簿!Q11</f>
        <v/>
      </c>
      <c r="N14" s="1341">
        <f>名簿!D11</f>
        <v>0</v>
      </c>
      <c r="O14" s="338"/>
      <c r="P14" s="292" t="str">
        <f t="shared" si="0"/>
        <v/>
      </c>
      <c r="Q14" s="669" t="str">
        <f>IF(O14="","",HLOOKUP(O14,名簿!$AH$3:$CF$118,9,FALSE))</f>
        <v/>
      </c>
      <c r="R14" s="1344" t="str">
        <f t="shared" si="5"/>
        <v/>
      </c>
      <c r="S14" s="1282" t="str">
        <f t="shared" si="6"/>
        <v/>
      </c>
      <c r="T14" s="368"/>
      <c r="U14" s="292" t="str">
        <f t="shared" si="1"/>
        <v/>
      </c>
      <c r="V14" s="669" t="str">
        <f>IF(T14="","",HLOOKUP(T14,名簿!$AW$3:$CW$118,9,FALSE))</f>
        <v/>
      </c>
      <c r="W14" s="769" t="str">
        <f t="shared" si="7"/>
        <v/>
      </c>
      <c r="X14" s="774" t="str">
        <f t="shared" si="8"/>
        <v/>
      </c>
      <c r="Y14" s="160"/>
      <c r="Z14" s="165"/>
      <c r="AA14" s="163"/>
      <c r="AB14" s="166"/>
      <c r="AC14" s="167"/>
      <c r="AD14" s="159"/>
      <c r="AE14" s="160"/>
      <c r="AF14" s="161"/>
      <c r="AG14" s="164"/>
      <c r="AH14" s="802"/>
      <c r="AI14" s="802"/>
      <c r="AK14" s="915" t="s">
        <v>258</v>
      </c>
      <c r="AL14" s="907" t="str">
        <f t="shared" si="2"/>
        <v/>
      </c>
      <c r="AM14" s="859">
        <f t="shared" si="3"/>
        <v>0</v>
      </c>
      <c r="AN14" s="859">
        <f t="shared" si="9"/>
        <v>0</v>
      </c>
      <c r="AP14" s="1431" t="s">
        <v>275</v>
      </c>
      <c r="AQ14" s="1432"/>
      <c r="AT14" s="859"/>
      <c r="AU14" s="859"/>
      <c r="AV14" s="1059" t="s">
        <v>373</v>
      </c>
      <c r="AW14" s="1059" t="s">
        <v>373</v>
      </c>
      <c r="AX14" s="886"/>
      <c r="AY14" s="886"/>
      <c r="AZ14" s="1349"/>
      <c r="BA14" s="1349"/>
      <c r="BB14" s="1349"/>
      <c r="BC14" s="1349"/>
      <c r="BD14" s="1349"/>
      <c r="BE14" s="918"/>
    </row>
    <row r="15" spans="1:57">
      <c r="A15" s="1338">
        <f t="shared" si="4"/>
        <v>0</v>
      </c>
      <c r="B15" s="162" t="str">
        <f>名簿!P12</f>
        <v/>
      </c>
      <c r="C15" s="162"/>
      <c r="D15" s="931"/>
      <c r="E15" s="182">
        <f>名簿!E12</f>
        <v>0</v>
      </c>
      <c r="F15" s="697" t="str">
        <f>名簿!CM12</f>
        <v/>
      </c>
      <c r="G15" s="162" t="str">
        <f>名簿!Z12</f>
        <v/>
      </c>
      <c r="H15" s="675" t="str">
        <f>名簿!CM12</f>
        <v/>
      </c>
      <c r="I15" s="187" t="str">
        <f>名簿!Y12</f>
        <v/>
      </c>
      <c r="J15" s="190" t="str">
        <f>名簿!CN12</f>
        <v/>
      </c>
      <c r="K15" s="1040">
        <f>名簿!CP12</f>
        <v>0</v>
      </c>
      <c r="L15" s="750" t="str">
        <f>名簿!CU12</f>
        <v>00</v>
      </c>
      <c r="M15" s="162" t="str">
        <f>名簿!Q12</f>
        <v/>
      </c>
      <c r="N15" s="1341">
        <f>名簿!D12</f>
        <v>0</v>
      </c>
      <c r="O15" s="338"/>
      <c r="P15" s="292" t="str">
        <f t="shared" si="0"/>
        <v/>
      </c>
      <c r="Q15" s="669" t="str">
        <f>IF(O15="","",HLOOKUP(O15,名簿!$AH$3:$CF$118,10,FALSE))</f>
        <v/>
      </c>
      <c r="R15" s="1344" t="str">
        <f t="shared" si="5"/>
        <v/>
      </c>
      <c r="S15" s="1282" t="str">
        <f t="shared" si="6"/>
        <v/>
      </c>
      <c r="T15" s="368"/>
      <c r="U15" s="292" t="str">
        <f t="shared" si="1"/>
        <v/>
      </c>
      <c r="V15" s="669" t="str">
        <f>IF(T15="","",HLOOKUP(T15,名簿!$AW$3:$CW$118,10,FALSE))</f>
        <v/>
      </c>
      <c r="W15" s="769" t="str">
        <f t="shared" si="7"/>
        <v/>
      </c>
      <c r="X15" s="774" t="str">
        <f t="shared" si="8"/>
        <v/>
      </c>
      <c r="Y15" s="160"/>
      <c r="Z15" s="165"/>
      <c r="AA15" s="163"/>
      <c r="AB15" s="166"/>
      <c r="AC15" s="167"/>
      <c r="AD15" s="159"/>
      <c r="AE15" s="160"/>
      <c r="AF15" s="161"/>
      <c r="AG15" s="164"/>
      <c r="AH15" s="802"/>
      <c r="AI15" s="802"/>
      <c r="AK15" s="915" t="s">
        <v>373</v>
      </c>
      <c r="AL15" s="907" t="str">
        <f t="shared" si="2"/>
        <v/>
      </c>
      <c r="AM15" s="859">
        <f t="shared" si="3"/>
        <v>0</v>
      </c>
      <c r="AN15" s="859">
        <f t="shared" si="9"/>
        <v>0</v>
      </c>
      <c r="AP15" s="1280" t="s">
        <v>1212</v>
      </c>
      <c r="AQ15" s="196">
        <f>COUNTIF($P$7:$P$116,104)+COUNTIF($U$7:$U$116,104)</f>
        <v>0</v>
      </c>
      <c r="AR15">
        <v>104</v>
      </c>
      <c r="AT15" s="859"/>
      <c r="AU15" s="859"/>
      <c r="AV15" s="1059" t="s">
        <v>374</v>
      </c>
      <c r="AW15" s="1059" t="s">
        <v>374</v>
      </c>
      <c r="AX15" s="886"/>
      <c r="AY15" s="886"/>
      <c r="AZ15" s="1349"/>
      <c r="BA15" s="1349"/>
      <c r="BB15" s="1349"/>
      <c r="BC15" s="1349"/>
      <c r="BD15" s="1349"/>
      <c r="BE15" s="918"/>
    </row>
    <row r="16" spans="1:57">
      <c r="A16" s="1338">
        <f t="shared" si="4"/>
        <v>0</v>
      </c>
      <c r="B16" s="162" t="str">
        <f>名簿!P13</f>
        <v/>
      </c>
      <c r="C16" s="162"/>
      <c r="D16" s="931"/>
      <c r="E16" s="182">
        <f>名簿!E13</f>
        <v>0</v>
      </c>
      <c r="F16" s="697" t="str">
        <f>名簿!CM13</f>
        <v/>
      </c>
      <c r="G16" s="162" t="str">
        <f>名簿!Z13</f>
        <v/>
      </c>
      <c r="H16" s="675" t="str">
        <f>名簿!CM13</f>
        <v/>
      </c>
      <c r="I16" s="187" t="str">
        <f>名簿!Y13</f>
        <v/>
      </c>
      <c r="J16" s="190" t="str">
        <f>名簿!CN13</f>
        <v/>
      </c>
      <c r="K16" s="1040">
        <f>名簿!CP13</f>
        <v>0</v>
      </c>
      <c r="L16" s="750" t="str">
        <f>名簿!CU13</f>
        <v>00</v>
      </c>
      <c r="M16" s="162" t="str">
        <f>名簿!Q13</f>
        <v/>
      </c>
      <c r="N16" s="1341">
        <f>名簿!D13</f>
        <v>0</v>
      </c>
      <c r="O16" s="338"/>
      <c r="P16" s="292" t="str">
        <f t="shared" si="0"/>
        <v/>
      </c>
      <c r="Q16" s="669" t="str">
        <f>IF(O16="","",HLOOKUP(O16,名簿!$AH$3:$CF$118,11,FALSE))</f>
        <v/>
      </c>
      <c r="R16" s="1344" t="str">
        <f t="shared" si="5"/>
        <v/>
      </c>
      <c r="S16" s="1282" t="str">
        <f t="shared" si="6"/>
        <v/>
      </c>
      <c r="T16" s="368"/>
      <c r="U16" s="292" t="str">
        <f t="shared" si="1"/>
        <v/>
      </c>
      <c r="V16" s="669" t="str">
        <f>IF(T16="","",HLOOKUP(T16,名簿!$AW$3:$CW$118,11,FALSE))</f>
        <v/>
      </c>
      <c r="W16" s="769" t="str">
        <f t="shared" si="7"/>
        <v/>
      </c>
      <c r="X16" s="774" t="str">
        <f t="shared" si="8"/>
        <v/>
      </c>
      <c r="Y16" s="160"/>
      <c r="Z16" s="165"/>
      <c r="AA16" s="163"/>
      <c r="AB16" s="166"/>
      <c r="AC16" s="167"/>
      <c r="AD16" s="159"/>
      <c r="AE16" s="160"/>
      <c r="AF16" s="161"/>
      <c r="AG16" s="164"/>
      <c r="AH16" s="802"/>
      <c r="AI16" s="802"/>
      <c r="AK16" s="915" t="s">
        <v>374</v>
      </c>
      <c r="AL16" s="907" t="str">
        <f t="shared" si="2"/>
        <v/>
      </c>
      <c r="AM16" s="859">
        <f t="shared" si="3"/>
        <v>0</v>
      </c>
      <c r="AN16" s="859">
        <f t="shared" si="9"/>
        <v>0</v>
      </c>
      <c r="AP16" s="1278" t="s">
        <v>1213</v>
      </c>
      <c r="AQ16" s="196">
        <f>COUNTIF($P$7:$P$116,105)+COUNTIF($U$7:$U$116,105)</f>
        <v>0</v>
      </c>
      <c r="AR16">
        <v>105</v>
      </c>
      <c r="AT16" s="859"/>
      <c r="AU16" s="859"/>
      <c r="AV16" s="1059" t="s">
        <v>361</v>
      </c>
      <c r="AW16" s="1059" t="s">
        <v>361</v>
      </c>
      <c r="AX16" s="886"/>
      <c r="AY16" s="886"/>
      <c r="AZ16" s="1349"/>
      <c r="BA16" s="1349"/>
      <c r="BB16" s="1349"/>
      <c r="BC16" s="1349"/>
      <c r="BD16" s="1349"/>
      <c r="BE16" s="918"/>
    </row>
    <row r="17" spans="1:57">
      <c r="A17" s="1338">
        <f t="shared" si="4"/>
        <v>0</v>
      </c>
      <c r="B17" s="162" t="str">
        <f>名簿!P14</f>
        <v/>
      </c>
      <c r="C17" s="162"/>
      <c r="D17" s="931"/>
      <c r="E17" s="182">
        <f>名簿!E14</f>
        <v>0</v>
      </c>
      <c r="F17" s="697" t="str">
        <f>名簿!CM14</f>
        <v/>
      </c>
      <c r="G17" s="162" t="str">
        <f>名簿!Z14</f>
        <v/>
      </c>
      <c r="H17" s="675" t="str">
        <f>名簿!CM14</f>
        <v/>
      </c>
      <c r="I17" s="187" t="str">
        <f>名簿!Y14</f>
        <v/>
      </c>
      <c r="J17" s="190" t="str">
        <f>名簿!CN14</f>
        <v/>
      </c>
      <c r="K17" s="1040">
        <f>名簿!CP14</f>
        <v>0</v>
      </c>
      <c r="L17" s="750" t="str">
        <f>名簿!CU14</f>
        <v>00</v>
      </c>
      <c r="M17" s="162" t="str">
        <f>名簿!Q14</f>
        <v/>
      </c>
      <c r="N17" s="1341">
        <f>名簿!D14</f>
        <v>0</v>
      </c>
      <c r="O17" s="338"/>
      <c r="P17" s="292" t="str">
        <f t="shared" si="0"/>
        <v/>
      </c>
      <c r="Q17" s="669" t="str">
        <f>IF(O17="","",HLOOKUP(O17,名簿!$AH$3:$CF$118,12,FALSE))</f>
        <v/>
      </c>
      <c r="R17" s="1344" t="str">
        <f t="shared" si="5"/>
        <v/>
      </c>
      <c r="S17" s="1282" t="str">
        <f t="shared" si="6"/>
        <v/>
      </c>
      <c r="T17" s="368"/>
      <c r="U17" s="292" t="str">
        <f t="shared" si="1"/>
        <v/>
      </c>
      <c r="V17" s="669" t="str">
        <f>IF(T17="","",HLOOKUP(T17,名簿!$AW$3:$CW$118,12,FALSE))</f>
        <v/>
      </c>
      <c r="W17" s="769" t="str">
        <f t="shared" si="7"/>
        <v/>
      </c>
      <c r="X17" s="774" t="str">
        <f t="shared" si="8"/>
        <v/>
      </c>
      <c r="Y17" s="160"/>
      <c r="Z17" s="165"/>
      <c r="AA17" s="163"/>
      <c r="AB17" s="166"/>
      <c r="AC17" s="167"/>
      <c r="AD17" s="159"/>
      <c r="AE17" s="160"/>
      <c r="AF17" s="161"/>
      <c r="AG17" s="164"/>
      <c r="AH17" s="802"/>
      <c r="AI17" s="802"/>
      <c r="AK17" s="915" t="s">
        <v>361</v>
      </c>
      <c r="AL17" s="907" t="str">
        <f t="shared" si="2"/>
        <v/>
      </c>
      <c r="AM17" s="859">
        <f t="shared" si="3"/>
        <v>0</v>
      </c>
      <c r="AN17" s="859">
        <f t="shared" si="9"/>
        <v>0</v>
      </c>
      <c r="AP17" s="1278" t="s">
        <v>1210</v>
      </c>
      <c r="AQ17" s="196">
        <f>COUNTIF($P$7:$P$116,106)+COUNTIF($U$7:$U$116,106)</f>
        <v>0</v>
      </c>
      <c r="AR17">
        <v>106</v>
      </c>
      <c r="AV17" s="1059" t="s">
        <v>131</v>
      </c>
      <c r="AW17" s="1059" t="s">
        <v>131</v>
      </c>
      <c r="AX17" s="886"/>
      <c r="AY17" s="886"/>
      <c r="AZ17" s="1349"/>
      <c r="BA17" s="1349"/>
      <c r="BB17" s="1349"/>
      <c r="BC17" s="1349"/>
      <c r="BD17" s="1349"/>
      <c r="BE17" s="918"/>
    </row>
    <row r="18" spans="1:57">
      <c r="A18" s="1338">
        <f t="shared" si="4"/>
        <v>0</v>
      </c>
      <c r="B18" s="162" t="str">
        <f>名簿!P15</f>
        <v/>
      </c>
      <c r="C18" s="162"/>
      <c r="D18" s="931"/>
      <c r="E18" s="182">
        <f>名簿!E15</f>
        <v>0</v>
      </c>
      <c r="F18" s="697" t="str">
        <f>名簿!CM15</f>
        <v/>
      </c>
      <c r="G18" s="162" t="str">
        <f>名簿!Z15</f>
        <v/>
      </c>
      <c r="H18" s="675" t="str">
        <f>名簿!CM15</f>
        <v/>
      </c>
      <c r="I18" s="187" t="str">
        <f>名簿!Y15</f>
        <v/>
      </c>
      <c r="J18" s="190" t="str">
        <f>名簿!CN15</f>
        <v/>
      </c>
      <c r="K18" s="1040">
        <f>名簿!CP15</f>
        <v>0</v>
      </c>
      <c r="L18" s="750" t="str">
        <f>名簿!CU15</f>
        <v>00</v>
      </c>
      <c r="M18" s="162" t="str">
        <f>名簿!Q15</f>
        <v/>
      </c>
      <c r="N18" s="1341">
        <f>名簿!D15</f>
        <v>0</v>
      </c>
      <c r="O18" s="338"/>
      <c r="P18" s="292" t="str">
        <f t="shared" si="0"/>
        <v/>
      </c>
      <c r="Q18" s="669" t="str">
        <f>IF(O18="","",HLOOKUP(O18,名簿!$AH$3:$CF$118,13,FALSE))</f>
        <v/>
      </c>
      <c r="R18" s="1344" t="str">
        <f t="shared" si="5"/>
        <v/>
      </c>
      <c r="S18" s="1282" t="str">
        <f t="shared" si="6"/>
        <v/>
      </c>
      <c r="T18" s="368"/>
      <c r="U18" s="292" t="str">
        <f t="shared" si="1"/>
        <v/>
      </c>
      <c r="V18" s="669" t="str">
        <f>IF(T18="","",HLOOKUP(T18,名簿!$AW$3:$CW$118,13,FALSE))</f>
        <v/>
      </c>
      <c r="W18" s="769" t="str">
        <f t="shared" si="7"/>
        <v/>
      </c>
      <c r="X18" s="774" t="str">
        <f t="shared" si="8"/>
        <v/>
      </c>
      <c r="Y18" s="160"/>
      <c r="Z18" s="165"/>
      <c r="AA18" s="163"/>
      <c r="AB18" s="166"/>
      <c r="AC18" s="167"/>
      <c r="AD18" s="159"/>
      <c r="AE18" s="160"/>
      <c r="AF18" s="161"/>
      <c r="AG18" s="164"/>
      <c r="AH18" s="802"/>
      <c r="AI18" s="802"/>
      <c r="AK18" s="915" t="s">
        <v>131</v>
      </c>
      <c r="AL18" s="907" t="str">
        <f t="shared" si="2"/>
        <v/>
      </c>
      <c r="AM18" s="859">
        <f t="shared" si="3"/>
        <v>0</v>
      </c>
      <c r="AN18" s="859">
        <f t="shared" si="9"/>
        <v>0</v>
      </c>
      <c r="AP18" s="1278" t="s">
        <v>1211</v>
      </c>
      <c r="AQ18" s="196">
        <f>COUNTIF($P$7:$P$116,107)+COUNTIF($U$7:$U$116,107)</f>
        <v>0</v>
      </c>
      <c r="AR18">
        <v>107</v>
      </c>
      <c r="AV18" s="1059" t="s">
        <v>181</v>
      </c>
      <c r="AW18" s="1059" t="s">
        <v>181</v>
      </c>
      <c r="AX18" s="886"/>
      <c r="AY18" s="886"/>
      <c r="AZ18" s="1349"/>
      <c r="BA18" s="1349"/>
      <c r="BB18" s="1349"/>
      <c r="BC18" s="1349"/>
      <c r="BD18" s="1349"/>
      <c r="BE18" s="918"/>
    </row>
    <row r="19" spans="1:57">
      <c r="A19" s="1338">
        <f t="shared" si="4"/>
        <v>0</v>
      </c>
      <c r="B19" s="162" t="str">
        <f>名簿!P16</f>
        <v/>
      </c>
      <c r="C19" s="162"/>
      <c r="D19" s="931"/>
      <c r="E19" s="182">
        <f>名簿!E16</f>
        <v>0</v>
      </c>
      <c r="F19" s="697" t="str">
        <f>名簿!CM16</f>
        <v/>
      </c>
      <c r="G19" s="162" t="str">
        <f>名簿!Z16</f>
        <v/>
      </c>
      <c r="H19" s="675" t="str">
        <f>名簿!CM16</f>
        <v/>
      </c>
      <c r="I19" s="187" t="str">
        <f>名簿!Y16</f>
        <v/>
      </c>
      <c r="J19" s="190" t="str">
        <f>名簿!CN16</f>
        <v/>
      </c>
      <c r="K19" s="1040">
        <f>名簿!CP16</f>
        <v>0</v>
      </c>
      <c r="L19" s="750" t="str">
        <f>名簿!CU16</f>
        <v>00</v>
      </c>
      <c r="M19" s="162" t="str">
        <f>名簿!Q16</f>
        <v/>
      </c>
      <c r="N19" s="1341">
        <f>名簿!D16</f>
        <v>0</v>
      </c>
      <c r="O19" s="338"/>
      <c r="P19" s="292" t="str">
        <f t="shared" si="0"/>
        <v/>
      </c>
      <c r="Q19" s="669" t="str">
        <f>IF(O19="","",HLOOKUP(O19,名簿!$AH$3:$CF$118,14,FALSE))</f>
        <v/>
      </c>
      <c r="R19" s="1344" t="str">
        <f t="shared" si="5"/>
        <v/>
      </c>
      <c r="S19" s="1282" t="str">
        <f t="shared" si="6"/>
        <v/>
      </c>
      <c r="T19" s="368"/>
      <c r="U19" s="292" t="str">
        <f t="shared" si="1"/>
        <v/>
      </c>
      <c r="V19" s="669" t="str">
        <f>IF(T19="","",HLOOKUP(T19,名簿!$AW$3:$CW$118,14,FALSE))</f>
        <v/>
      </c>
      <c r="W19" s="769" t="str">
        <f t="shared" si="7"/>
        <v/>
      </c>
      <c r="X19" s="774" t="str">
        <f t="shared" si="8"/>
        <v/>
      </c>
      <c r="Y19" s="160"/>
      <c r="Z19" s="165"/>
      <c r="AA19" s="163"/>
      <c r="AB19" s="166"/>
      <c r="AC19" s="167"/>
      <c r="AD19" s="159"/>
      <c r="AE19" s="160"/>
      <c r="AF19" s="161"/>
      <c r="AG19" s="164"/>
      <c r="AH19" s="802"/>
      <c r="AI19" s="802"/>
      <c r="AK19" s="915" t="s">
        <v>181</v>
      </c>
      <c r="AL19" s="907" t="str">
        <f t="shared" si="2"/>
        <v/>
      </c>
      <c r="AM19" s="859">
        <f t="shared" si="3"/>
        <v>0</v>
      </c>
      <c r="AN19" s="859">
        <f t="shared" si="9"/>
        <v>0</v>
      </c>
      <c r="AP19" s="1278"/>
      <c r="AQ19" s="196">
        <f>COUNTIF($P$7:$P$116,44)+COUNTIF($U$7:$U$116,44)</f>
        <v>0</v>
      </c>
      <c r="AR19" s="1115"/>
      <c r="AV19" s="1059" t="s">
        <v>180</v>
      </c>
      <c r="AW19" s="1059" t="s">
        <v>180</v>
      </c>
      <c r="AX19" s="886"/>
      <c r="AY19" s="886"/>
      <c r="AZ19" s="1349"/>
      <c r="BA19" s="1349"/>
      <c r="BB19" s="1349"/>
      <c r="BC19" s="1349"/>
      <c r="BD19" s="1349"/>
      <c r="BE19" s="918"/>
    </row>
    <row r="20" spans="1:57" ht="14.25" thickBot="1">
      <c r="A20" s="1338">
        <f t="shared" si="4"/>
        <v>0</v>
      </c>
      <c r="B20" s="162" t="str">
        <f>名簿!P17</f>
        <v/>
      </c>
      <c r="C20" s="162"/>
      <c r="D20" s="931"/>
      <c r="E20" s="182">
        <f>名簿!E17</f>
        <v>0</v>
      </c>
      <c r="F20" s="697" t="str">
        <f>名簿!CM17</f>
        <v/>
      </c>
      <c r="G20" s="162" t="str">
        <f>名簿!Z17</f>
        <v/>
      </c>
      <c r="H20" s="675" t="str">
        <f>名簿!CM17</f>
        <v/>
      </c>
      <c r="I20" s="187" t="str">
        <f>名簿!Y17</f>
        <v/>
      </c>
      <c r="J20" s="190" t="str">
        <f>名簿!CN17</f>
        <v/>
      </c>
      <c r="K20" s="1040">
        <f>名簿!CP17</f>
        <v>0</v>
      </c>
      <c r="L20" s="750" t="str">
        <f>名簿!CU17</f>
        <v>00</v>
      </c>
      <c r="M20" s="162" t="str">
        <f>名簿!Q17</f>
        <v/>
      </c>
      <c r="N20" s="1341">
        <f>名簿!D17</f>
        <v>0</v>
      </c>
      <c r="O20" s="338"/>
      <c r="P20" s="292" t="str">
        <f t="shared" si="0"/>
        <v/>
      </c>
      <c r="Q20" s="669" t="str">
        <f>IF(O20="","",HLOOKUP(O20,名簿!$AH$3:$CF$118,15,FALSE))</f>
        <v/>
      </c>
      <c r="R20" s="1344" t="str">
        <f t="shared" si="5"/>
        <v/>
      </c>
      <c r="S20" s="1282" t="str">
        <f t="shared" si="6"/>
        <v/>
      </c>
      <c r="T20" s="368"/>
      <c r="U20" s="292" t="str">
        <f t="shared" si="1"/>
        <v/>
      </c>
      <c r="V20" s="669" t="str">
        <f>IF(T20="","",HLOOKUP(T20,名簿!$AW$3:$CW$118,15,FALSE))</f>
        <v/>
      </c>
      <c r="W20" s="769" t="str">
        <f t="shared" si="7"/>
        <v/>
      </c>
      <c r="X20" s="774" t="str">
        <f t="shared" si="8"/>
        <v/>
      </c>
      <c r="Y20" s="160"/>
      <c r="Z20" s="165"/>
      <c r="AA20" s="163"/>
      <c r="AB20" s="166"/>
      <c r="AC20" s="167"/>
      <c r="AD20" s="159"/>
      <c r="AE20" s="160"/>
      <c r="AF20" s="161"/>
      <c r="AG20" s="164"/>
      <c r="AH20" s="802"/>
      <c r="AI20" s="802"/>
      <c r="AK20" s="915" t="s">
        <v>180</v>
      </c>
      <c r="AL20" s="907" t="str">
        <f t="shared" si="2"/>
        <v/>
      </c>
      <c r="AM20" s="859">
        <f t="shared" si="3"/>
        <v>0</v>
      </c>
      <c r="AN20" s="859">
        <f t="shared" si="9"/>
        <v>0</v>
      </c>
      <c r="AP20" s="919" t="s">
        <v>450</v>
      </c>
      <c r="AQ20" s="204">
        <f>SUM(AQ15:AQ19)</f>
        <v>0</v>
      </c>
      <c r="AV20" s="1059" t="s">
        <v>184</v>
      </c>
      <c r="AW20" s="1059" t="s">
        <v>184</v>
      </c>
      <c r="AX20" s="886"/>
      <c r="AY20" s="886"/>
      <c r="AZ20" s="1349"/>
      <c r="BA20" s="1349"/>
      <c r="BB20" s="1349"/>
      <c r="BC20" s="1349"/>
      <c r="BD20" s="1349"/>
      <c r="BE20" s="918"/>
    </row>
    <row r="21" spans="1:57">
      <c r="A21" s="1338">
        <f t="shared" si="4"/>
        <v>0</v>
      </c>
      <c r="B21" s="162" t="str">
        <f>名簿!P18</f>
        <v/>
      </c>
      <c r="C21" s="162"/>
      <c r="D21" s="931"/>
      <c r="E21" s="182">
        <f>名簿!E18</f>
        <v>0</v>
      </c>
      <c r="F21" s="697" t="str">
        <f>名簿!CM18</f>
        <v/>
      </c>
      <c r="G21" s="162" t="str">
        <f>名簿!Z18</f>
        <v/>
      </c>
      <c r="H21" s="675" t="str">
        <f>名簿!CM18</f>
        <v/>
      </c>
      <c r="I21" s="187" t="str">
        <f>名簿!Y18</f>
        <v/>
      </c>
      <c r="J21" s="190" t="str">
        <f>名簿!CN18</f>
        <v/>
      </c>
      <c r="K21" s="1040">
        <f>名簿!CP18</f>
        <v>0</v>
      </c>
      <c r="L21" s="750" t="str">
        <f>名簿!CU18</f>
        <v>00</v>
      </c>
      <c r="M21" s="162" t="str">
        <f>名簿!Q18</f>
        <v/>
      </c>
      <c r="N21" s="1341">
        <f>名簿!D18</f>
        <v>0</v>
      </c>
      <c r="O21" s="338"/>
      <c r="P21" s="292" t="str">
        <f t="shared" si="0"/>
        <v/>
      </c>
      <c r="Q21" s="669" t="str">
        <f>IF(O21="","",HLOOKUP(O21,名簿!$AH$3:$CF$118,16,FALSE))</f>
        <v/>
      </c>
      <c r="R21" s="1344" t="str">
        <f t="shared" si="5"/>
        <v/>
      </c>
      <c r="S21" s="1282" t="str">
        <f t="shared" si="6"/>
        <v/>
      </c>
      <c r="T21" s="368"/>
      <c r="U21" s="292" t="str">
        <f t="shared" si="1"/>
        <v/>
      </c>
      <c r="V21" s="669" t="str">
        <f>IF(T21="","",HLOOKUP(T21,名簿!$AW$3:$CW$118,16,FALSE))</f>
        <v/>
      </c>
      <c r="W21" s="769" t="str">
        <f t="shared" si="7"/>
        <v/>
      </c>
      <c r="X21" s="774" t="str">
        <f t="shared" si="8"/>
        <v/>
      </c>
      <c r="Y21" s="160"/>
      <c r="Z21" s="165"/>
      <c r="AA21" s="163"/>
      <c r="AB21" s="166"/>
      <c r="AC21" s="167"/>
      <c r="AD21" s="159"/>
      <c r="AE21" s="160"/>
      <c r="AF21" s="161"/>
      <c r="AG21" s="164"/>
      <c r="AH21" s="802"/>
      <c r="AI21" s="802"/>
      <c r="AK21" s="915" t="s">
        <v>184</v>
      </c>
      <c r="AL21" s="907" t="str">
        <f t="shared" si="2"/>
        <v/>
      </c>
      <c r="AM21" s="859">
        <f t="shared" si="3"/>
        <v>0</v>
      </c>
      <c r="AN21" s="859">
        <f t="shared" si="9"/>
        <v>0</v>
      </c>
      <c r="AP21" s="920"/>
      <c r="AQ21" s="886"/>
      <c r="AV21" s="1059" t="s">
        <v>185</v>
      </c>
      <c r="AW21" s="1059" t="s">
        <v>185</v>
      </c>
      <c r="AX21" s="886"/>
      <c r="AY21" s="886"/>
      <c r="AZ21" s="1349"/>
      <c r="BA21" s="1349"/>
      <c r="BB21" s="1349"/>
      <c r="BC21" s="1349"/>
      <c r="BD21" s="1349"/>
      <c r="BE21" s="918"/>
    </row>
    <row r="22" spans="1:57">
      <c r="A22" s="1338">
        <f t="shared" si="4"/>
        <v>0</v>
      </c>
      <c r="B22" s="162" t="str">
        <f>名簿!P19</f>
        <v/>
      </c>
      <c r="C22" s="162"/>
      <c r="D22" s="931"/>
      <c r="E22" s="182">
        <f>名簿!E19</f>
        <v>0</v>
      </c>
      <c r="F22" s="697" t="str">
        <f>名簿!CM19</f>
        <v/>
      </c>
      <c r="G22" s="162" t="str">
        <f>名簿!Z19</f>
        <v/>
      </c>
      <c r="H22" s="675" t="str">
        <f>名簿!CM19</f>
        <v/>
      </c>
      <c r="I22" s="187" t="str">
        <f>名簿!Y19</f>
        <v/>
      </c>
      <c r="J22" s="190" t="str">
        <f>名簿!CN19</f>
        <v/>
      </c>
      <c r="K22" s="1040">
        <f>名簿!CP19</f>
        <v>0</v>
      </c>
      <c r="L22" s="750" t="str">
        <f>名簿!CU19</f>
        <v>00</v>
      </c>
      <c r="M22" s="162" t="str">
        <f>名簿!Q19</f>
        <v/>
      </c>
      <c r="N22" s="1341">
        <f>名簿!D19</f>
        <v>0</v>
      </c>
      <c r="O22" s="338"/>
      <c r="P22" s="292" t="str">
        <f t="shared" si="0"/>
        <v/>
      </c>
      <c r="Q22" s="669" t="str">
        <f>IF(O22="","",HLOOKUP(O22,名簿!$AH$3:$CF$118,17,FALSE))</f>
        <v/>
      </c>
      <c r="R22" s="1344" t="str">
        <f t="shared" si="5"/>
        <v/>
      </c>
      <c r="S22" s="1282" t="str">
        <f t="shared" si="6"/>
        <v/>
      </c>
      <c r="T22" s="368"/>
      <c r="U22" s="292" t="str">
        <f t="shared" si="1"/>
        <v/>
      </c>
      <c r="V22" s="669" t="str">
        <f>IF(T22="","",HLOOKUP(T22,名簿!$AW$3:$CW$118,17,FALSE))</f>
        <v/>
      </c>
      <c r="W22" s="769" t="str">
        <f t="shared" si="7"/>
        <v/>
      </c>
      <c r="X22" s="774" t="str">
        <f t="shared" si="8"/>
        <v/>
      </c>
      <c r="Y22" s="160"/>
      <c r="Z22" s="165"/>
      <c r="AA22" s="163"/>
      <c r="AB22" s="166"/>
      <c r="AC22" s="167"/>
      <c r="AD22" s="159"/>
      <c r="AE22" s="160"/>
      <c r="AF22" s="161"/>
      <c r="AG22" s="164"/>
      <c r="AH22" s="802"/>
      <c r="AI22" s="802"/>
      <c r="AK22" s="915" t="s">
        <v>185</v>
      </c>
      <c r="AL22" s="907" t="str">
        <f t="shared" si="2"/>
        <v/>
      </c>
      <c r="AM22" s="859">
        <f t="shared" si="3"/>
        <v>0</v>
      </c>
      <c r="AN22" s="859">
        <f t="shared" si="9"/>
        <v>0</v>
      </c>
      <c r="AP22" s="920"/>
      <c r="AQ22" s="886"/>
      <c r="AV22" s="1059" t="s">
        <v>183</v>
      </c>
      <c r="AW22" s="1059" t="s">
        <v>183</v>
      </c>
      <c r="AX22" s="886"/>
      <c r="AY22" s="886"/>
      <c r="AZ22" s="1349"/>
      <c r="BA22" s="1349"/>
      <c r="BB22" s="1349"/>
      <c r="BC22" s="1349"/>
      <c r="BD22" s="1349"/>
      <c r="BE22" s="918"/>
    </row>
    <row r="23" spans="1:57">
      <c r="A23" s="1338">
        <f t="shared" si="4"/>
        <v>0</v>
      </c>
      <c r="B23" s="162" t="str">
        <f>名簿!P20</f>
        <v/>
      </c>
      <c r="C23" s="162"/>
      <c r="D23" s="931"/>
      <c r="E23" s="182">
        <f>名簿!E20</f>
        <v>0</v>
      </c>
      <c r="F23" s="697" t="str">
        <f>名簿!CM20</f>
        <v/>
      </c>
      <c r="G23" s="162" t="str">
        <f>名簿!Z20</f>
        <v/>
      </c>
      <c r="H23" s="675" t="str">
        <f>名簿!CM20</f>
        <v/>
      </c>
      <c r="I23" s="187" t="str">
        <f>名簿!Y20</f>
        <v/>
      </c>
      <c r="J23" s="190" t="str">
        <f>名簿!CN20</f>
        <v/>
      </c>
      <c r="K23" s="1040">
        <f>名簿!CP20</f>
        <v>0</v>
      </c>
      <c r="L23" s="750" t="str">
        <f>名簿!CU20</f>
        <v>00</v>
      </c>
      <c r="M23" s="162" t="str">
        <f>名簿!Q20</f>
        <v/>
      </c>
      <c r="N23" s="1341">
        <f>名簿!D20</f>
        <v>0</v>
      </c>
      <c r="O23" s="338"/>
      <c r="P23" s="292" t="str">
        <f t="shared" si="0"/>
        <v/>
      </c>
      <c r="Q23" s="669" t="str">
        <f>IF(O23="","",HLOOKUP(O23,名簿!$AH$3:$CF$118,18,FALSE))</f>
        <v/>
      </c>
      <c r="R23" s="1344" t="str">
        <f t="shared" si="5"/>
        <v/>
      </c>
      <c r="S23" s="1282" t="str">
        <f t="shared" si="6"/>
        <v/>
      </c>
      <c r="T23" s="368"/>
      <c r="U23" s="292" t="str">
        <f t="shared" si="1"/>
        <v/>
      </c>
      <c r="V23" s="669" t="str">
        <f>IF(T23="","",HLOOKUP(T23,名簿!$AW$3:$CW$118,18,FALSE))</f>
        <v/>
      </c>
      <c r="W23" s="769" t="str">
        <f t="shared" si="7"/>
        <v/>
      </c>
      <c r="X23" s="774" t="str">
        <f t="shared" si="8"/>
        <v/>
      </c>
      <c r="Y23" s="160"/>
      <c r="Z23" s="165"/>
      <c r="AA23" s="163"/>
      <c r="AB23" s="166"/>
      <c r="AC23" s="167"/>
      <c r="AD23" s="159"/>
      <c r="AE23" s="160"/>
      <c r="AF23" s="161"/>
      <c r="AG23" s="164"/>
      <c r="AH23" s="802"/>
      <c r="AI23" s="802"/>
      <c r="AK23" s="915" t="s">
        <v>183</v>
      </c>
      <c r="AL23" s="907" t="str">
        <f t="shared" si="2"/>
        <v/>
      </c>
      <c r="AM23" s="859">
        <f t="shared" si="3"/>
        <v>0</v>
      </c>
      <c r="AN23" s="859">
        <f t="shared" si="9"/>
        <v>0</v>
      </c>
      <c r="AP23" s="920"/>
      <c r="AQ23" s="886"/>
      <c r="AV23" s="1059" t="s">
        <v>263</v>
      </c>
      <c r="AW23" s="1059" t="s">
        <v>263</v>
      </c>
      <c r="AX23" s="886"/>
      <c r="AY23" s="886"/>
      <c r="AZ23" s="1349"/>
      <c r="BA23" s="1349"/>
      <c r="BB23" s="1349"/>
      <c r="BC23" s="1349"/>
      <c r="BD23" s="1349"/>
      <c r="BE23" s="918"/>
    </row>
    <row r="24" spans="1:57">
      <c r="A24" s="1338">
        <f t="shared" si="4"/>
        <v>0</v>
      </c>
      <c r="B24" s="162" t="str">
        <f>名簿!P21</f>
        <v/>
      </c>
      <c r="C24" s="162"/>
      <c r="D24" s="931"/>
      <c r="E24" s="182">
        <f>名簿!E21</f>
        <v>0</v>
      </c>
      <c r="F24" s="697" t="str">
        <f>名簿!CM21</f>
        <v/>
      </c>
      <c r="G24" s="162" t="str">
        <f>名簿!Z21</f>
        <v/>
      </c>
      <c r="H24" s="675" t="str">
        <f>名簿!CM21</f>
        <v/>
      </c>
      <c r="I24" s="187" t="str">
        <f>名簿!Y21</f>
        <v/>
      </c>
      <c r="J24" s="190" t="str">
        <f>名簿!CN21</f>
        <v/>
      </c>
      <c r="K24" s="1040">
        <f>名簿!CP21</f>
        <v>0</v>
      </c>
      <c r="L24" s="750" t="str">
        <f>名簿!CU21</f>
        <v>00</v>
      </c>
      <c r="M24" s="162" t="str">
        <f>名簿!Q21</f>
        <v/>
      </c>
      <c r="N24" s="1341">
        <f>名簿!D21</f>
        <v>0</v>
      </c>
      <c r="O24" s="338"/>
      <c r="P24" s="292" t="str">
        <f t="shared" si="0"/>
        <v/>
      </c>
      <c r="Q24" s="669" t="str">
        <f>IF(O24="","",HLOOKUP(O24,名簿!$AH$3:$CF$118,19,FALSE))</f>
        <v/>
      </c>
      <c r="R24" s="1344" t="str">
        <f t="shared" si="5"/>
        <v/>
      </c>
      <c r="S24" s="1282" t="str">
        <f t="shared" si="6"/>
        <v/>
      </c>
      <c r="T24" s="368"/>
      <c r="U24" s="292" t="str">
        <f t="shared" si="1"/>
        <v/>
      </c>
      <c r="V24" s="669" t="str">
        <f>IF(T24="","",HLOOKUP(T24,名簿!$AW$3:$CW$118,19,FALSE))</f>
        <v/>
      </c>
      <c r="W24" s="769" t="str">
        <f t="shared" si="7"/>
        <v/>
      </c>
      <c r="X24" s="774" t="str">
        <f t="shared" si="8"/>
        <v/>
      </c>
      <c r="Y24" s="160"/>
      <c r="Z24" s="165"/>
      <c r="AA24" s="163"/>
      <c r="AB24" s="166"/>
      <c r="AC24" s="167"/>
      <c r="AD24" s="159"/>
      <c r="AE24" s="160"/>
      <c r="AF24" s="161"/>
      <c r="AG24" s="164"/>
      <c r="AH24" s="802"/>
      <c r="AI24" s="802"/>
      <c r="AK24" s="915" t="s">
        <v>263</v>
      </c>
      <c r="AL24" s="907" t="str">
        <f t="shared" si="2"/>
        <v/>
      </c>
      <c r="AM24" s="859">
        <f t="shared" si="3"/>
        <v>0</v>
      </c>
      <c r="AN24" s="859">
        <f t="shared" si="9"/>
        <v>0</v>
      </c>
      <c r="AP24" s="886"/>
      <c r="AQ24" s="886"/>
      <c r="AV24" s="1059" t="s">
        <v>265</v>
      </c>
      <c r="AW24" s="1059" t="s">
        <v>265</v>
      </c>
      <c r="AX24" s="886"/>
      <c r="AY24" s="886"/>
      <c r="AZ24" s="1349"/>
      <c r="BA24" s="1349"/>
      <c r="BB24" s="1349"/>
      <c r="BC24" s="1349"/>
      <c r="BD24" s="1349"/>
      <c r="BE24" s="918"/>
    </row>
    <row r="25" spans="1:57">
      <c r="A25" s="1338">
        <f t="shared" si="4"/>
        <v>0</v>
      </c>
      <c r="B25" s="162" t="str">
        <f>名簿!P22</f>
        <v/>
      </c>
      <c r="C25" s="162"/>
      <c r="D25" s="931"/>
      <c r="E25" s="182">
        <f>名簿!E22</f>
        <v>0</v>
      </c>
      <c r="F25" s="697" t="str">
        <f>名簿!CM22</f>
        <v/>
      </c>
      <c r="G25" s="162" t="str">
        <f>名簿!Z22</f>
        <v/>
      </c>
      <c r="H25" s="675" t="str">
        <f>名簿!CM22</f>
        <v/>
      </c>
      <c r="I25" s="187" t="str">
        <f>名簿!Y22</f>
        <v/>
      </c>
      <c r="J25" s="190" t="str">
        <f>名簿!CN22</f>
        <v/>
      </c>
      <c r="K25" s="1040">
        <f>名簿!CP22</f>
        <v>0</v>
      </c>
      <c r="L25" s="750" t="str">
        <f>名簿!CU22</f>
        <v>00</v>
      </c>
      <c r="M25" s="162" t="str">
        <f>名簿!Q22</f>
        <v/>
      </c>
      <c r="N25" s="1341">
        <f>名簿!D22</f>
        <v>0</v>
      </c>
      <c r="O25" s="338"/>
      <c r="P25" s="292" t="str">
        <f t="shared" si="0"/>
        <v/>
      </c>
      <c r="Q25" s="669" t="str">
        <f>IF(O25="","",HLOOKUP(O25,名簿!$AH$3:$CF$118,20,FALSE))</f>
        <v/>
      </c>
      <c r="R25" s="1344" t="str">
        <f t="shared" si="5"/>
        <v/>
      </c>
      <c r="S25" s="1282" t="str">
        <f t="shared" si="6"/>
        <v/>
      </c>
      <c r="T25" s="368"/>
      <c r="U25" s="292" t="str">
        <f t="shared" si="1"/>
        <v/>
      </c>
      <c r="V25" s="669" t="str">
        <f>IF(T25="","",HLOOKUP(T25,名簿!$AW$3:$CW$118,20,FALSE))</f>
        <v/>
      </c>
      <c r="W25" s="769" t="str">
        <f t="shared" si="7"/>
        <v/>
      </c>
      <c r="X25" s="774" t="str">
        <f t="shared" si="8"/>
        <v/>
      </c>
      <c r="Y25" s="160"/>
      <c r="Z25" s="165"/>
      <c r="AA25" s="163"/>
      <c r="AB25" s="166"/>
      <c r="AC25" s="167"/>
      <c r="AD25" s="159"/>
      <c r="AE25" s="160"/>
      <c r="AF25" s="161"/>
      <c r="AG25" s="164"/>
      <c r="AH25" s="802"/>
      <c r="AI25" s="802"/>
      <c r="AK25" s="915" t="s">
        <v>265</v>
      </c>
      <c r="AL25" s="907" t="str">
        <f t="shared" si="2"/>
        <v/>
      </c>
      <c r="AM25" s="859">
        <f t="shared" si="3"/>
        <v>0</v>
      </c>
      <c r="AN25" s="859">
        <f t="shared" si="9"/>
        <v>0</v>
      </c>
      <c r="AP25" s="886"/>
      <c r="AQ25" s="886"/>
      <c r="AV25" s="1059" t="s">
        <v>1059</v>
      </c>
      <c r="AW25" s="1059" t="s">
        <v>644</v>
      </c>
      <c r="AX25" s="886"/>
      <c r="AY25" s="886"/>
      <c r="AZ25" s="1349"/>
      <c r="BA25" s="1349"/>
      <c r="BB25" s="1349"/>
      <c r="BC25" s="1349"/>
      <c r="BD25" s="1349"/>
      <c r="BE25" s="918"/>
    </row>
    <row r="26" spans="1:57">
      <c r="A26" s="1338">
        <f t="shared" si="4"/>
        <v>0</v>
      </c>
      <c r="B26" s="162" t="str">
        <f>名簿!P23</f>
        <v/>
      </c>
      <c r="C26" s="162"/>
      <c r="D26" s="931"/>
      <c r="E26" s="182">
        <f>名簿!E23</f>
        <v>0</v>
      </c>
      <c r="F26" s="697" t="str">
        <f>名簿!CM23</f>
        <v/>
      </c>
      <c r="G26" s="162" t="str">
        <f>名簿!Z23</f>
        <v/>
      </c>
      <c r="H26" s="675" t="str">
        <f>名簿!CM23</f>
        <v/>
      </c>
      <c r="I26" s="187" t="str">
        <f>名簿!Y23</f>
        <v/>
      </c>
      <c r="J26" s="190" t="str">
        <f>名簿!CN23</f>
        <v/>
      </c>
      <c r="K26" s="1040">
        <f>名簿!CP23</f>
        <v>0</v>
      </c>
      <c r="L26" s="750" t="str">
        <f>名簿!CU23</f>
        <v>00</v>
      </c>
      <c r="M26" s="162" t="str">
        <f>名簿!Q23</f>
        <v/>
      </c>
      <c r="N26" s="1341">
        <f>名簿!D23</f>
        <v>0</v>
      </c>
      <c r="O26" s="338"/>
      <c r="P26" s="292" t="str">
        <f t="shared" si="0"/>
        <v/>
      </c>
      <c r="Q26" s="669" t="str">
        <f>IF(O26="","",HLOOKUP(O26,名簿!$AH$3:$CF$118,21,FALSE))</f>
        <v/>
      </c>
      <c r="R26" s="1344" t="str">
        <f t="shared" si="5"/>
        <v/>
      </c>
      <c r="S26" s="1282" t="str">
        <f t="shared" si="6"/>
        <v/>
      </c>
      <c r="T26" s="368"/>
      <c r="U26" s="292" t="str">
        <f t="shared" si="1"/>
        <v/>
      </c>
      <c r="V26" s="669" t="str">
        <f>IF(T26="","",HLOOKUP(T26,名簿!$AW$3:$CW$118,21,FALSE))</f>
        <v/>
      </c>
      <c r="W26" s="769" t="str">
        <f t="shared" si="7"/>
        <v/>
      </c>
      <c r="X26" s="774" t="str">
        <f t="shared" si="8"/>
        <v/>
      </c>
      <c r="Y26" s="160"/>
      <c r="Z26" s="165"/>
      <c r="AA26" s="163"/>
      <c r="AB26" s="166"/>
      <c r="AC26" s="167"/>
      <c r="AD26" s="159"/>
      <c r="AE26" s="160"/>
      <c r="AF26" s="161"/>
      <c r="AG26" s="164"/>
      <c r="AH26" s="802"/>
      <c r="AI26" s="802"/>
      <c r="AK26" s="915" t="s">
        <v>325</v>
      </c>
      <c r="AL26" s="907" t="str">
        <f t="shared" si="2"/>
        <v/>
      </c>
      <c r="AM26" s="859">
        <f t="shared" si="3"/>
        <v>0</v>
      </c>
      <c r="AN26" s="859">
        <f t="shared" si="9"/>
        <v>0</v>
      </c>
      <c r="AP26" s="886"/>
      <c r="AQ26" s="886"/>
      <c r="AV26" s="1059" t="s">
        <v>761</v>
      </c>
      <c r="AW26" s="169" t="s">
        <v>398</v>
      </c>
      <c r="AX26" s="886"/>
      <c r="AY26" s="886"/>
      <c r="AZ26" s="1349"/>
      <c r="BA26" s="1349"/>
      <c r="BB26" s="1349"/>
      <c r="BC26" s="1349"/>
      <c r="BD26" s="1349"/>
      <c r="BE26" s="918"/>
    </row>
    <row r="27" spans="1:57">
      <c r="A27" s="1338">
        <f t="shared" si="4"/>
        <v>0</v>
      </c>
      <c r="B27" s="162" t="str">
        <f>名簿!P24</f>
        <v/>
      </c>
      <c r="C27" s="162"/>
      <c r="D27" s="931"/>
      <c r="E27" s="182">
        <f>名簿!E24</f>
        <v>0</v>
      </c>
      <c r="F27" s="697" t="str">
        <f>名簿!CM24</f>
        <v/>
      </c>
      <c r="G27" s="162" t="str">
        <f>名簿!Z24</f>
        <v/>
      </c>
      <c r="H27" s="675" t="str">
        <f>名簿!CM24</f>
        <v/>
      </c>
      <c r="I27" s="187" t="str">
        <f>名簿!Y24</f>
        <v/>
      </c>
      <c r="J27" s="190" t="str">
        <f>名簿!CN24</f>
        <v/>
      </c>
      <c r="K27" s="1040">
        <f>名簿!CP24</f>
        <v>0</v>
      </c>
      <c r="L27" s="750" t="str">
        <f>名簿!CU24</f>
        <v>00</v>
      </c>
      <c r="M27" s="162" t="str">
        <f>名簿!Q24</f>
        <v/>
      </c>
      <c r="N27" s="1341">
        <f>名簿!D24</f>
        <v>0</v>
      </c>
      <c r="O27" s="338"/>
      <c r="P27" s="292" t="str">
        <f t="shared" si="0"/>
        <v/>
      </c>
      <c r="Q27" s="669" t="str">
        <f>IF(O27="","",HLOOKUP(O27,名簿!$AH$3:$CF$118,22,FALSE))</f>
        <v/>
      </c>
      <c r="R27" s="1344" t="str">
        <f t="shared" si="5"/>
        <v/>
      </c>
      <c r="S27" s="1282" t="str">
        <f t="shared" si="6"/>
        <v/>
      </c>
      <c r="T27" s="368"/>
      <c r="U27" s="292" t="str">
        <f t="shared" si="1"/>
        <v/>
      </c>
      <c r="V27" s="669" t="str">
        <f>IF(T27="","",HLOOKUP(T27,名簿!$AW$3:$CW$118,22,FALSE))</f>
        <v/>
      </c>
      <c r="W27" s="769" t="str">
        <f t="shared" si="7"/>
        <v/>
      </c>
      <c r="X27" s="774" t="str">
        <f t="shared" si="8"/>
        <v/>
      </c>
      <c r="Y27" s="160"/>
      <c r="Z27" s="165"/>
      <c r="AA27" s="163"/>
      <c r="AB27" s="166"/>
      <c r="AC27" s="167"/>
      <c r="AD27" s="159"/>
      <c r="AE27" s="160"/>
      <c r="AF27" s="161"/>
      <c r="AG27" s="164"/>
      <c r="AH27" s="802"/>
      <c r="AI27" s="802"/>
      <c r="AK27" s="915" t="s">
        <v>318</v>
      </c>
      <c r="AL27" s="907" t="str">
        <f t="shared" si="2"/>
        <v/>
      </c>
      <c r="AM27" s="859">
        <f t="shared" si="3"/>
        <v>0</v>
      </c>
      <c r="AN27" s="859">
        <f t="shared" si="9"/>
        <v>0</v>
      </c>
      <c r="AP27" s="886"/>
      <c r="AQ27" s="886"/>
      <c r="AV27" s="1059" t="s">
        <v>395</v>
      </c>
      <c r="AW27" s="1059" t="s">
        <v>399</v>
      </c>
      <c r="AX27" s="886"/>
      <c r="AY27" s="886"/>
      <c r="AZ27" s="1349"/>
      <c r="BA27" s="1349"/>
      <c r="BB27" s="1349"/>
      <c r="BC27" s="1349"/>
      <c r="BD27" s="1349"/>
      <c r="BE27" s="918"/>
    </row>
    <row r="28" spans="1:57">
      <c r="A28" s="1338">
        <f t="shared" si="4"/>
        <v>0</v>
      </c>
      <c r="B28" s="162" t="str">
        <f>名簿!P25</f>
        <v/>
      </c>
      <c r="C28" s="162"/>
      <c r="D28" s="931"/>
      <c r="E28" s="182">
        <f>名簿!E25</f>
        <v>0</v>
      </c>
      <c r="F28" s="697" t="str">
        <f>名簿!CM25</f>
        <v/>
      </c>
      <c r="G28" s="162" t="str">
        <f>名簿!Z25</f>
        <v/>
      </c>
      <c r="H28" s="675" t="str">
        <f>名簿!CM25</f>
        <v/>
      </c>
      <c r="I28" s="187" t="str">
        <f>名簿!Y25</f>
        <v/>
      </c>
      <c r="J28" s="190" t="str">
        <f>名簿!CN25</f>
        <v/>
      </c>
      <c r="K28" s="1040">
        <f>名簿!CP25</f>
        <v>0</v>
      </c>
      <c r="L28" s="750" t="str">
        <f>名簿!CU25</f>
        <v>00</v>
      </c>
      <c r="M28" s="162" t="str">
        <f>名簿!Q25</f>
        <v/>
      </c>
      <c r="N28" s="1341">
        <f>名簿!D25</f>
        <v>0</v>
      </c>
      <c r="O28" s="338"/>
      <c r="P28" s="292" t="str">
        <f t="shared" si="0"/>
        <v/>
      </c>
      <c r="Q28" s="669" t="str">
        <f>IF(O28="","",HLOOKUP(O28,名簿!$AH$3:$CF$118,23,FALSE))</f>
        <v/>
      </c>
      <c r="R28" s="1344" t="str">
        <f t="shared" si="5"/>
        <v/>
      </c>
      <c r="S28" s="1282" t="str">
        <f t="shared" si="6"/>
        <v/>
      </c>
      <c r="T28" s="368"/>
      <c r="U28" s="292" t="str">
        <f t="shared" si="1"/>
        <v/>
      </c>
      <c r="V28" s="669" t="str">
        <f>IF(T28="","",HLOOKUP(T28,名簿!$AW$3:$CW$118,23,FALSE))</f>
        <v/>
      </c>
      <c r="W28" s="769" t="str">
        <f t="shared" si="7"/>
        <v/>
      </c>
      <c r="X28" s="774" t="str">
        <f t="shared" si="8"/>
        <v/>
      </c>
      <c r="Y28" s="160"/>
      <c r="Z28" s="165"/>
      <c r="AA28" s="163"/>
      <c r="AB28" s="166"/>
      <c r="AC28" s="167"/>
      <c r="AD28" s="159"/>
      <c r="AE28" s="160"/>
      <c r="AF28" s="161"/>
      <c r="AG28" s="164"/>
      <c r="AH28" s="802"/>
      <c r="AI28" s="802"/>
      <c r="AK28" s="915" t="s">
        <v>319</v>
      </c>
      <c r="AL28" s="907" t="str">
        <f t="shared" si="2"/>
        <v/>
      </c>
      <c r="AM28" s="859">
        <f t="shared" si="3"/>
        <v>0</v>
      </c>
      <c r="AN28" s="859">
        <f t="shared" si="9"/>
        <v>0</v>
      </c>
      <c r="AP28" s="886"/>
      <c r="AQ28" s="886"/>
      <c r="AV28" s="143" t="s">
        <v>396</v>
      </c>
      <c r="AW28" s="1059" t="s">
        <v>400</v>
      </c>
      <c r="AX28" s="886"/>
      <c r="AY28" s="886"/>
      <c r="AZ28" s="1349"/>
      <c r="BA28" s="1349"/>
      <c r="BB28" s="1349"/>
      <c r="BC28" s="1349"/>
      <c r="BD28" s="1349"/>
      <c r="BE28" s="918"/>
    </row>
    <row r="29" spans="1:57">
      <c r="A29" s="1338">
        <f t="shared" si="4"/>
        <v>0</v>
      </c>
      <c r="B29" s="162" t="str">
        <f>名簿!P26</f>
        <v/>
      </c>
      <c r="C29" s="162"/>
      <c r="D29" s="931"/>
      <c r="E29" s="182">
        <f>名簿!E26</f>
        <v>0</v>
      </c>
      <c r="F29" s="697" t="str">
        <f>名簿!CM26</f>
        <v/>
      </c>
      <c r="G29" s="162" t="str">
        <f>名簿!Z26</f>
        <v/>
      </c>
      <c r="H29" s="675" t="str">
        <f>名簿!CM26</f>
        <v/>
      </c>
      <c r="I29" s="187" t="str">
        <f>名簿!Y26</f>
        <v/>
      </c>
      <c r="J29" s="190" t="str">
        <f>名簿!CN26</f>
        <v/>
      </c>
      <c r="K29" s="1040">
        <f>名簿!CP26</f>
        <v>0</v>
      </c>
      <c r="L29" s="750" t="str">
        <f>名簿!CU26</f>
        <v>00</v>
      </c>
      <c r="M29" s="162" t="str">
        <f>名簿!Q26</f>
        <v/>
      </c>
      <c r="N29" s="1341">
        <f>名簿!D26</f>
        <v>0</v>
      </c>
      <c r="O29" s="338"/>
      <c r="P29" s="292" t="str">
        <f t="shared" si="0"/>
        <v/>
      </c>
      <c r="Q29" s="669" t="str">
        <f>IF(O29="","",HLOOKUP(O29,名簿!$AH$3:$CF$118,24,FALSE))</f>
        <v/>
      </c>
      <c r="R29" s="1344" t="str">
        <f t="shared" si="5"/>
        <v/>
      </c>
      <c r="S29" s="1282" t="str">
        <f t="shared" si="6"/>
        <v/>
      </c>
      <c r="T29" s="368"/>
      <c r="U29" s="292" t="str">
        <f t="shared" si="1"/>
        <v/>
      </c>
      <c r="V29" s="669" t="str">
        <f>IF(T29="","",HLOOKUP(T29,名簿!$AW$3:$CW$118,24,FALSE))</f>
        <v/>
      </c>
      <c r="W29" s="769" t="str">
        <f t="shared" si="7"/>
        <v/>
      </c>
      <c r="X29" s="774" t="str">
        <f t="shared" si="8"/>
        <v/>
      </c>
      <c r="Y29" s="160"/>
      <c r="Z29" s="165"/>
      <c r="AA29" s="163"/>
      <c r="AB29" s="166"/>
      <c r="AC29" s="167"/>
      <c r="AD29" s="159"/>
      <c r="AE29" s="160"/>
      <c r="AF29" s="161"/>
      <c r="AG29" s="164"/>
      <c r="AH29" s="802"/>
      <c r="AI29" s="802"/>
      <c r="AK29" s="915" t="s">
        <v>320</v>
      </c>
      <c r="AL29" s="907" t="str">
        <f t="shared" si="2"/>
        <v/>
      </c>
      <c r="AM29" s="859">
        <f t="shared" si="3"/>
        <v>0</v>
      </c>
      <c r="AN29" s="859">
        <f t="shared" si="9"/>
        <v>0</v>
      </c>
      <c r="AP29" s="886"/>
      <c r="AQ29" s="886"/>
      <c r="AV29" s="169" t="s">
        <v>397</v>
      </c>
      <c r="AW29" s="1059"/>
      <c r="AX29" s="886"/>
      <c r="AY29" s="886"/>
      <c r="AZ29" s="1349"/>
      <c r="BA29" s="1349"/>
      <c r="BB29" s="1349"/>
      <c r="BC29" s="1349"/>
      <c r="BD29" s="1349"/>
      <c r="BE29" s="918"/>
    </row>
    <row r="30" spans="1:57">
      <c r="A30" s="1338">
        <f t="shared" si="4"/>
        <v>0</v>
      </c>
      <c r="B30" s="162" t="str">
        <f>名簿!P27</f>
        <v/>
      </c>
      <c r="C30" s="162"/>
      <c r="D30" s="931"/>
      <c r="E30" s="182">
        <f>名簿!E27</f>
        <v>0</v>
      </c>
      <c r="F30" s="697" t="str">
        <f>名簿!CM27</f>
        <v/>
      </c>
      <c r="G30" s="162" t="str">
        <f>名簿!Z27</f>
        <v/>
      </c>
      <c r="H30" s="675" t="str">
        <f>名簿!CM27</f>
        <v/>
      </c>
      <c r="I30" s="187" t="str">
        <f>名簿!Y27</f>
        <v/>
      </c>
      <c r="J30" s="190" t="str">
        <f>名簿!CN27</f>
        <v/>
      </c>
      <c r="K30" s="1040">
        <f>名簿!CP27</f>
        <v>0</v>
      </c>
      <c r="L30" s="750" t="str">
        <f>名簿!CU27</f>
        <v>00</v>
      </c>
      <c r="M30" s="162" t="str">
        <f>名簿!Q27</f>
        <v/>
      </c>
      <c r="N30" s="1341">
        <f>名簿!D27</f>
        <v>0</v>
      </c>
      <c r="O30" s="338"/>
      <c r="P30" s="292" t="str">
        <f t="shared" si="0"/>
        <v/>
      </c>
      <c r="Q30" s="669" t="str">
        <f>IF(O30="","",HLOOKUP(O30,名簿!$AH$3:$CF$118,25,FALSE))</f>
        <v/>
      </c>
      <c r="R30" s="1344" t="str">
        <f t="shared" si="5"/>
        <v/>
      </c>
      <c r="S30" s="1282" t="str">
        <f t="shared" si="6"/>
        <v/>
      </c>
      <c r="T30" s="368"/>
      <c r="U30" s="292" t="str">
        <f t="shared" si="1"/>
        <v/>
      </c>
      <c r="V30" s="669" t="str">
        <f>IF(T30="","",HLOOKUP(T30,名簿!$AW$3:$CW$118,25,FALSE))</f>
        <v/>
      </c>
      <c r="W30" s="769" t="str">
        <f t="shared" si="7"/>
        <v/>
      </c>
      <c r="X30" s="774" t="str">
        <f t="shared" si="8"/>
        <v/>
      </c>
      <c r="Y30" s="160"/>
      <c r="Z30" s="165"/>
      <c r="AA30" s="163"/>
      <c r="AB30" s="166"/>
      <c r="AC30" s="167"/>
      <c r="AD30" s="159"/>
      <c r="AE30" s="160"/>
      <c r="AF30" s="161"/>
      <c r="AG30" s="164"/>
      <c r="AH30" s="802"/>
      <c r="AI30" s="802"/>
      <c r="AK30" s="915" t="s">
        <v>321</v>
      </c>
      <c r="AL30" s="907" t="str">
        <f t="shared" si="2"/>
        <v/>
      </c>
      <c r="AM30" s="859">
        <f t="shared" si="3"/>
        <v>0</v>
      </c>
      <c r="AN30" s="859">
        <f t="shared" si="9"/>
        <v>0</v>
      </c>
      <c r="AP30" s="886"/>
      <c r="AQ30" s="886"/>
      <c r="AV30" s="169" t="s">
        <v>398</v>
      </c>
      <c r="AW30" s="1059"/>
      <c r="AX30" s="886"/>
      <c r="AY30" s="886"/>
      <c r="AZ30" s="1349"/>
      <c r="BA30" s="1349"/>
      <c r="BB30" s="1349"/>
      <c r="BC30" s="1349"/>
      <c r="BD30" s="1349"/>
      <c r="BE30" s="918"/>
    </row>
    <row r="31" spans="1:57">
      <c r="A31" s="1338">
        <f t="shared" si="4"/>
        <v>0</v>
      </c>
      <c r="B31" s="162" t="str">
        <f>名簿!P28</f>
        <v/>
      </c>
      <c r="C31" s="162"/>
      <c r="D31" s="931"/>
      <c r="E31" s="182">
        <f>名簿!E28</f>
        <v>0</v>
      </c>
      <c r="F31" s="697" t="str">
        <f>名簿!CM28</f>
        <v/>
      </c>
      <c r="G31" s="162" t="str">
        <f>名簿!Z28</f>
        <v/>
      </c>
      <c r="H31" s="675" t="str">
        <f>名簿!CM28</f>
        <v/>
      </c>
      <c r="I31" s="187" t="str">
        <f>名簿!Y28</f>
        <v/>
      </c>
      <c r="J31" s="190" t="str">
        <f>名簿!CN28</f>
        <v/>
      </c>
      <c r="K31" s="1040">
        <f>名簿!CP28</f>
        <v>0</v>
      </c>
      <c r="L31" s="750" t="str">
        <f>名簿!CU28</f>
        <v>00</v>
      </c>
      <c r="M31" s="162" t="str">
        <f>名簿!Q28</f>
        <v/>
      </c>
      <c r="N31" s="1341">
        <f>名簿!D28</f>
        <v>0</v>
      </c>
      <c r="O31" s="338"/>
      <c r="P31" s="292" t="str">
        <f t="shared" si="0"/>
        <v/>
      </c>
      <c r="Q31" s="669" t="str">
        <f>IF(O31="","",HLOOKUP(O31,名簿!$AH$3:$CF$118,26,FALSE))</f>
        <v/>
      </c>
      <c r="R31" s="1344" t="str">
        <f t="shared" si="5"/>
        <v/>
      </c>
      <c r="S31" s="1282" t="str">
        <f t="shared" si="6"/>
        <v/>
      </c>
      <c r="T31" s="368"/>
      <c r="U31" s="292" t="str">
        <f t="shared" si="1"/>
        <v/>
      </c>
      <c r="V31" s="669" t="str">
        <f>IF(T31="","",HLOOKUP(T31,名簿!$AW$3:$CW$118,26,FALSE))</f>
        <v/>
      </c>
      <c r="W31" s="769" t="str">
        <f t="shared" si="7"/>
        <v/>
      </c>
      <c r="X31" s="774" t="str">
        <f t="shared" si="8"/>
        <v/>
      </c>
      <c r="Y31" s="160"/>
      <c r="Z31" s="165"/>
      <c r="AA31" s="163"/>
      <c r="AB31" s="166"/>
      <c r="AC31" s="167"/>
      <c r="AD31" s="159"/>
      <c r="AE31" s="160"/>
      <c r="AF31" s="161"/>
      <c r="AG31" s="164"/>
      <c r="AH31" s="802"/>
      <c r="AI31" s="802"/>
      <c r="AK31" s="915" t="s">
        <v>395</v>
      </c>
      <c r="AL31" s="907" t="str">
        <f t="shared" si="2"/>
        <v/>
      </c>
      <c r="AM31" s="859">
        <f t="shared" si="3"/>
        <v>0</v>
      </c>
      <c r="AN31" s="859">
        <f t="shared" si="9"/>
        <v>0</v>
      </c>
      <c r="AP31" s="886"/>
      <c r="AQ31" s="886"/>
      <c r="AV31" s="1059" t="s">
        <v>399</v>
      </c>
      <c r="AW31" s="1059"/>
      <c r="AX31" s="886"/>
      <c r="AY31" s="886"/>
      <c r="AZ31" s="1349"/>
      <c r="BA31" s="1349"/>
      <c r="BB31" s="1349"/>
      <c r="BC31" s="1349"/>
      <c r="BD31" s="1349"/>
      <c r="BE31" s="918"/>
    </row>
    <row r="32" spans="1:57">
      <c r="A32" s="1338">
        <f t="shared" si="4"/>
        <v>0</v>
      </c>
      <c r="B32" s="162" t="str">
        <f>名簿!P29</f>
        <v/>
      </c>
      <c r="C32" s="162"/>
      <c r="D32" s="931"/>
      <c r="E32" s="182">
        <f>名簿!E29</f>
        <v>0</v>
      </c>
      <c r="F32" s="697" t="str">
        <f>名簿!CM29</f>
        <v/>
      </c>
      <c r="G32" s="162" t="str">
        <f>名簿!Z29</f>
        <v/>
      </c>
      <c r="H32" s="675" t="str">
        <f>名簿!CM29</f>
        <v/>
      </c>
      <c r="I32" s="187" t="str">
        <f>名簿!Y29</f>
        <v/>
      </c>
      <c r="J32" s="190" t="str">
        <f>名簿!CN29</f>
        <v/>
      </c>
      <c r="K32" s="1040">
        <f>名簿!CP29</f>
        <v>0</v>
      </c>
      <c r="L32" s="750" t="str">
        <f>名簿!CU29</f>
        <v>00</v>
      </c>
      <c r="M32" s="162" t="str">
        <f>名簿!Q29</f>
        <v/>
      </c>
      <c r="N32" s="1341">
        <f>名簿!D29</f>
        <v>0</v>
      </c>
      <c r="O32" s="338"/>
      <c r="P32" s="292" t="str">
        <f t="shared" si="0"/>
        <v/>
      </c>
      <c r="Q32" s="669" t="str">
        <f>IF(O32="","",HLOOKUP(O32,名簿!$AH$3:$CF$118,27,FALSE))</f>
        <v/>
      </c>
      <c r="R32" s="1344" t="str">
        <f t="shared" si="5"/>
        <v/>
      </c>
      <c r="S32" s="1282" t="str">
        <f t="shared" si="6"/>
        <v/>
      </c>
      <c r="T32" s="368"/>
      <c r="U32" s="292" t="str">
        <f t="shared" si="1"/>
        <v/>
      </c>
      <c r="V32" s="669" t="str">
        <f>IF(T32="","",HLOOKUP(T32,名簿!$AW$3:$CW$118,27,FALSE))</f>
        <v/>
      </c>
      <c r="W32" s="769" t="str">
        <f t="shared" si="7"/>
        <v/>
      </c>
      <c r="X32" s="774" t="str">
        <f t="shared" si="8"/>
        <v/>
      </c>
      <c r="Y32" s="160"/>
      <c r="Z32" s="165"/>
      <c r="AA32" s="163"/>
      <c r="AB32" s="166"/>
      <c r="AC32" s="167"/>
      <c r="AD32" s="159"/>
      <c r="AE32" s="160"/>
      <c r="AF32" s="161"/>
      <c r="AG32" s="164"/>
      <c r="AH32" s="802"/>
      <c r="AI32" s="802"/>
      <c r="AK32" s="143" t="s">
        <v>396</v>
      </c>
      <c r="AL32" s="907" t="str">
        <f t="shared" si="2"/>
        <v/>
      </c>
      <c r="AM32" s="859">
        <f t="shared" si="3"/>
        <v>0</v>
      </c>
      <c r="AN32" s="859">
        <f t="shared" si="9"/>
        <v>0</v>
      </c>
      <c r="AP32" s="886"/>
      <c r="AQ32" s="886"/>
      <c r="AV32" s="1059" t="s">
        <v>400</v>
      </c>
      <c r="AW32" s="143"/>
      <c r="AX32" s="886"/>
      <c r="AY32" s="886"/>
      <c r="AZ32" s="1349"/>
      <c r="BA32" s="1349"/>
      <c r="BB32" s="1349"/>
      <c r="BC32" s="1349"/>
      <c r="BD32" s="1349"/>
      <c r="BE32" s="918"/>
    </row>
    <row r="33" spans="1:57">
      <c r="A33" s="1338">
        <f t="shared" si="4"/>
        <v>0</v>
      </c>
      <c r="B33" s="162" t="str">
        <f>名簿!P30</f>
        <v/>
      </c>
      <c r="C33" s="162"/>
      <c r="D33" s="931"/>
      <c r="E33" s="182">
        <f>名簿!E30</f>
        <v>0</v>
      </c>
      <c r="F33" s="697" t="str">
        <f>名簿!CM30</f>
        <v/>
      </c>
      <c r="G33" s="162" t="str">
        <f>名簿!Z30</f>
        <v/>
      </c>
      <c r="H33" s="675" t="str">
        <f>名簿!CM30</f>
        <v/>
      </c>
      <c r="I33" s="187" t="str">
        <f>名簿!Y30</f>
        <v/>
      </c>
      <c r="J33" s="190" t="str">
        <f>名簿!CN30</f>
        <v/>
      </c>
      <c r="K33" s="1040">
        <f>名簿!CP30</f>
        <v>0</v>
      </c>
      <c r="L33" s="750" t="str">
        <f>名簿!CU30</f>
        <v>00</v>
      </c>
      <c r="M33" s="162" t="str">
        <f>名簿!Q30</f>
        <v/>
      </c>
      <c r="N33" s="1341">
        <f>名簿!D30</f>
        <v>0</v>
      </c>
      <c r="O33" s="338"/>
      <c r="P33" s="292" t="str">
        <f t="shared" si="0"/>
        <v/>
      </c>
      <c r="Q33" s="669" t="str">
        <f>IF(O33="","",HLOOKUP(O33,名簿!$AH$3:$CF$118,28,FALSE))</f>
        <v/>
      </c>
      <c r="R33" s="1344" t="str">
        <f t="shared" si="5"/>
        <v/>
      </c>
      <c r="S33" s="1282" t="str">
        <f t="shared" si="6"/>
        <v/>
      </c>
      <c r="T33" s="368"/>
      <c r="U33" s="292" t="str">
        <f t="shared" si="1"/>
        <v/>
      </c>
      <c r="V33" s="669" t="str">
        <f>IF(T33="","",HLOOKUP(T33,名簿!$AW$3:$CW$118,28,FALSE))</f>
        <v/>
      </c>
      <c r="W33" s="769" t="str">
        <f t="shared" si="7"/>
        <v/>
      </c>
      <c r="X33" s="774" t="str">
        <f t="shared" si="8"/>
        <v/>
      </c>
      <c r="Y33" s="160"/>
      <c r="Z33" s="165"/>
      <c r="AA33" s="163"/>
      <c r="AB33" s="166"/>
      <c r="AC33" s="167"/>
      <c r="AD33" s="159"/>
      <c r="AE33" s="160"/>
      <c r="AF33" s="161"/>
      <c r="AG33" s="164"/>
      <c r="AH33" s="802"/>
      <c r="AI33" s="802"/>
      <c r="AK33" s="169" t="s">
        <v>397</v>
      </c>
      <c r="AL33" s="907" t="str">
        <f t="shared" si="2"/>
        <v/>
      </c>
      <c r="AM33" s="859">
        <f t="shared" si="3"/>
        <v>0</v>
      </c>
      <c r="AN33" s="859">
        <f t="shared" si="9"/>
        <v>0</v>
      </c>
      <c r="AP33" s="886"/>
      <c r="AQ33" s="886"/>
      <c r="AV33" s="1059"/>
      <c r="AW33" s="143"/>
      <c r="AX33" s="886"/>
      <c r="AY33" s="886"/>
      <c r="AZ33" s="1349"/>
      <c r="BA33" s="1349"/>
      <c r="BB33" s="1349"/>
      <c r="BC33" s="1349"/>
      <c r="BD33" s="1349"/>
      <c r="BE33" s="918"/>
    </row>
    <row r="34" spans="1:57">
      <c r="A34" s="1338">
        <f t="shared" si="4"/>
        <v>0</v>
      </c>
      <c r="B34" s="162" t="str">
        <f>名簿!P31</f>
        <v/>
      </c>
      <c r="C34" s="162"/>
      <c r="D34" s="931"/>
      <c r="E34" s="182">
        <f>名簿!E31</f>
        <v>0</v>
      </c>
      <c r="F34" s="697" t="str">
        <f>名簿!CM31</f>
        <v/>
      </c>
      <c r="G34" s="162" t="str">
        <f>名簿!Z31</f>
        <v/>
      </c>
      <c r="H34" s="675" t="str">
        <f>名簿!CM31</f>
        <v/>
      </c>
      <c r="I34" s="187" t="str">
        <f>名簿!Y31</f>
        <v/>
      </c>
      <c r="J34" s="190" t="str">
        <f>名簿!CN31</f>
        <v/>
      </c>
      <c r="K34" s="1040">
        <f>名簿!CP31</f>
        <v>0</v>
      </c>
      <c r="L34" s="750" t="str">
        <f>名簿!CU31</f>
        <v>00</v>
      </c>
      <c r="M34" s="162" t="str">
        <f>名簿!Q31</f>
        <v/>
      </c>
      <c r="N34" s="1341">
        <f>名簿!D31</f>
        <v>0</v>
      </c>
      <c r="O34" s="338"/>
      <c r="P34" s="292" t="str">
        <f t="shared" si="0"/>
        <v/>
      </c>
      <c r="Q34" s="669" t="str">
        <f>IF(O34="","",HLOOKUP(O34,名簿!$AH$3:$CF$118,29,FALSE))</f>
        <v/>
      </c>
      <c r="R34" s="1344" t="str">
        <f t="shared" si="5"/>
        <v/>
      </c>
      <c r="S34" s="1282" t="str">
        <f t="shared" si="6"/>
        <v/>
      </c>
      <c r="T34" s="368"/>
      <c r="U34" s="292" t="str">
        <f t="shared" si="1"/>
        <v/>
      </c>
      <c r="V34" s="669" t="str">
        <f>IF(T34="","",HLOOKUP(T34,名簿!$AW$3:$CW$118,29,FALSE))</f>
        <v/>
      </c>
      <c r="W34" s="769" t="str">
        <f t="shared" si="7"/>
        <v/>
      </c>
      <c r="X34" s="774" t="str">
        <f t="shared" si="8"/>
        <v/>
      </c>
      <c r="Y34" s="160"/>
      <c r="Z34" s="165"/>
      <c r="AA34" s="163"/>
      <c r="AB34" s="166"/>
      <c r="AC34" s="167"/>
      <c r="AD34" s="159"/>
      <c r="AE34" s="160"/>
      <c r="AF34" s="161"/>
      <c r="AG34" s="164"/>
      <c r="AH34" s="802"/>
      <c r="AI34" s="802"/>
      <c r="AK34" s="169" t="s">
        <v>398</v>
      </c>
      <c r="AL34" s="907" t="str">
        <f t="shared" si="2"/>
        <v/>
      </c>
      <c r="AM34" s="859">
        <f t="shared" si="3"/>
        <v>0</v>
      </c>
      <c r="AN34" s="859">
        <f t="shared" si="9"/>
        <v>0</v>
      </c>
      <c r="AP34" s="886"/>
      <c r="AQ34" s="886"/>
      <c r="AV34" s="1059"/>
      <c r="AW34" s="143"/>
      <c r="AX34" s="886"/>
      <c r="AY34" s="886"/>
      <c r="AZ34" s="1349"/>
      <c r="BA34" s="1349"/>
      <c r="BB34" s="1349"/>
      <c r="BC34" s="1349"/>
      <c r="BD34" s="1349"/>
      <c r="BE34" s="918"/>
    </row>
    <row r="35" spans="1:57">
      <c r="A35" s="1338">
        <f t="shared" si="4"/>
        <v>0</v>
      </c>
      <c r="B35" s="162" t="str">
        <f>名簿!P32</f>
        <v/>
      </c>
      <c r="C35" s="162"/>
      <c r="D35" s="931"/>
      <c r="E35" s="182">
        <f>名簿!E32</f>
        <v>0</v>
      </c>
      <c r="F35" s="697" t="str">
        <f>名簿!CM32</f>
        <v/>
      </c>
      <c r="G35" s="162" t="str">
        <f>名簿!Z32</f>
        <v/>
      </c>
      <c r="H35" s="675" t="str">
        <f>名簿!CM32</f>
        <v/>
      </c>
      <c r="I35" s="187" t="str">
        <f>名簿!Y32</f>
        <v/>
      </c>
      <c r="J35" s="190" t="str">
        <f>名簿!CN32</f>
        <v/>
      </c>
      <c r="K35" s="1040">
        <f>名簿!CP32</f>
        <v>0</v>
      </c>
      <c r="L35" s="750" t="str">
        <f>名簿!CU32</f>
        <v>00</v>
      </c>
      <c r="M35" s="162" t="str">
        <f>名簿!Q32</f>
        <v/>
      </c>
      <c r="N35" s="1341">
        <f>名簿!D32</f>
        <v>0</v>
      </c>
      <c r="O35" s="338"/>
      <c r="P35" s="292" t="str">
        <f t="shared" si="0"/>
        <v/>
      </c>
      <c r="Q35" s="669" t="str">
        <f>IF(O35="","",HLOOKUP(O35,名簿!$AH$3:$CF$118,30,FALSE))</f>
        <v/>
      </c>
      <c r="R35" s="1344" t="str">
        <f t="shared" si="5"/>
        <v/>
      </c>
      <c r="S35" s="1282" t="str">
        <f t="shared" si="6"/>
        <v/>
      </c>
      <c r="T35" s="368"/>
      <c r="U35" s="292" t="str">
        <f t="shared" si="1"/>
        <v/>
      </c>
      <c r="V35" s="669" t="str">
        <f>IF(T35="","",HLOOKUP(T35,名簿!$AW$3:$CW$118,30,FALSE))</f>
        <v/>
      </c>
      <c r="W35" s="769" t="str">
        <f t="shared" si="7"/>
        <v/>
      </c>
      <c r="X35" s="774" t="str">
        <f t="shared" si="8"/>
        <v/>
      </c>
      <c r="Y35" s="160"/>
      <c r="Z35" s="165"/>
      <c r="AA35" s="163"/>
      <c r="AB35" s="166"/>
      <c r="AC35" s="167"/>
      <c r="AD35" s="159"/>
      <c r="AE35" s="160"/>
      <c r="AF35" s="161"/>
      <c r="AG35" s="164"/>
      <c r="AH35" s="802"/>
      <c r="AI35" s="802"/>
      <c r="AK35" s="915" t="s">
        <v>399</v>
      </c>
      <c r="AL35" s="907" t="str">
        <f t="shared" si="2"/>
        <v/>
      </c>
      <c r="AM35" s="859">
        <f t="shared" si="3"/>
        <v>0</v>
      </c>
      <c r="AN35" s="859">
        <f t="shared" si="9"/>
        <v>0</v>
      </c>
      <c r="AP35" s="886"/>
      <c r="AQ35" s="886"/>
      <c r="AV35" s="1059"/>
      <c r="AW35" s="143"/>
      <c r="AX35" s="886"/>
      <c r="AY35" s="886"/>
      <c r="AZ35" s="1349"/>
      <c r="BA35" s="1349"/>
      <c r="BB35" s="1349"/>
      <c r="BC35" s="1349"/>
      <c r="BD35" s="1349"/>
      <c r="BE35" s="918"/>
    </row>
    <row r="36" spans="1:57">
      <c r="A36" s="1338">
        <f t="shared" si="4"/>
        <v>0</v>
      </c>
      <c r="B36" s="162" t="str">
        <f>名簿!P33</f>
        <v/>
      </c>
      <c r="C36" s="162"/>
      <c r="D36" s="931"/>
      <c r="E36" s="182">
        <f>名簿!E33</f>
        <v>0</v>
      </c>
      <c r="F36" s="697" t="str">
        <f>名簿!CM33</f>
        <v/>
      </c>
      <c r="G36" s="162" t="str">
        <f>名簿!Z33</f>
        <v/>
      </c>
      <c r="H36" s="675" t="str">
        <f>名簿!CM33</f>
        <v/>
      </c>
      <c r="I36" s="187" t="str">
        <f>名簿!Y33</f>
        <v/>
      </c>
      <c r="J36" s="190" t="str">
        <f>名簿!CN33</f>
        <v/>
      </c>
      <c r="K36" s="1040">
        <f>名簿!CP33</f>
        <v>0</v>
      </c>
      <c r="L36" s="750" t="str">
        <f>名簿!CU33</f>
        <v>00</v>
      </c>
      <c r="M36" s="162" t="str">
        <f>名簿!Q33</f>
        <v/>
      </c>
      <c r="N36" s="1341">
        <f>名簿!D33</f>
        <v>0</v>
      </c>
      <c r="O36" s="338"/>
      <c r="P36" s="292" t="str">
        <f t="shared" si="0"/>
        <v/>
      </c>
      <c r="Q36" s="669" t="str">
        <f>IF(O36="","",HLOOKUP(O36,名簿!$AH$3:$CF$118,31,FALSE))</f>
        <v/>
      </c>
      <c r="R36" s="1344" t="str">
        <f t="shared" si="5"/>
        <v/>
      </c>
      <c r="S36" s="1282" t="str">
        <f t="shared" si="6"/>
        <v/>
      </c>
      <c r="T36" s="368"/>
      <c r="U36" s="292" t="str">
        <f t="shared" si="1"/>
        <v/>
      </c>
      <c r="V36" s="669" t="str">
        <f>IF(T36="","",HLOOKUP(T36,名簿!$AW$3:$CW$118,31,FALSE))</f>
        <v/>
      </c>
      <c r="W36" s="769" t="str">
        <f t="shared" si="7"/>
        <v/>
      </c>
      <c r="X36" s="774" t="str">
        <f t="shared" si="8"/>
        <v/>
      </c>
      <c r="Y36" s="160"/>
      <c r="Z36" s="165"/>
      <c r="AA36" s="163"/>
      <c r="AB36" s="166"/>
      <c r="AC36" s="167"/>
      <c r="AD36" s="159"/>
      <c r="AE36" s="160"/>
      <c r="AF36" s="161"/>
      <c r="AG36" s="164"/>
      <c r="AH36" s="802"/>
      <c r="AI36" s="802"/>
      <c r="AK36" s="915" t="s">
        <v>400</v>
      </c>
      <c r="AL36" s="907" t="str">
        <f t="shared" si="2"/>
        <v/>
      </c>
      <c r="AM36" s="859">
        <f t="shared" si="3"/>
        <v>0</v>
      </c>
      <c r="AN36" s="859">
        <f t="shared" si="9"/>
        <v>0</v>
      </c>
      <c r="AP36" s="886"/>
      <c r="AQ36" s="886"/>
      <c r="AV36" s="143"/>
      <c r="AW36" s="143"/>
      <c r="AX36" s="886"/>
      <c r="AY36" s="886"/>
      <c r="AZ36" s="1349"/>
      <c r="BA36" s="1349"/>
      <c r="BB36" s="1349"/>
      <c r="BC36" s="1349"/>
      <c r="BD36" s="1349"/>
      <c r="BE36" s="918"/>
    </row>
    <row r="37" spans="1:57">
      <c r="A37" s="1338">
        <f t="shared" si="4"/>
        <v>0</v>
      </c>
      <c r="B37" s="162" t="str">
        <f>名簿!P34</f>
        <v/>
      </c>
      <c r="C37" s="162"/>
      <c r="D37" s="931"/>
      <c r="E37" s="182">
        <f>名簿!E34</f>
        <v>0</v>
      </c>
      <c r="F37" s="697" t="str">
        <f>名簿!CM34</f>
        <v/>
      </c>
      <c r="G37" s="162" t="str">
        <f>名簿!Z34</f>
        <v/>
      </c>
      <c r="H37" s="675" t="str">
        <f>名簿!CM34</f>
        <v/>
      </c>
      <c r="I37" s="187" t="str">
        <f>名簿!Y34</f>
        <v/>
      </c>
      <c r="J37" s="190" t="str">
        <f>名簿!CN34</f>
        <v/>
      </c>
      <c r="K37" s="1040">
        <f>名簿!CP34</f>
        <v>0</v>
      </c>
      <c r="L37" s="750" t="str">
        <f>名簿!CU34</f>
        <v>00</v>
      </c>
      <c r="M37" s="162" t="str">
        <f>名簿!Q34</f>
        <v/>
      </c>
      <c r="N37" s="1341">
        <f>名簿!D34</f>
        <v>0</v>
      </c>
      <c r="O37" s="338"/>
      <c r="P37" s="292" t="str">
        <f t="shared" si="0"/>
        <v/>
      </c>
      <c r="Q37" s="669" t="str">
        <f>IF(O37="","",HLOOKUP(O37,名簿!$AH$3:$CF$118,32,FALSE))</f>
        <v/>
      </c>
      <c r="R37" s="1344" t="str">
        <f t="shared" si="5"/>
        <v/>
      </c>
      <c r="S37" s="1282" t="str">
        <f t="shared" si="6"/>
        <v/>
      </c>
      <c r="T37" s="368"/>
      <c r="U37" s="292" t="str">
        <f t="shared" si="1"/>
        <v/>
      </c>
      <c r="V37" s="669" t="str">
        <f>IF(T37="","",HLOOKUP(T37,名簿!$AW$3:$CW$118,32,FALSE))</f>
        <v/>
      </c>
      <c r="W37" s="769" t="str">
        <f t="shared" si="7"/>
        <v/>
      </c>
      <c r="X37" s="774" t="str">
        <f t="shared" si="8"/>
        <v/>
      </c>
      <c r="Y37" s="160"/>
      <c r="Z37" s="165"/>
      <c r="AA37" s="163"/>
      <c r="AB37" s="166"/>
      <c r="AC37" s="167"/>
      <c r="AD37" s="159"/>
      <c r="AE37" s="160"/>
      <c r="AF37" s="161"/>
      <c r="AG37" s="164"/>
      <c r="AH37" s="802"/>
      <c r="AI37" s="802"/>
      <c r="AK37" s="915"/>
      <c r="AL37" s="907" t="str">
        <f t="shared" si="2"/>
        <v/>
      </c>
      <c r="AM37" s="859">
        <f t="shared" si="3"/>
        <v>0</v>
      </c>
      <c r="AN37" s="859">
        <f t="shared" si="9"/>
        <v>0</v>
      </c>
      <c r="AP37" s="886"/>
      <c r="AQ37" s="886"/>
      <c r="AV37" s="143"/>
      <c r="AW37" s="143"/>
      <c r="AX37" s="886"/>
      <c r="AY37" s="886"/>
      <c r="AZ37" s="1349"/>
      <c r="BA37" s="1349"/>
      <c r="BB37" s="1349"/>
      <c r="BC37" s="1349"/>
      <c r="BD37" s="1349"/>
      <c r="BE37" s="918"/>
    </row>
    <row r="38" spans="1:57">
      <c r="A38" s="1338">
        <f t="shared" si="4"/>
        <v>0</v>
      </c>
      <c r="B38" s="162" t="str">
        <f>名簿!P35</f>
        <v/>
      </c>
      <c r="C38" s="162"/>
      <c r="D38" s="931"/>
      <c r="E38" s="182">
        <f>名簿!E35</f>
        <v>0</v>
      </c>
      <c r="F38" s="697" t="str">
        <f>名簿!CM35</f>
        <v/>
      </c>
      <c r="G38" s="162" t="str">
        <f>名簿!Z35</f>
        <v/>
      </c>
      <c r="H38" s="675" t="str">
        <f>名簿!CM35</f>
        <v/>
      </c>
      <c r="I38" s="187" t="str">
        <f>名簿!Y35</f>
        <v/>
      </c>
      <c r="J38" s="190" t="str">
        <f>名簿!CN35</f>
        <v/>
      </c>
      <c r="K38" s="1040">
        <f>名簿!CP35</f>
        <v>0</v>
      </c>
      <c r="L38" s="750" t="str">
        <f>名簿!CU35</f>
        <v>00</v>
      </c>
      <c r="M38" s="162" t="str">
        <f>名簿!Q35</f>
        <v/>
      </c>
      <c r="N38" s="1341">
        <f>名簿!D35</f>
        <v>0</v>
      </c>
      <c r="O38" s="338"/>
      <c r="P38" s="292" t="str">
        <f t="shared" si="0"/>
        <v/>
      </c>
      <c r="Q38" s="669" t="str">
        <f>IF(O38="","",HLOOKUP(O38,名簿!$AH$3:$CF$118,33,FALSE))</f>
        <v/>
      </c>
      <c r="R38" s="1344" t="str">
        <f t="shared" si="5"/>
        <v/>
      </c>
      <c r="S38" s="1282" t="str">
        <f t="shared" si="6"/>
        <v/>
      </c>
      <c r="T38" s="368"/>
      <c r="U38" s="292" t="str">
        <f t="shared" si="1"/>
        <v/>
      </c>
      <c r="V38" s="669" t="str">
        <f>IF(T38="","",HLOOKUP(T38,名簿!$AW$3:$CW$118,33,FALSE))</f>
        <v/>
      </c>
      <c r="W38" s="769" t="str">
        <f t="shared" si="7"/>
        <v/>
      </c>
      <c r="X38" s="774" t="str">
        <f t="shared" si="8"/>
        <v/>
      </c>
      <c r="Y38" s="160"/>
      <c r="Z38" s="165"/>
      <c r="AA38" s="163"/>
      <c r="AB38" s="166"/>
      <c r="AC38" s="167"/>
      <c r="AD38" s="159"/>
      <c r="AE38" s="160"/>
      <c r="AF38" s="161"/>
      <c r="AG38" s="164"/>
      <c r="AH38" s="802"/>
      <c r="AI38" s="802"/>
      <c r="AK38" s="915"/>
      <c r="AL38" s="907" t="str">
        <f t="shared" si="2"/>
        <v/>
      </c>
      <c r="AM38" s="859">
        <f t="shared" si="3"/>
        <v>0</v>
      </c>
      <c r="AN38" s="859">
        <f t="shared" si="9"/>
        <v>0</v>
      </c>
      <c r="AP38" s="886"/>
      <c r="AQ38" s="886"/>
      <c r="AV38" s="143"/>
      <c r="AW38" s="143"/>
      <c r="AX38" s="886"/>
      <c r="AY38" s="886"/>
      <c r="AZ38" s="1349"/>
      <c r="BA38" s="1349"/>
      <c r="BB38" s="1349"/>
      <c r="BC38" s="1349"/>
      <c r="BD38" s="1349"/>
      <c r="BE38" s="918"/>
    </row>
    <row r="39" spans="1:57">
      <c r="A39" s="1338">
        <f t="shared" si="4"/>
        <v>0</v>
      </c>
      <c r="B39" s="162" t="str">
        <f>名簿!P36</f>
        <v/>
      </c>
      <c r="C39" s="162"/>
      <c r="D39" s="931"/>
      <c r="E39" s="182">
        <f>名簿!E36</f>
        <v>0</v>
      </c>
      <c r="F39" s="697" t="str">
        <f>名簿!CM36</f>
        <v/>
      </c>
      <c r="G39" s="162" t="str">
        <f>名簿!Z36</f>
        <v/>
      </c>
      <c r="H39" s="675" t="str">
        <f>名簿!CM36</f>
        <v/>
      </c>
      <c r="I39" s="187" t="str">
        <f>名簿!Y36</f>
        <v/>
      </c>
      <c r="J39" s="190" t="str">
        <f>名簿!CN36</f>
        <v/>
      </c>
      <c r="K39" s="1040">
        <f>名簿!CP36</f>
        <v>0</v>
      </c>
      <c r="L39" s="750" t="str">
        <f>名簿!CU36</f>
        <v>00</v>
      </c>
      <c r="M39" s="162" t="str">
        <f>名簿!Q36</f>
        <v/>
      </c>
      <c r="N39" s="1341">
        <f>名簿!D36</f>
        <v>0</v>
      </c>
      <c r="O39" s="338"/>
      <c r="P39" s="292" t="str">
        <f t="shared" ref="P39:P70" si="10">IF(O39="","",IF(I39=1,VLOOKUP(O39,$AP$8:$AR$12,3,FALSE),IF(I39=2,VLOOKUP(O39,$AP$15:$AR$19,3,FALSE))))</f>
        <v/>
      </c>
      <c r="Q39" s="669" t="str">
        <f>IF(O39="","",HLOOKUP(O39,名簿!$AH$3:$CF$118,34,FALSE))</f>
        <v/>
      </c>
      <c r="R39" s="1344" t="str">
        <f t="shared" si="5"/>
        <v/>
      </c>
      <c r="S39" s="1282" t="str">
        <f t="shared" si="6"/>
        <v/>
      </c>
      <c r="T39" s="368"/>
      <c r="U39" s="292" t="str">
        <f t="shared" ref="U39:U70" si="11">IF(T39="","",IF(I39=1,VLOOKUP(T39,$AP$8:$AR$12,3,FALSE),IF(I39=2,VLOOKUP(T39,$AP$15:$AR$19,3,FALSE))))</f>
        <v/>
      </c>
      <c r="V39" s="669" t="str">
        <f>IF(T39="","",HLOOKUP(T39,名簿!$AW$3:$CW$118,34,FALSE))</f>
        <v/>
      </c>
      <c r="W39" s="769" t="str">
        <f t="shared" si="7"/>
        <v/>
      </c>
      <c r="X39" s="774" t="str">
        <f t="shared" si="8"/>
        <v/>
      </c>
      <c r="Y39" s="160"/>
      <c r="Z39" s="165"/>
      <c r="AA39" s="163"/>
      <c r="AB39" s="166"/>
      <c r="AC39" s="167"/>
      <c r="AD39" s="159"/>
      <c r="AE39" s="160"/>
      <c r="AF39" s="161"/>
      <c r="AG39" s="164"/>
      <c r="AH39" s="802"/>
      <c r="AI39" s="802"/>
      <c r="AK39" s="915"/>
      <c r="AL39" s="907" t="str">
        <f t="shared" si="2"/>
        <v/>
      </c>
      <c r="AM39" s="859">
        <f t="shared" si="3"/>
        <v>0</v>
      </c>
      <c r="AN39" s="859">
        <f t="shared" si="9"/>
        <v>0</v>
      </c>
      <c r="AP39" s="886"/>
      <c r="AQ39" s="886"/>
      <c r="AV39" s="143"/>
      <c r="AW39" s="143"/>
      <c r="AX39" s="886"/>
      <c r="AY39" s="886"/>
      <c r="AZ39" s="1349"/>
      <c r="BA39" s="1349"/>
      <c r="BB39" s="1349"/>
      <c r="BC39" s="1349"/>
      <c r="BD39" s="1349"/>
      <c r="BE39" s="918"/>
    </row>
    <row r="40" spans="1:57">
      <c r="A40" s="1338">
        <f t="shared" si="4"/>
        <v>0</v>
      </c>
      <c r="B40" s="162" t="str">
        <f>名簿!P37</f>
        <v/>
      </c>
      <c r="C40" s="162"/>
      <c r="D40" s="931"/>
      <c r="E40" s="182">
        <f>名簿!E37</f>
        <v>0</v>
      </c>
      <c r="F40" s="697" t="str">
        <f>名簿!CM37</f>
        <v/>
      </c>
      <c r="G40" s="162" t="str">
        <f>名簿!Z37</f>
        <v/>
      </c>
      <c r="H40" s="675" t="str">
        <f>名簿!CM37</f>
        <v/>
      </c>
      <c r="I40" s="187" t="str">
        <f>名簿!Y37</f>
        <v/>
      </c>
      <c r="J40" s="190" t="str">
        <f>名簿!CN37</f>
        <v/>
      </c>
      <c r="K40" s="1040">
        <f>名簿!CP37</f>
        <v>0</v>
      </c>
      <c r="L40" s="750" t="str">
        <f>名簿!CU37</f>
        <v>00</v>
      </c>
      <c r="M40" s="162" t="str">
        <f>名簿!Q37</f>
        <v/>
      </c>
      <c r="N40" s="1341">
        <f>名簿!D37</f>
        <v>0</v>
      </c>
      <c r="O40" s="338"/>
      <c r="P40" s="292" t="str">
        <f t="shared" si="10"/>
        <v/>
      </c>
      <c r="Q40" s="669" t="str">
        <f>IF(O40="","",HLOOKUP(O40,名簿!$AH$3:$CF$118,35,FALSE))</f>
        <v/>
      </c>
      <c r="R40" s="1344" t="str">
        <f t="shared" si="5"/>
        <v/>
      </c>
      <c r="S40" s="1282" t="str">
        <f t="shared" si="6"/>
        <v/>
      </c>
      <c r="T40" s="368"/>
      <c r="U40" s="292" t="str">
        <f t="shared" si="11"/>
        <v/>
      </c>
      <c r="V40" s="669" t="str">
        <f>IF(T40="","",HLOOKUP(T40,名簿!$AW$3:$CW$118,35,FALSE))</f>
        <v/>
      </c>
      <c r="W40" s="769" t="str">
        <f t="shared" si="7"/>
        <v/>
      </c>
      <c r="X40" s="774" t="str">
        <f t="shared" si="8"/>
        <v/>
      </c>
      <c r="Y40" s="160"/>
      <c r="Z40" s="165"/>
      <c r="AA40" s="163"/>
      <c r="AB40" s="166"/>
      <c r="AC40" s="167"/>
      <c r="AD40" s="159"/>
      <c r="AE40" s="160"/>
      <c r="AF40" s="161"/>
      <c r="AG40" s="164"/>
      <c r="AH40" s="802"/>
      <c r="AI40" s="802"/>
      <c r="AK40" s="143"/>
      <c r="AL40" s="907" t="str">
        <f t="shared" si="2"/>
        <v/>
      </c>
      <c r="AM40" s="859">
        <f t="shared" si="3"/>
        <v>0</v>
      </c>
      <c r="AN40" s="859">
        <f t="shared" si="9"/>
        <v>0</v>
      </c>
      <c r="AP40" s="886"/>
      <c r="AQ40" s="886"/>
      <c r="AV40" s="143"/>
      <c r="AW40" s="143"/>
      <c r="AX40" s="886"/>
      <c r="AY40" s="886"/>
      <c r="AZ40" s="1349"/>
      <c r="BA40" s="1349"/>
      <c r="BB40" s="1349"/>
      <c r="BC40" s="1349"/>
      <c r="BD40" s="1349"/>
      <c r="BE40" s="918"/>
    </row>
    <row r="41" spans="1:57">
      <c r="A41" s="1338">
        <f t="shared" si="4"/>
        <v>0</v>
      </c>
      <c r="B41" s="162" t="str">
        <f>名簿!P38</f>
        <v/>
      </c>
      <c r="C41" s="162"/>
      <c r="D41" s="931"/>
      <c r="E41" s="182">
        <f>名簿!E38</f>
        <v>0</v>
      </c>
      <c r="F41" s="697" t="str">
        <f>名簿!CM38</f>
        <v/>
      </c>
      <c r="G41" s="162" t="str">
        <f>名簿!Z38</f>
        <v/>
      </c>
      <c r="H41" s="675" t="str">
        <f>名簿!CM38</f>
        <v/>
      </c>
      <c r="I41" s="187" t="str">
        <f>名簿!Y38</f>
        <v/>
      </c>
      <c r="J41" s="190" t="str">
        <f>名簿!CN38</f>
        <v/>
      </c>
      <c r="K41" s="1040">
        <f>名簿!CP38</f>
        <v>0</v>
      </c>
      <c r="L41" s="750" t="str">
        <f>名簿!CU38</f>
        <v>00</v>
      </c>
      <c r="M41" s="162" t="str">
        <f>名簿!Q38</f>
        <v/>
      </c>
      <c r="N41" s="1341">
        <f>名簿!D38</f>
        <v>0</v>
      </c>
      <c r="O41" s="338"/>
      <c r="P41" s="292" t="str">
        <f t="shared" si="10"/>
        <v/>
      </c>
      <c r="Q41" s="669" t="str">
        <f>IF(O41="","",HLOOKUP(O41,名簿!$AH$3:$CF$118,36,FALSE))</f>
        <v/>
      </c>
      <c r="R41" s="1344" t="str">
        <f t="shared" si="5"/>
        <v/>
      </c>
      <c r="S41" s="1282" t="str">
        <f t="shared" si="6"/>
        <v/>
      </c>
      <c r="T41" s="368"/>
      <c r="U41" s="292" t="str">
        <f t="shared" si="11"/>
        <v/>
      </c>
      <c r="V41" s="669" t="str">
        <f>IF(T41="","",HLOOKUP(T41,名簿!$AW$3:$CW$118,36,FALSE))</f>
        <v/>
      </c>
      <c r="W41" s="769" t="str">
        <f t="shared" si="7"/>
        <v/>
      </c>
      <c r="X41" s="774" t="str">
        <f t="shared" si="8"/>
        <v/>
      </c>
      <c r="Y41" s="160"/>
      <c r="Z41" s="165"/>
      <c r="AA41" s="163"/>
      <c r="AB41" s="166"/>
      <c r="AC41" s="167"/>
      <c r="AD41" s="159"/>
      <c r="AE41" s="160"/>
      <c r="AF41" s="161"/>
      <c r="AG41" s="164"/>
      <c r="AH41" s="802"/>
      <c r="AI41" s="802"/>
      <c r="AK41" s="143"/>
      <c r="AL41" s="907" t="str">
        <f t="shared" si="2"/>
        <v/>
      </c>
      <c r="AM41" s="859">
        <f t="shared" si="3"/>
        <v>0</v>
      </c>
      <c r="AN41" s="859">
        <f t="shared" si="9"/>
        <v>0</v>
      </c>
      <c r="AP41" s="886"/>
      <c r="AQ41" s="886"/>
      <c r="AV41" s="143"/>
      <c r="AW41" s="143"/>
      <c r="AX41" s="886"/>
      <c r="AY41" s="886"/>
      <c r="AZ41" s="1349"/>
      <c r="BA41" s="1349"/>
      <c r="BB41" s="1349"/>
      <c r="BC41" s="1349"/>
      <c r="BD41" s="1349"/>
      <c r="BE41" s="918"/>
    </row>
    <row r="42" spans="1:57">
      <c r="A42" s="1338">
        <f t="shared" si="4"/>
        <v>0</v>
      </c>
      <c r="B42" s="162" t="str">
        <f>名簿!P39</f>
        <v/>
      </c>
      <c r="C42" s="162"/>
      <c r="D42" s="931"/>
      <c r="E42" s="182">
        <f>名簿!E39</f>
        <v>0</v>
      </c>
      <c r="F42" s="697" t="str">
        <f>名簿!CM39</f>
        <v/>
      </c>
      <c r="G42" s="162" t="str">
        <f>名簿!Z39</f>
        <v/>
      </c>
      <c r="H42" s="675" t="str">
        <f>名簿!CM39</f>
        <v/>
      </c>
      <c r="I42" s="187" t="str">
        <f>名簿!Y39</f>
        <v/>
      </c>
      <c r="J42" s="190" t="str">
        <f>名簿!CN39</f>
        <v/>
      </c>
      <c r="K42" s="1040">
        <f>名簿!CP39</f>
        <v>0</v>
      </c>
      <c r="L42" s="750" t="str">
        <f>名簿!CU39</f>
        <v>00</v>
      </c>
      <c r="M42" s="162" t="str">
        <f>名簿!Q39</f>
        <v/>
      </c>
      <c r="N42" s="1341">
        <f>名簿!D39</f>
        <v>0</v>
      </c>
      <c r="O42" s="338"/>
      <c r="P42" s="292" t="str">
        <f t="shared" si="10"/>
        <v/>
      </c>
      <c r="Q42" s="669" t="str">
        <f>IF(O42="","",HLOOKUP(O42,名簿!$AH$3:$CF$118,37,FALSE))</f>
        <v/>
      </c>
      <c r="R42" s="1344" t="str">
        <f t="shared" si="5"/>
        <v/>
      </c>
      <c r="S42" s="1282" t="str">
        <f t="shared" si="6"/>
        <v/>
      </c>
      <c r="T42" s="368"/>
      <c r="U42" s="292" t="str">
        <f t="shared" si="11"/>
        <v/>
      </c>
      <c r="V42" s="669" t="str">
        <f>IF(T42="","",HLOOKUP(T42,名簿!$AW$3:$CW$118,37,FALSE))</f>
        <v/>
      </c>
      <c r="W42" s="769" t="str">
        <f t="shared" si="7"/>
        <v/>
      </c>
      <c r="X42" s="774" t="str">
        <f t="shared" si="8"/>
        <v/>
      </c>
      <c r="Y42" s="160"/>
      <c r="Z42" s="165"/>
      <c r="AA42" s="163"/>
      <c r="AB42" s="166"/>
      <c r="AC42" s="167"/>
      <c r="AD42" s="159"/>
      <c r="AE42" s="160"/>
      <c r="AF42" s="161"/>
      <c r="AG42" s="164"/>
      <c r="AH42" s="802"/>
      <c r="AI42" s="802"/>
      <c r="AK42" s="143"/>
      <c r="AL42" s="907" t="str">
        <f t="shared" si="2"/>
        <v/>
      </c>
      <c r="AM42" s="859">
        <f t="shared" si="3"/>
        <v>0</v>
      </c>
      <c r="AN42" s="859">
        <f t="shared" si="9"/>
        <v>0</v>
      </c>
      <c r="AP42" s="886"/>
      <c r="AQ42" s="886"/>
      <c r="AV42" s="143"/>
      <c r="AW42" s="143"/>
      <c r="AX42" s="886"/>
      <c r="AY42" s="886"/>
      <c r="AZ42" s="1349"/>
      <c r="BA42" s="1349"/>
      <c r="BB42" s="1349"/>
      <c r="BC42" s="1349"/>
      <c r="BD42" s="1349"/>
      <c r="BE42" s="918"/>
    </row>
    <row r="43" spans="1:57">
      <c r="A43" s="1338">
        <f t="shared" si="4"/>
        <v>0</v>
      </c>
      <c r="B43" s="162" t="str">
        <f>名簿!P40</f>
        <v/>
      </c>
      <c r="C43" s="162"/>
      <c r="D43" s="931"/>
      <c r="E43" s="182">
        <f>名簿!E40</f>
        <v>0</v>
      </c>
      <c r="F43" s="697" t="str">
        <f>名簿!CM40</f>
        <v/>
      </c>
      <c r="G43" s="162" t="str">
        <f>名簿!Z40</f>
        <v/>
      </c>
      <c r="H43" s="675" t="str">
        <f>名簿!CM40</f>
        <v/>
      </c>
      <c r="I43" s="187" t="str">
        <f>名簿!Y40</f>
        <v/>
      </c>
      <c r="J43" s="190" t="str">
        <f>名簿!CN40</f>
        <v/>
      </c>
      <c r="K43" s="1040">
        <f>名簿!CP40</f>
        <v>0</v>
      </c>
      <c r="L43" s="750" t="str">
        <f>名簿!CU40</f>
        <v>00</v>
      </c>
      <c r="M43" s="162" t="str">
        <f>名簿!Q40</f>
        <v/>
      </c>
      <c r="N43" s="1341">
        <f>名簿!D40</f>
        <v>0</v>
      </c>
      <c r="O43" s="338"/>
      <c r="P43" s="292" t="str">
        <f t="shared" si="10"/>
        <v/>
      </c>
      <c r="Q43" s="669" t="str">
        <f>IF(O43="","",HLOOKUP(O43,名簿!$AH$3:$CF$118,38,FALSE))</f>
        <v/>
      </c>
      <c r="R43" s="1344" t="str">
        <f t="shared" si="5"/>
        <v/>
      </c>
      <c r="S43" s="1282" t="str">
        <f t="shared" si="6"/>
        <v/>
      </c>
      <c r="T43" s="368"/>
      <c r="U43" s="292" t="str">
        <f t="shared" si="11"/>
        <v/>
      </c>
      <c r="V43" s="669" t="str">
        <f>IF(T43="","",HLOOKUP(T43,名簿!$AW$3:$CW$118,38,FALSE))</f>
        <v/>
      </c>
      <c r="W43" s="769" t="str">
        <f t="shared" si="7"/>
        <v/>
      </c>
      <c r="X43" s="774" t="str">
        <f t="shared" si="8"/>
        <v/>
      </c>
      <c r="Y43" s="160"/>
      <c r="Z43" s="165"/>
      <c r="AA43" s="163"/>
      <c r="AB43" s="166"/>
      <c r="AC43" s="167"/>
      <c r="AD43" s="159"/>
      <c r="AE43" s="160"/>
      <c r="AF43" s="161"/>
      <c r="AG43" s="164"/>
      <c r="AH43" s="802"/>
      <c r="AI43" s="802"/>
      <c r="AK43" s="143"/>
      <c r="AL43" s="907" t="str">
        <f t="shared" si="2"/>
        <v/>
      </c>
      <c r="AM43" s="859">
        <f t="shared" si="3"/>
        <v>0</v>
      </c>
      <c r="AN43" s="859">
        <f t="shared" si="9"/>
        <v>0</v>
      </c>
      <c r="AP43" s="886"/>
      <c r="AQ43" s="886"/>
      <c r="AV43" s="143"/>
      <c r="AW43" s="143"/>
      <c r="AX43" s="886"/>
      <c r="AY43" s="886"/>
      <c r="AZ43" s="1349"/>
      <c r="BA43" s="1349"/>
      <c r="BB43" s="1349"/>
      <c r="BC43" s="1349"/>
      <c r="BD43" s="1349"/>
      <c r="BE43" s="918"/>
    </row>
    <row r="44" spans="1:57">
      <c r="A44" s="1338">
        <f t="shared" si="4"/>
        <v>0</v>
      </c>
      <c r="B44" s="162" t="str">
        <f>名簿!P41</f>
        <v/>
      </c>
      <c r="C44" s="162"/>
      <c r="D44" s="931"/>
      <c r="E44" s="182">
        <f>名簿!E41</f>
        <v>0</v>
      </c>
      <c r="F44" s="697" t="str">
        <f>名簿!CM41</f>
        <v/>
      </c>
      <c r="G44" s="162" t="str">
        <f>名簿!Z41</f>
        <v/>
      </c>
      <c r="H44" s="675" t="str">
        <f>名簿!CM41</f>
        <v/>
      </c>
      <c r="I44" s="187" t="str">
        <f>名簿!Y41</f>
        <v/>
      </c>
      <c r="J44" s="190" t="str">
        <f>名簿!CN41</f>
        <v/>
      </c>
      <c r="K44" s="1040">
        <f>名簿!CP41</f>
        <v>0</v>
      </c>
      <c r="L44" s="750" t="str">
        <f>名簿!CU41</f>
        <v>00</v>
      </c>
      <c r="M44" s="162" t="str">
        <f>名簿!Q41</f>
        <v/>
      </c>
      <c r="N44" s="1341">
        <f>名簿!D41</f>
        <v>0</v>
      </c>
      <c r="O44" s="338"/>
      <c r="P44" s="292" t="str">
        <f t="shared" si="10"/>
        <v/>
      </c>
      <c r="Q44" s="669" t="str">
        <f>IF(O44="","",HLOOKUP(O44,名簿!$AH$3:$CF$118,39,FALSE))</f>
        <v/>
      </c>
      <c r="R44" s="1344" t="str">
        <f t="shared" si="5"/>
        <v/>
      </c>
      <c r="S44" s="1282" t="str">
        <f t="shared" si="6"/>
        <v/>
      </c>
      <c r="T44" s="368"/>
      <c r="U44" s="292" t="str">
        <f t="shared" si="11"/>
        <v/>
      </c>
      <c r="V44" s="669" t="str">
        <f>IF(T44="","",HLOOKUP(T44,名簿!$AW$3:$CW$118,39,FALSE))</f>
        <v/>
      </c>
      <c r="W44" s="769" t="str">
        <f t="shared" si="7"/>
        <v/>
      </c>
      <c r="X44" s="774" t="str">
        <f t="shared" si="8"/>
        <v/>
      </c>
      <c r="Y44" s="160"/>
      <c r="Z44" s="165"/>
      <c r="AA44" s="163"/>
      <c r="AB44" s="166"/>
      <c r="AC44" s="167"/>
      <c r="AD44" s="159"/>
      <c r="AE44" s="160"/>
      <c r="AF44" s="161"/>
      <c r="AG44" s="164"/>
      <c r="AH44" s="802"/>
      <c r="AI44" s="802"/>
      <c r="AK44" s="143"/>
      <c r="AL44" s="907" t="str">
        <f t="shared" si="2"/>
        <v/>
      </c>
      <c r="AM44" s="859">
        <f t="shared" si="3"/>
        <v>0</v>
      </c>
      <c r="AN44" s="859">
        <f t="shared" si="9"/>
        <v>0</v>
      </c>
      <c r="AP44" s="886"/>
      <c r="AQ44" s="886"/>
      <c r="AV44" s="143"/>
      <c r="AW44" s="143"/>
      <c r="AX44" s="886"/>
      <c r="AY44" s="886"/>
      <c r="AZ44" s="1349"/>
      <c r="BA44" s="1349"/>
      <c r="BB44" s="1349"/>
      <c r="BC44" s="1349"/>
      <c r="BD44" s="1349"/>
      <c r="BE44" s="918"/>
    </row>
    <row r="45" spans="1:57">
      <c r="A45" s="1338">
        <f t="shared" si="4"/>
        <v>0</v>
      </c>
      <c r="B45" s="162" t="str">
        <f>名簿!P42</f>
        <v/>
      </c>
      <c r="C45" s="162"/>
      <c r="D45" s="931"/>
      <c r="E45" s="182">
        <f>名簿!E42</f>
        <v>0</v>
      </c>
      <c r="F45" s="697" t="str">
        <f>名簿!CM42</f>
        <v/>
      </c>
      <c r="G45" s="162" t="str">
        <f>名簿!Z42</f>
        <v/>
      </c>
      <c r="H45" s="675" t="str">
        <f>名簿!CM42</f>
        <v/>
      </c>
      <c r="I45" s="187" t="str">
        <f>名簿!Y42</f>
        <v/>
      </c>
      <c r="J45" s="190" t="str">
        <f>名簿!CN42</f>
        <v/>
      </c>
      <c r="K45" s="1040">
        <f>名簿!CP42</f>
        <v>0</v>
      </c>
      <c r="L45" s="750" t="str">
        <f>名簿!CU42</f>
        <v>00</v>
      </c>
      <c r="M45" s="162" t="str">
        <f>名簿!Q42</f>
        <v/>
      </c>
      <c r="N45" s="1341">
        <f>名簿!D42</f>
        <v>0</v>
      </c>
      <c r="O45" s="338"/>
      <c r="P45" s="292" t="str">
        <f t="shared" si="10"/>
        <v/>
      </c>
      <c r="Q45" s="669" t="str">
        <f>IF(O45="","",HLOOKUP(O45,名簿!$AH$3:$CF$118,40,FALSE))</f>
        <v/>
      </c>
      <c r="R45" s="1344" t="str">
        <f t="shared" si="5"/>
        <v/>
      </c>
      <c r="S45" s="1282" t="str">
        <f t="shared" si="6"/>
        <v/>
      </c>
      <c r="T45" s="368"/>
      <c r="U45" s="292" t="str">
        <f t="shared" si="11"/>
        <v/>
      </c>
      <c r="V45" s="669" t="str">
        <f>IF(T45="","",HLOOKUP(T45,名簿!$AW$3:$CW$118,40,FALSE))</f>
        <v/>
      </c>
      <c r="W45" s="769" t="str">
        <f t="shared" si="7"/>
        <v/>
      </c>
      <c r="X45" s="774" t="str">
        <f t="shared" si="8"/>
        <v/>
      </c>
      <c r="Y45" s="160"/>
      <c r="Z45" s="165"/>
      <c r="AA45" s="163"/>
      <c r="AB45" s="166"/>
      <c r="AC45" s="167"/>
      <c r="AD45" s="159"/>
      <c r="AE45" s="160"/>
      <c r="AF45" s="161"/>
      <c r="AG45" s="164"/>
      <c r="AH45" s="802"/>
      <c r="AI45" s="802"/>
      <c r="AK45" s="143"/>
      <c r="AL45" s="907" t="str">
        <f t="shared" si="2"/>
        <v/>
      </c>
      <c r="AM45" s="859">
        <f t="shared" si="3"/>
        <v>0</v>
      </c>
      <c r="AN45" s="859">
        <f t="shared" si="9"/>
        <v>0</v>
      </c>
      <c r="AP45" s="886"/>
      <c r="AQ45" s="886"/>
      <c r="AV45" s="143"/>
      <c r="AW45" s="143"/>
      <c r="AX45" s="886"/>
      <c r="AY45" s="886"/>
      <c r="AZ45" s="1349"/>
      <c r="BA45" s="1349"/>
      <c r="BB45" s="1349"/>
      <c r="BC45" s="1349"/>
      <c r="BD45" s="1349"/>
      <c r="BE45" s="918"/>
    </row>
    <row r="46" spans="1:57">
      <c r="A46" s="1338">
        <f t="shared" si="4"/>
        <v>0</v>
      </c>
      <c r="B46" s="162" t="str">
        <f>名簿!P43</f>
        <v/>
      </c>
      <c r="C46" s="162"/>
      <c r="D46" s="931"/>
      <c r="E46" s="182">
        <f>名簿!E43</f>
        <v>0</v>
      </c>
      <c r="F46" s="697" t="str">
        <f>名簿!CM43</f>
        <v/>
      </c>
      <c r="G46" s="162" t="str">
        <f>名簿!Z43</f>
        <v/>
      </c>
      <c r="H46" s="675" t="str">
        <f>名簿!CM43</f>
        <v/>
      </c>
      <c r="I46" s="187" t="str">
        <f>名簿!Y43</f>
        <v/>
      </c>
      <c r="J46" s="190" t="str">
        <f>名簿!CN43</f>
        <v/>
      </c>
      <c r="K46" s="1040">
        <f>名簿!CP43</f>
        <v>0</v>
      </c>
      <c r="L46" s="750" t="str">
        <f>名簿!CU43</f>
        <v>00</v>
      </c>
      <c r="M46" s="162" t="str">
        <f>名簿!Q43</f>
        <v/>
      </c>
      <c r="N46" s="1341">
        <f>名簿!D43</f>
        <v>0</v>
      </c>
      <c r="O46" s="338"/>
      <c r="P46" s="292" t="str">
        <f t="shared" si="10"/>
        <v/>
      </c>
      <c r="Q46" s="669" t="str">
        <f>IF(O46="","",HLOOKUP(O46,名簿!$AH$3:$CF$118,41,FALSE))</f>
        <v/>
      </c>
      <c r="R46" s="1344" t="str">
        <f t="shared" si="5"/>
        <v/>
      </c>
      <c r="S46" s="1282" t="str">
        <f t="shared" si="6"/>
        <v/>
      </c>
      <c r="T46" s="368"/>
      <c r="U46" s="292" t="str">
        <f t="shared" si="11"/>
        <v/>
      </c>
      <c r="V46" s="669" t="str">
        <f>IF(T46="","",HLOOKUP(T46,名簿!$AW$3:$CW$118,41,FALSE))</f>
        <v/>
      </c>
      <c r="W46" s="769" t="str">
        <f t="shared" si="7"/>
        <v/>
      </c>
      <c r="X46" s="774" t="str">
        <f t="shared" si="8"/>
        <v/>
      </c>
      <c r="Y46" s="160"/>
      <c r="Z46" s="165"/>
      <c r="AA46" s="163"/>
      <c r="AB46" s="166"/>
      <c r="AC46" s="167"/>
      <c r="AD46" s="159"/>
      <c r="AE46" s="160"/>
      <c r="AF46" s="161"/>
      <c r="AG46" s="164"/>
      <c r="AH46" s="802"/>
      <c r="AI46" s="802"/>
      <c r="AK46" s="143"/>
      <c r="AL46" s="907" t="str">
        <f t="shared" si="2"/>
        <v/>
      </c>
      <c r="AM46" s="859">
        <f t="shared" si="3"/>
        <v>0</v>
      </c>
      <c r="AN46" s="859">
        <f t="shared" si="9"/>
        <v>0</v>
      </c>
      <c r="AP46" s="886"/>
      <c r="AQ46" s="886"/>
      <c r="AV46" s="143"/>
      <c r="AW46" s="143"/>
      <c r="AX46" s="886"/>
      <c r="AY46" s="886"/>
      <c r="AZ46" s="1349"/>
      <c r="BA46" s="1349"/>
      <c r="BB46" s="1349"/>
      <c r="BC46" s="1349"/>
      <c r="BD46" s="1349"/>
      <c r="BE46" s="918"/>
    </row>
    <row r="47" spans="1:57">
      <c r="A47" s="1338">
        <f t="shared" si="4"/>
        <v>0</v>
      </c>
      <c r="B47" s="162" t="str">
        <f>名簿!P44</f>
        <v/>
      </c>
      <c r="C47" s="162"/>
      <c r="D47" s="931"/>
      <c r="E47" s="182">
        <f>名簿!E44</f>
        <v>0</v>
      </c>
      <c r="F47" s="697" t="str">
        <f>名簿!CM44</f>
        <v/>
      </c>
      <c r="G47" s="162" t="str">
        <f>名簿!Z44</f>
        <v/>
      </c>
      <c r="H47" s="675" t="str">
        <f>名簿!CM44</f>
        <v/>
      </c>
      <c r="I47" s="187" t="str">
        <f>名簿!Y44</f>
        <v/>
      </c>
      <c r="J47" s="190" t="str">
        <f>名簿!CN44</f>
        <v/>
      </c>
      <c r="K47" s="1040">
        <f>名簿!CP44</f>
        <v>0</v>
      </c>
      <c r="L47" s="750" t="str">
        <f>名簿!CU44</f>
        <v>00</v>
      </c>
      <c r="M47" s="162" t="str">
        <f>名簿!Q44</f>
        <v/>
      </c>
      <c r="N47" s="1341">
        <f>名簿!D44</f>
        <v>0</v>
      </c>
      <c r="O47" s="338"/>
      <c r="P47" s="292" t="str">
        <f t="shared" si="10"/>
        <v/>
      </c>
      <c r="Q47" s="669" t="str">
        <f>IF(O47="","",HLOOKUP(O47,名簿!$AH$3:$CF$118,42,FALSE))</f>
        <v/>
      </c>
      <c r="R47" s="1344" t="str">
        <f t="shared" si="5"/>
        <v/>
      </c>
      <c r="S47" s="1282" t="str">
        <f t="shared" si="6"/>
        <v/>
      </c>
      <c r="T47" s="368"/>
      <c r="U47" s="292" t="str">
        <f t="shared" si="11"/>
        <v/>
      </c>
      <c r="V47" s="669" t="str">
        <f>IF(T47="","",HLOOKUP(T47,名簿!$AW$3:$CW$118,42,FALSE))</f>
        <v/>
      </c>
      <c r="W47" s="769" t="str">
        <f t="shared" si="7"/>
        <v/>
      </c>
      <c r="X47" s="774" t="str">
        <f t="shared" si="8"/>
        <v/>
      </c>
      <c r="Y47" s="160"/>
      <c r="Z47" s="165"/>
      <c r="AA47" s="163"/>
      <c r="AB47" s="166"/>
      <c r="AC47" s="167"/>
      <c r="AD47" s="159"/>
      <c r="AE47" s="160"/>
      <c r="AF47" s="161"/>
      <c r="AG47" s="164"/>
      <c r="AH47" s="802"/>
      <c r="AI47" s="802"/>
      <c r="AK47" s="143"/>
      <c r="AL47" s="907" t="str">
        <f t="shared" si="2"/>
        <v/>
      </c>
      <c r="AM47" s="859">
        <f t="shared" si="3"/>
        <v>0</v>
      </c>
      <c r="AN47" s="859">
        <f t="shared" si="9"/>
        <v>0</v>
      </c>
      <c r="AP47" s="886"/>
      <c r="AQ47" s="886"/>
      <c r="AV47" s="143"/>
      <c r="AW47" s="143"/>
      <c r="AX47" s="886"/>
      <c r="AY47" s="886"/>
      <c r="AZ47" s="1349"/>
      <c r="BA47" s="1349"/>
      <c r="BB47" s="1349"/>
      <c r="BC47" s="1349"/>
      <c r="BD47" s="1349"/>
      <c r="BE47" s="918"/>
    </row>
    <row r="48" spans="1:57">
      <c r="A48" s="1338">
        <f t="shared" si="4"/>
        <v>0</v>
      </c>
      <c r="B48" s="162" t="str">
        <f>名簿!P45</f>
        <v/>
      </c>
      <c r="C48" s="162"/>
      <c r="D48" s="931"/>
      <c r="E48" s="182">
        <f>名簿!E45</f>
        <v>0</v>
      </c>
      <c r="F48" s="697" t="str">
        <f>名簿!CM45</f>
        <v/>
      </c>
      <c r="G48" s="162" t="str">
        <f>名簿!Z45</f>
        <v/>
      </c>
      <c r="H48" s="675" t="str">
        <f>名簿!CM45</f>
        <v/>
      </c>
      <c r="I48" s="187" t="str">
        <f>名簿!Y45</f>
        <v/>
      </c>
      <c r="J48" s="190" t="str">
        <f>名簿!CN45</f>
        <v/>
      </c>
      <c r="K48" s="1040">
        <f>名簿!CP45</f>
        <v>0</v>
      </c>
      <c r="L48" s="750" t="str">
        <f>名簿!CU45</f>
        <v>00</v>
      </c>
      <c r="M48" s="162" t="str">
        <f>名簿!Q45</f>
        <v/>
      </c>
      <c r="N48" s="1341">
        <f>名簿!D45</f>
        <v>0</v>
      </c>
      <c r="O48" s="338"/>
      <c r="P48" s="292" t="str">
        <f t="shared" si="10"/>
        <v/>
      </c>
      <c r="Q48" s="669" t="str">
        <f>IF(O48="","",HLOOKUP(O48,名簿!$AH$3:$CF$118,43,FALSE))</f>
        <v/>
      </c>
      <c r="R48" s="1344" t="str">
        <f t="shared" si="5"/>
        <v/>
      </c>
      <c r="S48" s="1282" t="str">
        <f t="shared" si="6"/>
        <v/>
      </c>
      <c r="T48" s="368"/>
      <c r="U48" s="292" t="str">
        <f t="shared" si="11"/>
        <v/>
      </c>
      <c r="V48" s="669" t="str">
        <f>IF(T48="","",HLOOKUP(T48,名簿!$AW$3:$CW$118,43,FALSE))</f>
        <v/>
      </c>
      <c r="W48" s="769" t="str">
        <f t="shared" si="7"/>
        <v/>
      </c>
      <c r="X48" s="774" t="str">
        <f t="shared" si="8"/>
        <v/>
      </c>
      <c r="Y48" s="160"/>
      <c r="Z48" s="165"/>
      <c r="AA48" s="163"/>
      <c r="AB48" s="166"/>
      <c r="AC48" s="167"/>
      <c r="AD48" s="159"/>
      <c r="AE48" s="160"/>
      <c r="AF48" s="161"/>
      <c r="AG48" s="164"/>
      <c r="AH48" s="802"/>
      <c r="AI48" s="802"/>
      <c r="AK48" s="143"/>
      <c r="AL48" s="907" t="str">
        <f t="shared" si="2"/>
        <v/>
      </c>
      <c r="AM48" s="859">
        <f t="shared" si="3"/>
        <v>0</v>
      </c>
      <c r="AN48" s="859">
        <f t="shared" si="9"/>
        <v>0</v>
      </c>
      <c r="AP48" s="886"/>
      <c r="AQ48" s="886"/>
      <c r="AV48" s="143"/>
      <c r="AW48" s="143"/>
      <c r="AX48" s="886"/>
      <c r="AY48" s="886"/>
      <c r="AZ48" s="1349"/>
      <c r="BA48" s="1349"/>
      <c r="BB48" s="1349"/>
      <c r="BC48" s="1349"/>
      <c r="BD48" s="1349"/>
      <c r="BE48" s="918"/>
    </row>
    <row r="49" spans="1:57">
      <c r="A49" s="1338">
        <f t="shared" si="4"/>
        <v>0</v>
      </c>
      <c r="B49" s="162" t="str">
        <f>名簿!P46</f>
        <v/>
      </c>
      <c r="C49" s="162"/>
      <c r="D49" s="931"/>
      <c r="E49" s="182">
        <f>名簿!E46</f>
        <v>0</v>
      </c>
      <c r="F49" s="697" t="str">
        <f>名簿!CM46</f>
        <v/>
      </c>
      <c r="G49" s="162" t="str">
        <f>名簿!Z46</f>
        <v/>
      </c>
      <c r="H49" s="675" t="str">
        <f>名簿!CM46</f>
        <v/>
      </c>
      <c r="I49" s="187" t="str">
        <f>名簿!Y46</f>
        <v/>
      </c>
      <c r="J49" s="190" t="str">
        <f>名簿!CN46</f>
        <v/>
      </c>
      <c r="K49" s="1040">
        <f>名簿!CP46</f>
        <v>0</v>
      </c>
      <c r="L49" s="750" t="str">
        <f>名簿!CU46</f>
        <v>00</v>
      </c>
      <c r="M49" s="162" t="str">
        <f>名簿!Q46</f>
        <v/>
      </c>
      <c r="N49" s="1341">
        <f>名簿!D46</f>
        <v>0</v>
      </c>
      <c r="O49" s="338"/>
      <c r="P49" s="292" t="str">
        <f t="shared" si="10"/>
        <v/>
      </c>
      <c r="Q49" s="669" t="str">
        <f>IF(O49="","",HLOOKUP(O49,名簿!$AH$3:$CF$118,44,FALSE))</f>
        <v/>
      </c>
      <c r="R49" s="1344" t="str">
        <f t="shared" si="5"/>
        <v/>
      </c>
      <c r="S49" s="1282" t="str">
        <f t="shared" si="6"/>
        <v/>
      </c>
      <c r="T49" s="368"/>
      <c r="U49" s="292" t="str">
        <f t="shared" si="11"/>
        <v/>
      </c>
      <c r="V49" s="669" t="str">
        <f>IF(T49="","",HLOOKUP(T49,名簿!$AW$3:$CW$118,44,FALSE))</f>
        <v/>
      </c>
      <c r="W49" s="769" t="str">
        <f t="shared" si="7"/>
        <v/>
      </c>
      <c r="X49" s="774" t="str">
        <f t="shared" si="8"/>
        <v/>
      </c>
      <c r="Y49" s="160"/>
      <c r="Z49" s="165"/>
      <c r="AA49" s="163"/>
      <c r="AB49" s="166"/>
      <c r="AC49" s="167"/>
      <c r="AD49" s="159"/>
      <c r="AE49" s="160"/>
      <c r="AF49" s="161"/>
      <c r="AG49" s="164"/>
      <c r="AH49" s="802"/>
      <c r="AI49" s="802"/>
      <c r="AK49" s="143"/>
      <c r="AL49" s="907" t="str">
        <f t="shared" si="2"/>
        <v/>
      </c>
      <c r="AM49" s="859">
        <f t="shared" si="3"/>
        <v>0</v>
      </c>
      <c r="AN49" s="859">
        <f t="shared" si="9"/>
        <v>0</v>
      </c>
      <c r="AP49" s="886"/>
      <c r="AQ49" s="886"/>
      <c r="AV49" s="143"/>
      <c r="AW49" s="143"/>
      <c r="AX49" s="886"/>
      <c r="AY49" s="886"/>
      <c r="AZ49" s="1349"/>
      <c r="BA49" s="1349"/>
      <c r="BB49" s="1349"/>
      <c r="BC49" s="1349"/>
      <c r="BD49" s="1349"/>
      <c r="BE49" s="918"/>
    </row>
    <row r="50" spans="1:57">
      <c r="A50" s="1338">
        <f t="shared" si="4"/>
        <v>0</v>
      </c>
      <c r="B50" s="162" t="str">
        <f>名簿!P47</f>
        <v/>
      </c>
      <c r="C50" s="162"/>
      <c r="D50" s="931"/>
      <c r="E50" s="182">
        <f>名簿!E47</f>
        <v>0</v>
      </c>
      <c r="F50" s="697" t="str">
        <f>名簿!CM47</f>
        <v/>
      </c>
      <c r="G50" s="162" t="str">
        <f>名簿!Z47</f>
        <v/>
      </c>
      <c r="H50" s="675" t="str">
        <f>名簿!CM47</f>
        <v/>
      </c>
      <c r="I50" s="187" t="str">
        <f>名簿!Y47</f>
        <v/>
      </c>
      <c r="J50" s="190" t="str">
        <f>名簿!CN47</f>
        <v/>
      </c>
      <c r="K50" s="1040">
        <f>名簿!CP47</f>
        <v>0</v>
      </c>
      <c r="L50" s="750" t="str">
        <f>名簿!CU47</f>
        <v>00</v>
      </c>
      <c r="M50" s="162" t="str">
        <f>名簿!Q47</f>
        <v/>
      </c>
      <c r="N50" s="1341">
        <f>名簿!D47</f>
        <v>0</v>
      </c>
      <c r="O50" s="338"/>
      <c r="P50" s="292" t="str">
        <f t="shared" si="10"/>
        <v/>
      </c>
      <c r="Q50" s="669" t="str">
        <f>IF(O50="","",HLOOKUP(O50,名簿!$AH$3:$CF$118,45,FALSE))</f>
        <v/>
      </c>
      <c r="R50" s="1344" t="str">
        <f t="shared" si="5"/>
        <v/>
      </c>
      <c r="S50" s="1282" t="str">
        <f t="shared" si="6"/>
        <v/>
      </c>
      <c r="T50" s="368"/>
      <c r="U50" s="292" t="str">
        <f t="shared" si="11"/>
        <v/>
      </c>
      <c r="V50" s="669" t="str">
        <f>IF(T50="","",HLOOKUP(T50,名簿!$AW$3:$CW$118,45,FALSE))</f>
        <v/>
      </c>
      <c r="W50" s="769" t="str">
        <f t="shared" si="7"/>
        <v/>
      </c>
      <c r="X50" s="774" t="str">
        <f t="shared" si="8"/>
        <v/>
      </c>
      <c r="Y50" s="160"/>
      <c r="Z50" s="165"/>
      <c r="AA50" s="163"/>
      <c r="AB50" s="166"/>
      <c r="AC50" s="167"/>
      <c r="AD50" s="159"/>
      <c r="AE50" s="160"/>
      <c r="AF50" s="161"/>
      <c r="AG50" s="164"/>
      <c r="AH50" s="802"/>
      <c r="AI50" s="802"/>
      <c r="AK50" s="143"/>
      <c r="AL50" s="907" t="str">
        <f t="shared" si="2"/>
        <v/>
      </c>
      <c r="AM50" s="859">
        <f t="shared" si="3"/>
        <v>0</v>
      </c>
      <c r="AN50" s="859">
        <f t="shared" si="9"/>
        <v>0</v>
      </c>
      <c r="AP50" s="886"/>
      <c r="AQ50" s="886"/>
      <c r="AV50" s="143"/>
      <c r="AW50" s="143"/>
      <c r="AX50" s="886"/>
      <c r="AY50" s="886"/>
      <c r="AZ50" s="1349"/>
      <c r="BA50" s="1349"/>
      <c r="BB50" s="1349"/>
      <c r="BC50" s="1349"/>
      <c r="BD50" s="1349"/>
      <c r="BE50" s="918"/>
    </row>
    <row r="51" spans="1:57">
      <c r="A51" s="1338">
        <f t="shared" si="4"/>
        <v>0</v>
      </c>
      <c r="B51" s="162" t="str">
        <f>名簿!P48</f>
        <v/>
      </c>
      <c r="C51" s="162"/>
      <c r="D51" s="931"/>
      <c r="E51" s="182">
        <f>名簿!E48</f>
        <v>0</v>
      </c>
      <c r="F51" s="697" t="str">
        <f>名簿!CM48</f>
        <v/>
      </c>
      <c r="G51" s="162" t="str">
        <f>名簿!Z48</f>
        <v/>
      </c>
      <c r="H51" s="675" t="str">
        <f>名簿!CM48</f>
        <v/>
      </c>
      <c r="I51" s="187" t="str">
        <f>名簿!Y48</f>
        <v/>
      </c>
      <c r="J51" s="190" t="str">
        <f>名簿!CN48</f>
        <v/>
      </c>
      <c r="K51" s="1040">
        <f>名簿!CP48</f>
        <v>0</v>
      </c>
      <c r="L51" s="750" t="str">
        <f>名簿!CU48</f>
        <v>00</v>
      </c>
      <c r="M51" s="162" t="str">
        <f>名簿!Q48</f>
        <v/>
      </c>
      <c r="N51" s="1341">
        <f>名簿!D48</f>
        <v>0</v>
      </c>
      <c r="O51" s="338"/>
      <c r="P51" s="292" t="str">
        <f t="shared" si="10"/>
        <v/>
      </c>
      <c r="Q51" s="669" t="str">
        <f>IF(O51="","",HLOOKUP(O51,名簿!$AH$3:$CF$118,46,FALSE))</f>
        <v/>
      </c>
      <c r="R51" s="1344" t="str">
        <f t="shared" si="5"/>
        <v/>
      </c>
      <c r="S51" s="1282" t="str">
        <f t="shared" si="6"/>
        <v/>
      </c>
      <c r="T51" s="368"/>
      <c r="U51" s="292" t="str">
        <f t="shared" si="11"/>
        <v/>
      </c>
      <c r="V51" s="669" t="str">
        <f>IF(T51="","",HLOOKUP(T51,名簿!$AW$3:$CW$118,46,FALSE))</f>
        <v/>
      </c>
      <c r="W51" s="769" t="str">
        <f t="shared" si="7"/>
        <v/>
      </c>
      <c r="X51" s="774" t="str">
        <f t="shared" si="8"/>
        <v/>
      </c>
      <c r="Y51" s="160"/>
      <c r="Z51" s="165"/>
      <c r="AA51" s="163"/>
      <c r="AB51" s="166"/>
      <c r="AC51" s="167"/>
      <c r="AD51" s="159"/>
      <c r="AE51" s="160"/>
      <c r="AF51" s="161"/>
      <c r="AG51" s="164"/>
      <c r="AH51" s="802"/>
      <c r="AI51" s="802"/>
      <c r="AK51" s="143"/>
      <c r="AL51" s="907" t="str">
        <f t="shared" si="2"/>
        <v/>
      </c>
      <c r="AM51" s="859">
        <f t="shared" si="3"/>
        <v>0</v>
      </c>
      <c r="AN51" s="859">
        <f t="shared" si="9"/>
        <v>0</v>
      </c>
      <c r="AP51" s="886"/>
      <c r="AQ51" s="886"/>
      <c r="AV51" s="143"/>
      <c r="AW51" s="143"/>
      <c r="AX51" s="886"/>
      <c r="AY51" s="886"/>
      <c r="AZ51" s="1349"/>
      <c r="BA51" s="1349"/>
      <c r="BB51" s="1349"/>
      <c r="BC51" s="1349"/>
      <c r="BD51" s="1349"/>
      <c r="BE51" s="918"/>
    </row>
    <row r="52" spans="1:57">
      <c r="A52" s="1338">
        <f t="shared" si="4"/>
        <v>0</v>
      </c>
      <c r="B52" s="162" t="str">
        <f>名簿!P49</f>
        <v/>
      </c>
      <c r="C52" s="162"/>
      <c r="D52" s="931"/>
      <c r="E52" s="182">
        <f>名簿!E49</f>
        <v>0</v>
      </c>
      <c r="F52" s="697" t="str">
        <f>名簿!CM49</f>
        <v/>
      </c>
      <c r="G52" s="162" t="str">
        <f>名簿!Z49</f>
        <v/>
      </c>
      <c r="H52" s="675" t="str">
        <f>名簿!CM49</f>
        <v/>
      </c>
      <c r="I52" s="187" t="str">
        <f>名簿!Y49</f>
        <v/>
      </c>
      <c r="J52" s="190" t="str">
        <f>名簿!CN49</f>
        <v/>
      </c>
      <c r="K52" s="1040">
        <f>名簿!CP49</f>
        <v>0</v>
      </c>
      <c r="L52" s="750" t="str">
        <f>名簿!CU49</f>
        <v>00</v>
      </c>
      <c r="M52" s="162" t="str">
        <f>名簿!Q49</f>
        <v/>
      </c>
      <c r="N52" s="1341">
        <f>名簿!D49</f>
        <v>0</v>
      </c>
      <c r="O52" s="338"/>
      <c r="P52" s="292" t="str">
        <f t="shared" si="10"/>
        <v/>
      </c>
      <c r="Q52" s="669" t="str">
        <f>IF(O52="","",HLOOKUP(O52,名簿!$AH$3:$CF$118,47,FALSE))</f>
        <v/>
      </c>
      <c r="R52" s="1344" t="str">
        <f t="shared" si="5"/>
        <v/>
      </c>
      <c r="S52" s="1282" t="str">
        <f t="shared" si="6"/>
        <v/>
      </c>
      <c r="T52" s="368"/>
      <c r="U52" s="292" t="str">
        <f t="shared" si="11"/>
        <v/>
      </c>
      <c r="V52" s="669" t="str">
        <f>IF(T52="","",HLOOKUP(T52,名簿!$AW$3:$CW$118,47,FALSE))</f>
        <v/>
      </c>
      <c r="W52" s="769" t="str">
        <f t="shared" si="7"/>
        <v/>
      </c>
      <c r="X52" s="774" t="str">
        <f t="shared" si="8"/>
        <v/>
      </c>
      <c r="Y52" s="160"/>
      <c r="Z52" s="165"/>
      <c r="AA52" s="163"/>
      <c r="AB52" s="166"/>
      <c r="AC52" s="167"/>
      <c r="AD52" s="159"/>
      <c r="AE52" s="160"/>
      <c r="AF52" s="161"/>
      <c r="AG52" s="164"/>
      <c r="AH52" s="802"/>
      <c r="AI52" s="802"/>
      <c r="AK52" s="143"/>
      <c r="AL52" s="907" t="str">
        <f t="shared" si="2"/>
        <v/>
      </c>
      <c r="AM52" s="859">
        <f t="shared" si="3"/>
        <v>0</v>
      </c>
      <c r="AN52" s="859">
        <f t="shared" si="9"/>
        <v>0</v>
      </c>
      <c r="AP52" s="886"/>
      <c r="AQ52" s="886"/>
      <c r="AV52" s="143"/>
      <c r="AW52" s="143"/>
      <c r="AX52" s="886"/>
      <c r="AY52" s="886"/>
      <c r="AZ52" s="1349"/>
      <c r="BA52" s="1349"/>
      <c r="BB52" s="1349"/>
      <c r="BC52" s="1349"/>
      <c r="BD52" s="1349"/>
      <c r="BE52" s="918"/>
    </row>
    <row r="53" spans="1:57">
      <c r="A53" s="1338">
        <f t="shared" si="4"/>
        <v>0</v>
      </c>
      <c r="B53" s="162" t="str">
        <f>名簿!P50</f>
        <v/>
      </c>
      <c r="C53" s="162"/>
      <c r="D53" s="931"/>
      <c r="E53" s="182">
        <f>名簿!E50</f>
        <v>0</v>
      </c>
      <c r="F53" s="697" t="str">
        <f>名簿!CM50</f>
        <v/>
      </c>
      <c r="G53" s="162" t="str">
        <f>名簿!Z50</f>
        <v/>
      </c>
      <c r="H53" s="675" t="str">
        <f>名簿!CM50</f>
        <v/>
      </c>
      <c r="I53" s="187" t="str">
        <f>名簿!Y50</f>
        <v/>
      </c>
      <c r="J53" s="190" t="str">
        <f>名簿!CN50</f>
        <v/>
      </c>
      <c r="K53" s="1040">
        <f>名簿!CP50</f>
        <v>0</v>
      </c>
      <c r="L53" s="750" t="str">
        <f>名簿!CU50</f>
        <v>00</v>
      </c>
      <c r="M53" s="162" t="str">
        <f>名簿!Q50</f>
        <v/>
      </c>
      <c r="N53" s="1341">
        <f>名簿!D50</f>
        <v>0</v>
      </c>
      <c r="O53" s="338"/>
      <c r="P53" s="292" t="str">
        <f t="shared" si="10"/>
        <v/>
      </c>
      <c r="Q53" s="669" t="str">
        <f>IF(O53="","",HLOOKUP(O53,名簿!$AH$3:$CF$118,48,FALSE))</f>
        <v/>
      </c>
      <c r="R53" s="1344" t="str">
        <f t="shared" si="5"/>
        <v/>
      </c>
      <c r="S53" s="1282" t="str">
        <f t="shared" si="6"/>
        <v/>
      </c>
      <c r="T53" s="368"/>
      <c r="U53" s="292" t="str">
        <f t="shared" si="11"/>
        <v/>
      </c>
      <c r="V53" s="669" t="str">
        <f>IF(T53="","",HLOOKUP(T53,名簿!$AW$3:$CW$118,48,FALSE))</f>
        <v/>
      </c>
      <c r="W53" s="769" t="str">
        <f t="shared" si="7"/>
        <v/>
      </c>
      <c r="X53" s="774" t="str">
        <f t="shared" si="8"/>
        <v/>
      </c>
      <c r="Y53" s="160"/>
      <c r="Z53" s="165"/>
      <c r="AA53" s="163"/>
      <c r="AB53" s="166"/>
      <c r="AC53" s="167"/>
      <c r="AD53" s="159"/>
      <c r="AE53" s="160"/>
      <c r="AF53" s="161"/>
      <c r="AG53" s="164"/>
      <c r="AH53" s="802"/>
      <c r="AI53" s="802"/>
      <c r="AK53" s="143"/>
      <c r="AL53" s="907" t="str">
        <f t="shared" si="2"/>
        <v/>
      </c>
      <c r="AM53" s="859">
        <f t="shared" si="3"/>
        <v>0</v>
      </c>
      <c r="AN53" s="859">
        <f t="shared" si="9"/>
        <v>0</v>
      </c>
      <c r="AP53" s="886"/>
      <c r="AQ53" s="886"/>
      <c r="AV53" s="143"/>
      <c r="AW53" s="143"/>
      <c r="AX53" s="886"/>
      <c r="AY53" s="886"/>
      <c r="AZ53" s="1349"/>
      <c r="BA53" s="1349"/>
      <c r="BB53" s="1349"/>
      <c r="BC53" s="1349"/>
      <c r="BD53" s="1349"/>
      <c r="BE53" s="918"/>
    </row>
    <row r="54" spans="1:57">
      <c r="A54" s="1338">
        <f t="shared" si="4"/>
        <v>0</v>
      </c>
      <c r="B54" s="162" t="str">
        <f>名簿!P51</f>
        <v/>
      </c>
      <c r="C54" s="162"/>
      <c r="D54" s="931"/>
      <c r="E54" s="182">
        <f>名簿!E51</f>
        <v>0</v>
      </c>
      <c r="F54" s="697" t="str">
        <f>名簿!CM51</f>
        <v/>
      </c>
      <c r="G54" s="162" t="str">
        <f>名簿!Z51</f>
        <v/>
      </c>
      <c r="H54" s="675" t="str">
        <f>名簿!CM51</f>
        <v/>
      </c>
      <c r="I54" s="187" t="str">
        <f>名簿!Y51</f>
        <v/>
      </c>
      <c r="J54" s="190" t="str">
        <f>名簿!CN51</f>
        <v/>
      </c>
      <c r="K54" s="1040">
        <f>名簿!CP51</f>
        <v>0</v>
      </c>
      <c r="L54" s="750" t="str">
        <f>名簿!CU51</f>
        <v>00</v>
      </c>
      <c r="M54" s="162" t="str">
        <f>名簿!Q51</f>
        <v/>
      </c>
      <c r="N54" s="1341">
        <f>名簿!D51</f>
        <v>0</v>
      </c>
      <c r="O54" s="338"/>
      <c r="P54" s="292" t="str">
        <f t="shared" si="10"/>
        <v/>
      </c>
      <c r="Q54" s="669" t="str">
        <f>IF(O54="","",HLOOKUP(O54,名簿!$AH$3:$CF$118,49,FALSE))</f>
        <v/>
      </c>
      <c r="R54" s="1344" t="str">
        <f t="shared" si="5"/>
        <v/>
      </c>
      <c r="S54" s="1282" t="str">
        <f t="shared" si="6"/>
        <v/>
      </c>
      <c r="T54" s="368"/>
      <c r="U54" s="292" t="str">
        <f t="shared" si="11"/>
        <v/>
      </c>
      <c r="V54" s="669" t="str">
        <f>IF(T54="","",HLOOKUP(T54,名簿!$AW$3:$CW$118,49,FALSE))</f>
        <v/>
      </c>
      <c r="W54" s="769" t="str">
        <f t="shared" si="7"/>
        <v/>
      </c>
      <c r="X54" s="774" t="str">
        <f t="shared" si="8"/>
        <v/>
      </c>
      <c r="Y54" s="160"/>
      <c r="Z54" s="165"/>
      <c r="AA54" s="163"/>
      <c r="AB54" s="166"/>
      <c r="AC54" s="167"/>
      <c r="AD54" s="159"/>
      <c r="AE54" s="160"/>
      <c r="AF54" s="161"/>
      <c r="AG54" s="164"/>
      <c r="AH54" s="802"/>
      <c r="AI54" s="802"/>
      <c r="AK54" s="143"/>
      <c r="AL54" s="907" t="str">
        <f t="shared" si="2"/>
        <v/>
      </c>
      <c r="AM54" s="859">
        <f t="shared" si="3"/>
        <v>0</v>
      </c>
      <c r="AN54" s="859">
        <f t="shared" si="9"/>
        <v>0</v>
      </c>
      <c r="AP54" s="886"/>
      <c r="AQ54" s="886"/>
      <c r="AV54" s="143"/>
      <c r="AW54" s="143"/>
      <c r="AX54" s="886"/>
      <c r="AY54" s="886"/>
      <c r="AZ54" s="1349"/>
      <c r="BA54" s="1349"/>
      <c r="BB54" s="1349"/>
      <c r="BC54" s="1349"/>
      <c r="BD54" s="1349"/>
      <c r="BE54" s="918"/>
    </row>
    <row r="55" spans="1:57">
      <c r="A55" s="1338">
        <f t="shared" si="4"/>
        <v>0</v>
      </c>
      <c r="B55" s="162" t="str">
        <f>名簿!P52</f>
        <v/>
      </c>
      <c r="C55" s="162"/>
      <c r="D55" s="931"/>
      <c r="E55" s="182">
        <f>名簿!E52</f>
        <v>0</v>
      </c>
      <c r="F55" s="697" t="str">
        <f>名簿!CM52</f>
        <v/>
      </c>
      <c r="G55" s="162" t="str">
        <f>名簿!Z52</f>
        <v/>
      </c>
      <c r="H55" s="675" t="str">
        <f>名簿!CM52</f>
        <v/>
      </c>
      <c r="I55" s="187" t="str">
        <f>名簿!Y52</f>
        <v/>
      </c>
      <c r="J55" s="190" t="str">
        <f>名簿!CN52</f>
        <v/>
      </c>
      <c r="K55" s="1040">
        <f>名簿!CP52</f>
        <v>0</v>
      </c>
      <c r="L55" s="750" t="str">
        <f>名簿!CU52</f>
        <v>00</v>
      </c>
      <c r="M55" s="162" t="str">
        <f>名簿!Q52</f>
        <v/>
      </c>
      <c r="N55" s="1341">
        <f>名簿!D52</f>
        <v>0</v>
      </c>
      <c r="O55" s="338"/>
      <c r="P55" s="292" t="str">
        <f t="shared" si="10"/>
        <v/>
      </c>
      <c r="Q55" s="669" t="str">
        <f>IF(O55="","",HLOOKUP(O55,名簿!$AH$3:$CF$118,50,FALSE))</f>
        <v/>
      </c>
      <c r="R55" s="1344" t="str">
        <f t="shared" si="5"/>
        <v/>
      </c>
      <c r="S55" s="1282" t="str">
        <f t="shared" si="6"/>
        <v/>
      </c>
      <c r="T55" s="368"/>
      <c r="U55" s="292" t="str">
        <f t="shared" si="11"/>
        <v/>
      </c>
      <c r="V55" s="669" t="str">
        <f>IF(T55="","",HLOOKUP(T55,名簿!$AW$3:$CW$118,50,FALSE))</f>
        <v/>
      </c>
      <c r="W55" s="769" t="str">
        <f t="shared" si="7"/>
        <v/>
      </c>
      <c r="X55" s="774" t="str">
        <f t="shared" si="8"/>
        <v/>
      </c>
      <c r="Y55" s="160"/>
      <c r="Z55" s="165"/>
      <c r="AA55" s="163"/>
      <c r="AB55" s="166"/>
      <c r="AC55" s="167"/>
      <c r="AD55" s="159"/>
      <c r="AE55" s="160"/>
      <c r="AF55" s="161"/>
      <c r="AG55" s="164"/>
      <c r="AH55" s="802"/>
      <c r="AI55" s="802"/>
      <c r="AK55" s="143"/>
      <c r="AL55" s="907" t="str">
        <f t="shared" si="2"/>
        <v/>
      </c>
      <c r="AM55" s="859">
        <f t="shared" si="3"/>
        <v>0</v>
      </c>
      <c r="AN55" s="859">
        <f t="shared" si="9"/>
        <v>0</v>
      </c>
      <c r="AP55" s="886"/>
      <c r="AQ55" s="886"/>
      <c r="AV55" s="143"/>
      <c r="AW55" s="143"/>
      <c r="AX55" s="886"/>
      <c r="AY55" s="886"/>
      <c r="AZ55" s="1349"/>
      <c r="BA55" s="1349"/>
      <c r="BB55" s="1349"/>
      <c r="BC55" s="1349"/>
      <c r="BD55" s="1349"/>
      <c r="BE55" s="918"/>
    </row>
    <row r="56" spans="1:57">
      <c r="A56" s="1338">
        <f t="shared" si="4"/>
        <v>0</v>
      </c>
      <c r="B56" s="162" t="str">
        <f>名簿!P53</f>
        <v/>
      </c>
      <c r="C56" s="162"/>
      <c r="D56" s="931"/>
      <c r="E56" s="182">
        <f>名簿!E53</f>
        <v>0</v>
      </c>
      <c r="F56" s="697" t="str">
        <f>名簿!CM53</f>
        <v/>
      </c>
      <c r="G56" s="162" t="str">
        <f>名簿!Z53</f>
        <v/>
      </c>
      <c r="H56" s="675" t="str">
        <f>名簿!CM53</f>
        <v/>
      </c>
      <c r="I56" s="187" t="str">
        <f>名簿!Y53</f>
        <v/>
      </c>
      <c r="J56" s="190" t="str">
        <f>名簿!CN53</f>
        <v/>
      </c>
      <c r="K56" s="1040">
        <f>名簿!CP53</f>
        <v>0</v>
      </c>
      <c r="L56" s="750" t="str">
        <f>名簿!CU53</f>
        <v>00</v>
      </c>
      <c r="M56" s="162" t="str">
        <f>名簿!Q53</f>
        <v/>
      </c>
      <c r="N56" s="1341">
        <f>名簿!D53</f>
        <v>0</v>
      </c>
      <c r="O56" s="338"/>
      <c r="P56" s="292" t="str">
        <f t="shared" si="10"/>
        <v/>
      </c>
      <c r="Q56" s="669" t="str">
        <f>IF(O56="","",HLOOKUP(O56,名簿!$AH$3:$CF$118,51,FALSE))</f>
        <v/>
      </c>
      <c r="R56" s="1344" t="str">
        <f t="shared" si="5"/>
        <v/>
      </c>
      <c r="S56" s="1282" t="str">
        <f t="shared" si="6"/>
        <v/>
      </c>
      <c r="T56" s="368"/>
      <c r="U56" s="292" t="str">
        <f t="shared" si="11"/>
        <v/>
      </c>
      <c r="V56" s="669" t="str">
        <f>IF(T56="","",HLOOKUP(T56,名簿!$AW$3:$CW$118,51,FALSE))</f>
        <v/>
      </c>
      <c r="W56" s="769" t="str">
        <f t="shared" si="7"/>
        <v/>
      </c>
      <c r="X56" s="774" t="str">
        <f t="shared" si="8"/>
        <v/>
      </c>
      <c r="Y56" s="160"/>
      <c r="Z56" s="165"/>
      <c r="AA56" s="163"/>
      <c r="AB56" s="166"/>
      <c r="AC56" s="167"/>
      <c r="AD56" s="159"/>
      <c r="AE56" s="160"/>
      <c r="AF56" s="161"/>
      <c r="AG56" s="164"/>
      <c r="AH56" s="802"/>
      <c r="AI56" s="802"/>
      <c r="AK56" s="143"/>
      <c r="AL56" s="907" t="str">
        <f t="shared" si="2"/>
        <v/>
      </c>
      <c r="AM56" s="859">
        <f t="shared" si="3"/>
        <v>0</v>
      </c>
      <c r="AN56" s="859">
        <f t="shared" si="9"/>
        <v>0</v>
      </c>
      <c r="AP56" s="886"/>
      <c r="AQ56" s="886"/>
      <c r="AV56" s="143"/>
      <c r="AW56" s="143"/>
      <c r="AX56" s="886"/>
      <c r="AY56" s="886"/>
      <c r="AZ56" s="1349"/>
      <c r="BA56" s="1349"/>
      <c r="BB56" s="1349"/>
      <c r="BC56" s="1349"/>
      <c r="BD56" s="1349"/>
      <c r="BE56" s="918"/>
    </row>
    <row r="57" spans="1:57">
      <c r="A57" s="1338">
        <f t="shared" si="4"/>
        <v>0</v>
      </c>
      <c r="B57" s="162" t="str">
        <f>名簿!P54</f>
        <v/>
      </c>
      <c r="C57" s="162"/>
      <c r="D57" s="931"/>
      <c r="E57" s="182">
        <f>名簿!E54</f>
        <v>0</v>
      </c>
      <c r="F57" s="697" t="str">
        <f>名簿!CM54</f>
        <v/>
      </c>
      <c r="G57" s="162" t="str">
        <f>名簿!Z54</f>
        <v/>
      </c>
      <c r="H57" s="675" t="str">
        <f>名簿!CM54</f>
        <v/>
      </c>
      <c r="I57" s="187" t="str">
        <f>名簿!Y54</f>
        <v/>
      </c>
      <c r="J57" s="190" t="str">
        <f>名簿!CN54</f>
        <v/>
      </c>
      <c r="K57" s="1040">
        <f>名簿!CP54</f>
        <v>0</v>
      </c>
      <c r="L57" s="750" t="str">
        <f>名簿!CU54</f>
        <v>00</v>
      </c>
      <c r="M57" s="162" t="str">
        <f>名簿!Q54</f>
        <v/>
      </c>
      <c r="N57" s="1341">
        <f>名簿!D54</f>
        <v>0</v>
      </c>
      <c r="O57" s="338"/>
      <c r="P57" s="292" t="str">
        <f t="shared" si="10"/>
        <v/>
      </c>
      <c r="Q57" s="669" t="str">
        <f>IF(O57="","",HLOOKUP(O57,名簿!$AH$3:$CF$118,52,FALSE))</f>
        <v/>
      </c>
      <c r="R57" s="1344" t="str">
        <f t="shared" si="5"/>
        <v/>
      </c>
      <c r="S57" s="1282" t="str">
        <f t="shared" si="6"/>
        <v/>
      </c>
      <c r="T57" s="368"/>
      <c r="U57" s="292" t="str">
        <f t="shared" si="11"/>
        <v/>
      </c>
      <c r="V57" s="669" t="str">
        <f>IF(T57="","",HLOOKUP(T57,名簿!$AW$3:$CW$118,52,FALSE))</f>
        <v/>
      </c>
      <c r="W57" s="769" t="str">
        <f t="shared" si="7"/>
        <v/>
      </c>
      <c r="X57" s="774" t="str">
        <f t="shared" si="8"/>
        <v/>
      </c>
      <c r="Y57" s="160"/>
      <c r="Z57" s="165"/>
      <c r="AA57" s="163"/>
      <c r="AB57" s="166"/>
      <c r="AC57" s="167"/>
      <c r="AD57" s="159"/>
      <c r="AE57" s="160"/>
      <c r="AF57" s="161"/>
      <c r="AG57" s="164"/>
      <c r="AH57" s="802"/>
      <c r="AI57" s="802"/>
      <c r="AK57" s="143"/>
      <c r="AL57" s="907" t="str">
        <f t="shared" si="2"/>
        <v/>
      </c>
      <c r="AM57" s="859">
        <f t="shared" si="3"/>
        <v>0</v>
      </c>
      <c r="AN57" s="859">
        <f t="shared" si="9"/>
        <v>0</v>
      </c>
      <c r="AP57" s="886"/>
      <c r="AQ57" s="886"/>
      <c r="AV57" s="143"/>
      <c r="AW57" s="143"/>
      <c r="AX57" s="886"/>
      <c r="AY57" s="886"/>
      <c r="AZ57" s="1349"/>
      <c r="BA57" s="1349"/>
      <c r="BB57" s="1349"/>
      <c r="BC57" s="1349"/>
      <c r="BD57" s="1349"/>
      <c r="BE57" s="918"/>
    </row>
    <row r="58" spans="1:57">
      <c r="A58" s="1338">
        <f t="shared" si="4"/>
        <v>0</v>
      </c>
      <c r="B58" s="162" t="str">
        <f>名簿!P55</f>
        <v/>
      </c>
      <c r="C58" s="162"/>
      <c r="D58" s="931"/>
      <c r="E58" s="182">
        <f>名簿!E55</f>
        <v>0</v>
      </c>
      <c r="F58" s="697" t="str">
        <f>名簿!CM55</f>
        <v/>
      </c>
      <c r="G58" s="162" t="str">
        <f>名簿!Z55</f>
        <v/>
      </c>
      <c r="H58" s="675" t="str">
        <f>名簿!CM55</f>
        <v/>
      </c>
      <c r="I58" s="187" t="str">
        <f>名簿!Y55</f>
        <v/>
      </c>
      <c r="J58" s="190" t="str">
        <f>名簿!CN55</f>
        <v/>
      </c>
      <c r="K58" s="1040">
        <f>名簿!CP55</f>
        <v>0</v>
      </c>
      <c r="L58" s="750" t="str">
        <f>名簿!CU55</f>
        <v>00</v>
      </c>
      <c r="M58" s="162" t="str">
        <f>名簿!Q55</f>
        <v/>
      </c>
      <c r="N58" s="1341">
        <f>名簿!D55</f>
        <v>0</v>
      </c>
      <c r="O58" s="338"/>
      <c r="P58" s="292" t="str">
        <f t="shared" si="10"/>
        <v/>
      </c>
      <c r="Q58" s="669" t="str">
        <f>IF(O58="","",HLOOKUP(O58,名簿!$AH$3:$CF$118,53,FALSE))</f>
        <v/>
      </c>
      <c r="R58" s="1344" t="str">
        <f t="shared" si="5"/>
        <v/>
      </c>
      <c r="S58" s="1282" t="str">
        <f t="shared" si="6"/>
        <v/>
      </c>
      <c r="T58" s="368"/>
      <c r="U58" s="292" t="str">
        <f t="shared" si="11"/>
        <v/>
      </c>
      <c r="V58" s="669" t="str">
        <f>IF(T58="","",HLOOKUP(T58,名簿!$AW$3:$CW$118,53,FALSE))</f>
        <v/>
      </c>
      <c r="W58" s="769" t="str">
        <f t="shared" si="7"/>
        <v/>
      </c>
      <c r="X58" s="774" t="str">
        <f t="shared" si="8"/>
        <v/>
      </c>
      <c r="Y58" s="160"/>
      <c r="Z58" s="165"/>
      <c r="AA58" s="163"/>
      <c r="AB58" s="166"/>
      <c r="AC58" s="167"/>
      <c r="AD58" s="159"/>
      <c r="AE58" s="160"/>
      <c r="AF58" s="161"/>
      <c r="AG58" s="164"/>
      <c r="AH58" s="802"/>
      <c r="AI58" s="802"/>
      <c r="AK58" s="143"/>
      <c r="AL58" s="907" t="str">
        <f t="shared" si="2"/>
        <v/>
      </c>
      <c r="AM58" s="859">
        <f t="shared" si="3"/>
        <v>0</v>
      </c>
      <c r="AN58" s="859">
        <f t="shared" si="9"/>
        <v>0</v>
      </c>
      <c r="AP58" s="886"/>
      <c r="AQ58" s="886"/>
      <c r="AV58" s="143"/>
      <c r="AW58" s="143"/>
      <c r="AX58" s="886"/>
      <c r="AY58" s="886"/>
      <c r="AZ58" s="1349"/>
      <c r="BA58" s="1349"/>
      <c r="BB58" s="1349"/>
      <c r="BC58" s="1349"/>
      <c r="BD58" s="1349"/>
      <c r="BE58" s="918"/>
    </row>
    <row r="59" spans="1:57">
      <c r="A59" s="1338">
        <f t="shared" si="4"/>
        <v>0</v>
      </c>
      <c r="B59" s="162" t="str">
        <f>名簿!P56</f>
        <v/>
      </c>
      <c r="C59" s="162"/>
      <c r="D59" s="931"/>
      <c r="E59" s="182">
        <f>名簿!E56</f>
        <v>0</v>
      </c>
      <c r="F59" s="697" t="str">
        <f>名簿!CM56</f>
        <v/>
      </c>
      <c r="G59" s="162" t="str">
        <f>名簿!Z56</f>
        <v/>
      </c>
      <c r="H59" s="675" t="str">
        <f>名簿!CM56</f>
        <v/>
      </c>
      <c r="I59" s="187" t="str">
        <f>名簿!Y56</f>
        <v/>
      </c>
      <c r="J59" s="190" t="str">
        <f>名簿!CN56</f>
        <v/>
      </c>
      <c r="K59" s="1040">
        <f>名簿!CP56</f>
        <v>0</v>
      </c>
      <c r="L59" s="750" t="str">
        <f>名簿!CU56</f>
        <v>00</v>
      </c>
      <c r="M59" s="162" t="str">
        <f>名簿!Q56</f>
        <v/>
      </c>
      <c r="N59" s="1341">
        <f>名簿!D56</f>
        <v>0</v>
      </c>
      <c r="O59" s="338"/>
      <c r="P59" s="292" t="str">
        <f t="shared" si="10"/>
        <v/>
      </c>
      <c r="Q59" s="669" t="str">
        <f>IF(O59="","",HLOOKUP(O59,名簿!$AH$3:$CF$118,54,FALSE))</f>
        <v/>
      </c>
      <c r="R59" s="1344" t="str">
        <f t="shared" si="5"/>
        <v/>
      </c>
      <c r="S59" s="1282" t="str">
        <f t="shared" si="6"/>
        <v/>
      </c>
      <c r="T59" s="368"/>
      <c r="U59" s="292" t="str">
        <f t="shared" si="11"/>
        <v/>
      </c>
      <c r="V59" s="669" t="str">
        <f>IF(T59="","",HLOOKUP(T59,名簿!$AW$3:$CW$118,54,FALSE))</f>
        <v/>
      </c>
      <c r="W59" s="769" t="str">
        <f t="shared" si="7"/>
        <v/>
      </c>
      <c r="X59" s="774" t="str">
        <f t="shared" si="8"/>
        <v/>
      </c>
      <c r="Y59" s="160"/>
      <c r="Z59" s="165"/>
      <c r="AA59" s="163"/>
      <c r="AB59" s="166"/>
      <c r="AC59" s="167"/>
      <c r="AD59" s="159"/>
      <c r="AE59" s="160"/>
      <c r="AF59" s="161"/>
      <c r="AG59" s="164"/>
      <c r="AH59" s="802"/>
      <c r="AI59" s="802"/>
      <c r="AK59" s="143"/>
      <c r="AL59" s="907" t="str">
        <f t="shared" si="2"/>
        <v/>
      </c>
      <c r="AM59" s="859">
        <f t="shared" si="3"/>
        <v>0</v>
      </c>
      <c r="AN59" s="859">
        <f t="shared" si="9"/>
        <v>0</v>
      </c>
      <c r="AP59" s="886"/>
      <c r="AQ59" s="886"/>
      <c r="AV59" s="143"/>
      <c r="AW59" s="143"/>
      <c r="AX59" s="886"/>
      <c r="AY59" s="886"/>
      <c r="AZ59" s="1349"/>
      <c r="BA59" s="1349"/>
      <c r="BB59" s="1349"/>
      <c r="BC59" s="1349"/>
      <c r="BD59" s="1349"/>
      <c r="BE59" s="918"/>
    </row>
    <row r="60" spans="1:57">
      <c r="A60" s="1338">
        <f t="shared" si="4"/>
        <v>0</v>
      </c>
      <c r="B60" s="162" t="str">
        <f>名簿!P57</f>
        <v/>
      </c>
      <c r="C60" s="162"/>
      <c r="D60" s="931"/>
      <c r="E60" s="182">
        <f>名簿!E57</f>
        <v>0</v>
      </c>
      <c r="F60" s="697" t="str">
        <f>名簿!CM57</f>
        <v/>
      </c>
      <c r="G60" s="162" t="str">
        <f>名簿!Z57</f>
        <v/>
      </c>
      <c r="H60" s="675" t="str">
        <f>名簿!CM57</f>
        <v/>
      </c>
      <c r="I60" s="187" t="str">
        <f>名簿!Y57</f>
        <v/>
      </c>
      <c r="J60" s="190" t="str">
        <f>名簿!CN57</f>
        <v/>
      </c>
      <c r="K60" s="1040">
        <f>名簿!CP57</f>
        <v>0</v>
      </c>
      <c r="L60" s="750" t="str">
        <f>名簿!CU57</f>
        <v>00</v>
      </c>
      <c r="M60" s="162" t="str">
        <f>名簿!Q57</f>
        <v/>
      </c>
      <c r="N60" s="1341">
        <f>名簿!D57</f>
        <v>0</v>
      </c>
      <c r="O60" s="338"/>
      <c r="P60" s="292" t="str">
        <f t="shared" si="10"/>
        <v/>
      </c>
      <c r="Q60" s="669" t="str">
        <f>IF(O60="","",HLOOKUP(O60,名簿!$AH$3:$CF$118,55,FALSE))</f>
        <v/>
      </c>
      <c r="R60" s="1344" t="str">
        <f t="shared" si="5"/>
        <v/>
      </c>
      <c r="S60" s="1282" t="str">
        <f t="shared" si="6"/>
        <v/>
      </c>
      <c r="T60" s="368"/>
      <c r="U60" s="292" t="str">
        <f t="shared" si="11"/>
        <v/>
      </c>
      <c r="V60" s="669" t="str">
        <f>IF(T60="","",HLOOKUP(T60,名簿!$AW$3:$CW$118,55,FALSE))</f>
        <v/>
      </c>
      <c r="W60" s="769" t="str">
        <f t="shared" si="7"/>
        <v/>
      </c>
      <c r="X60" s="774" t="str">
        <f t="shared" si="8"/>
        <v/>
      </c>
      <c r="Y60" s="160"/>
      <c r="Z60" s="165"/>
      <c r="AA60" s="163"/>
      <c r="AB60" s="166"/>
      <c r="AC60" s="167"/>
      <c r="AD60" s="159"/>
      <c r="AE60" s="160"/>
      <c r="AF60" s="161"/>
      <c r="AG60" s="164"/>
      <c r="AH60" s="802"/>
      <c r="AI60" s="802"/>
      <c r="AK60" s="143"/>
      <c r="AL60" s="907" t="str">
        <f t="shared" si="2"/>
        <v/>
      </c>
      <c r="AM60" s="859">
        <f t="shared" si="3"/>
        <v>0</v>
      </c>
      <c r="AN60" s="859">
        <f t="shared" si="9"/>
        <v>0</v>
      </c>
      <c r="AP60" s="886"/>
      <c r="AQ60" s="886"/>
      <c r="AV60" s="143"/>
      <c r="AW60" s="143"/>
      <c r="AX60" s="886"/>
      <c r="AY60" s="886"/>
      <c r="AZ60" s="1349"/>
      <c r="BA60" s="1349"/>
      <c r="BB60" s="1349"/>
      <c r="BC60" s="1349"/>
      <c r="BD60" s="1349"/>
      <c r="BE60" s="918"/>
    </row>
    <row r="61" spans="1:57">
      <c r="A61" s="1338">
        <f t="shared" si="4"/>
        <v>0</v>
      </c>
      <c r="B61" s="162" t="str">
        <f>名簿!P58</f>
        <v/>
      </c>
      <c r="C61" s="162"/>
      <c r="D61" s="931"/>
      <c r="E61" s="182">
        <f>名簿!E58</f>
        <v>0</v>
      </c>
      <c r="F61" s="697" t="str">
        <f>名簿!CM58</f>
        <v/>
      </c>
      <c r="G61" s="162" t="str">
        <f>名簿!Z58</f>
        <v/>
      </c>
      <c r="H61" s="675" t="str">
        <f>名簿!CM58</f>
        <v/>
      </c>
      <c r="I61" s="187" t="str">
        <f>名簿!Y58</f>
        <v/>
      </c>
      <c r="J61" s="190" t="str">
        <f>名簿!CN58</f>
        <v/>
      </c>
      <c r="K61" s="1040">
        <f>名簿!CP58</f>
        <v>0</v>
      </c>
      <c r="L61" s="750" t="str">
        <f>名簿!CU58</f>
        <v>00</v>
      </c>
      <c r="M61" s="162" t="str">
        <f>名簿!Q58</f>
        <v/>
      </c>
      <c r="N61" s="1341">
        <f>名簿!D58</f>
        <v>0</v>
      </c>
      <c r="O61" s="338"/>
      <c r="P61" s="292" t="str">
        <f t="shared" si="10"/>
        <v/>
      </c>
      <c r="Q61" s="669" t="str">
        <f>IF(O61="","",HLOOKUP(O61,名簿!$AH$3:$CF$118,56,FALSE))</f>
        <v/>
      </c>
      <c r="R61" s="1344" t="str">
        <f t="shared" si="5"/>
        <v/>
      </c>
      <c r="S61" s="1282" t="str">
        <f t="shared" si="6"/>
        <v/>
      </c>
      <c r="T61" s="368"/>
      <c r="U61" s="292" t="str">
        <f t="shared" si="11"/>
        <v/>
      </c>
      <c r="V61" s="669" t="str">
        <f>IF(T61="","",HLOOKUP(T61,名簿!$AW$3:$CW$118,56,FALSE))</f>
        <v/>
      </c>
      <c r="W61" s="769" t="str">
        <f t="shared" si="7"/>
        <v/>
      </c>
      <c r="X61" s="774" t="str">
        <f t="shared" si="8"/>
        <v/>
      </c>
      <c r="Y61" s="160"/>
      <c r="Z61" s="165"/>
      <c r="AA61" s="163"/>
      <c r="AB61" s="166"/>
      <c r="AC61" s="167"/>
      <c r="AD61" s="159"/>
      <c r="AE61" s="160"/>
      <c r="AF61" s="161"/>
      <c r="AG61" s="164"/>
      <c r="AH61" s="802"/>
      <c r="AI61" s="802"/>
      <c r="AK61" s="143"/>
      <c r="AL61" s="907" t="str">
        <f t="shared" si="2"/>
        <v/>
      </c>
      <c r="AM61" s="859">
        <f t="shared" si="3"/>
        <v>0</v>
      </c>
      <c r="AN61" s="859">
        <f t="shared" si="9"/>
        <v>0</v>
      </c>
      <c r="AP61" s="886"/>
      <c r="AQ61" s="886"/>
      <c r="AV61" s="143"/>
      <c r="AW61" s="143"/>
      <c r="AX61" s="886"/>
      <c r="AY61" s="886"/>
      <c r="AZ61" s="1349"/>
      <c r="BA61" s="1349"/>
      <c r="BB61" s="1349"/>
      <c r="BC61" s="1349"/>
      <c r="BD61" s="1349"/>
      <c r="BE61" s="918"/>
    </row>
    <row r="62" spans="1:57">
      <c r="A62" s="1338">
        <f t="shared" si="4"/>
        <v>0</v>
      </c>
      <c r="B62" s="162" t="str">
        <f>名簿!P59</f>
        <v/>
      </c>
      <c r="C62" s="162"/>
      <c r="D62" s="931"/>
      <c r="E62" s="182">
        <f>名簿!E59</f>
        <v>0</v>
      </c>
      <c r="F62" s="697" t="str">
        <f>名簿!CM59</f>
        <v/>
      </c>
      <c r="G62" s="162" t="str">
        <f>名簿!Z59</f>
        <v/>
      </c>
      <c r="H62" s="675" t="str">
        <f>名簿!CM59</f>
        <v/>
      </c>
      <c r="I62" s="187" t="str">
        <f>名簿!Y59</f>
        <v/>
      </c>
      <c r="J62" s="190" t="str">
        <f>名簿!CN59</f>
        <v/>
      </c>
      <c r="K62" s="1040">
        <f>名簿!CP59</f>
        <v>0</v>
      </c>
      <c r="L62" s="750" t="str">
        <f>名簿!CU59</f>
        <v>00</v>
      </c>
      <c r="M62" s="162" t="str">
        <f>名簿!Q59</f>
        <v/>
      </c>
      <c r="N62" s="1341">
        <f>名簿!D59</f>
        <v>0</v>
      </c>
      <c r="O62" s="338"/>
      <c r="P62" s="292" t="str">
        <f t="shared" si="10"/>
        <v/>
      </c>
      <c r="Q62" s="669" t="str">
        <f>IF(O62="","",HLOOKUP(O62,名簿!$AH$3:$CF$118,57,FALSE))</f>
        <v/>
      </c>
      <c r="R62" s="1344" t="str">
        <f t="shared" si="5"/>
        <v/>
      </c>
      <c r="S62" s="1282" t="str">
        <f t="shared" si="6"/>
        <v/>
      </c>
      <c r="T62" s="368"/>
      <c r="U62" s="292" t="str">
        <f t="shared" si="11"/>
        <v/>
      </c>
      <c r="V62" s="669" t="str">
        <f>IF(T62="","",HLOOKUP(T62,名簿!$AW$3:$CW$118,57,FALSE))</f>
        <v/>
      </c>
      <c r="W62" s="769" t="str">
        <f t="shared" si="7"/>
        <v/>
      </c>
      <c r="X62" s="774" t="str">
        <f t="shared" si="8"/>
        <v/>
      </c>
      <c r="Y62" s="160"/>
      <c r="Z62" s="165"/>
      <c r="AA62" s="163"/>
      <c r="AB62" s="166"/>
      <c r="AC62" s="167"/>
      <c r="AD62" s="159"/>
      <c r="AE62" s="160"/>
      <c r="AF62" s="161"/>
      <c r="AG62" s="164"/>
      <c r="AH62" s="802"/>
      <c r="AI62" s="802"/>
      <c r="AK62" s="143"/>
      <c r="AL62" s="907" t="str">
        <f t="shared" si="2"/>
        <v/>
      </c>
      <c r="AM62" s="859">
        <f t="shared" si="3"/>
        <v>0</v>
      </c>
      <c r="AN62" s="859">
        <f t="shared" si="9"/>
        <v>0</v>
      </c>
      <c r="AP62" s="886"/>
      <c r="AQ62" s="886"/>
      <c r="AV62" s="143"/>
      <c r="AW62" s="143"/>
      <c r="AX62" s="886"/>
      <c r="AY62" s="886"/>
      <c r="AZ62" s="1349"/>
      <c r="BA62" s="1349"/>
      <c r="BB62" s="1349"/>
      <c r="BC62" s="1349"/>
      <c r="BD62" s="1349"/>
      <c r="BE62" s="918"/>
    </row>
    <row r="63" spans="1:57">
      <c r="A63" s="1338">
        <f t="shared" si="4"/>
        <v>0</v>
      </c>
      <c r="B63" s="162" t="str">
        <f>名簿!P60</f>
        <v/>
      </c>
      <c r="C63" s="162"/>
      <c r="D63" s="931"/>
      <c r="E63" s="182">
        <f>名簿!E60</f>
        <v>0</v>
      </c>
      <c r="F63" s="697" t="str">
        <f>名簿!CM60</f>
        <v/>
      </c>
      <c r="G63" s="162" t="str">
        <f>名簿!Z60</f>
        <v/>
      </c>
      <c r="H63" s="675" t="str">
        <f>名簿!CM60</f>
        <v/>
      </c>
      <c r="I63" s="187" t="str">
        <f>名簿!Y60</f>
        <v/>
      </c>
      <c r="J63" s="190" t="str">
        <f>名簿!CN60</f>
        <v/>
      </c>
      <c r="K63" s="1040">
        <f>名簿!CP60</f>
        <v>0</v>
      </c>
      <c r="L63" s="750" t="str">
        <f>名簿!CU60</f>
        <v>00</v>
      </c>
      <c r="M63" s="162" t="str">
        <f>名簿!Q60</f>
        <v/>
      </c>
      <c r="N63" s="1341">
        <f>名簿!D60</f>
        <v>0</v>
      </c>
      <c r="O63" s="338"/>
      <c r="P63" s="292" t="str">
        <f t="shared" si="10"/>
        <v/>
      </c>
      <c r="Q63" s="669" t="str">
        <f>IF(O63="","",HLOOKUP(O63,名簿!$AH$3:$CF$118,58,FALSE))</f>
        <v/>
      </c>
      <c r="R63" s="1344" t="str">
        <f t="shared" si="5"/>
        <v/>
      </c>
      <c r="S63" s="1282" t="str">
        <f t="shared" si="6"/>
        <v/>
      </c>
      <c r="T63" s="368"/>
      <c r="U63" s="292" t="str">
        <f t="shared" si="11"/>
        <v/>
      </c>
      <c r="V63" s="669" t="str">
        <f>IF(T63="","",HLOOKUP(T63,名簿!$AW$3:$CW$118,58,FALSE))</f>
        <v/>
      </c>
      <c r="W63" s="769" t="str">
        <f t="shared" si="7"/>
        <v/>
      </c>
      <c r="X63" s="774" t="str">
        <f t="shared" si="8"/>
        <v/>
      </c>
      <c r="Y63" s="160"/>
      <c r="Z63" s="165"/>
      <c r="AA63" s="163"/>
      <c r="AB63" s="166"/>
      <c r="AC63" s="167"/>
      <c r="AD63" s="159"/>
      <c r="AE63" s="160"/>
      <c r="AF63" s="161"/>
      <c r="AG63" s="164"/>
      <c r="AH63" s="802"/>
      <c r="AI63" s="802"/>
      <c r="AK63" s="143"/>
      <c r="AL63" s="907" t="str">
        <f t="shared" si="2"/>
        <v/>
      </c>
      <c r="AM63" s="859">
        <f t="shared" si="3"/>
        <v>0</v>
      </c>
      <c r="AN63" s="859">
        <f t="shared" si="9"/>
        <v>0</v>
      </c>
      <c r="AP63" s="886"/>
      <c r="AQ63" s="886"/>
      <c r="AV63" s="143"/>
      <c r="AW63" s="143"/>
      <c r="AX63" s="886"/>
      <c r="AY63" s="886"/>
      <c r="AZ63" s="1349"/>
      <c r="BA63" s="1349"/>
      <c r="BB63" s="1349"/>
      <c r="BC63" s="1349"/>
      <c r="BD63" s="1349"/>
      <c r="BE63" s="918"/>
    </row>
    <row r="64" spans="1:57">
      <c r="A64" s="1338">
        <f t="shared" si="4"/>
        <v>0</v>
      </c>
      <c r="B64" s="162" t="str">
        <f>名簿!P61</f>
        <v/>
      </c>
      <c r="C64" s="162"/>
      <c r="D64" s="931"/>
      <c r="E64" s="182">
        <f>名簿!E61</f>
        <v>0</v>
      </c>
      <c r="F64" s="697" t="str">
        <f>名簿!CM61</f>
        <v/>
      </c>
      <c r="G64" s="162" t="str">
        <f>名簿!Z61</f>
        <v/>
      </c>
      <c r="H64" s="675" t="str">
        <f>名簿!CM61</f>
        <v/>
      </c>
      <c r="I64" s="187" t="str">
        <f>名簿!Y61</f>
        <v/>
      </c>
      <c r="J64" s="190" t="str">
        <f>名簿!CN61</f>
        <v/>
      </c>
      <c r="K64" s="1040">
        <f>名簿!CP61</f>
        <v>0</v>
      </c>
      <c r="L64" s="750" t="str">
        <f>名簿!CU61</f>
        <v>00</v>
      </c>
      <c r="M64" s="162" t="str">
        <f>名簿!Q61</f>
        <v/>
      </c>
      <c r="N64" s="1341">
        <f>名簿!D61</f>
        <v>0</v>
      </c>
      <c r="O64" s="338"/>
      <c r="P64" s="292" t="str">
        <f t="shared" si="10"/>
        <v/>
      </c>
      <c r="Q64" s="669" t="str">
        <f>IF(O64="","",HLOOKUP(O64,名簿!$AH$3:$CF$118,59,FALSE))</f>
        <v/>
      </c>
      <c r="R64" s="1344" t="str">
        <f t="shared" si="5"/>
        <v/>
      </c>
      <c r="S64" s="1282" t="str">
        <f t="shared" si="6"/>
        <v/>
      </c>
      <c r="T64" s="368"/>
      <c r="U64" s="292" t="str">
        <f t="shared" si="11"/>
        <v/>
      </c>
      <c r="V64" s="669" t="str">
        <f>IF(T64="","",HLOOKUP(T64,名簿!$AW$3:$CW$118,59,FALSE))</f>
        <v/>
      </c>
      <c r="W64" s="769" t="str">
        <f t="shared" si="7"/>
        <v/>
      </c>
      <c r="X64" s="774" t="str">
        <f t="shared" si="8"/>
        <v/>
      </c>
      <c r="Y64" s="160"/>
      <c r="Z64" s="165"/>
      <c r="AA64" s="163"/>
      <c r="AB64" s="166"/>
      <c r="AC64" s="167"/>
      <c r="AD64" s="159"/>
      <c r="AE64" s="160"/>
      <c r="AF64" s="161"/>
      <c r="AG64" s="164"/>
      <c r="AH64" s="802"/>
      <c r="AI64" s="802"/>
      <c r="AK64" s="143"/>
      <c r="AL64" s="907" t="str">
        <f t="shared" si="2"/>
        <v/>
      </c>
      <c r="AM64" s="859">
        <f t="shared" si="3"/>
        <v>0</v>
      </c>
      <c r="AN64" s="859">
        <f t="shared" si="9"/>
        <v>0</v>
      </c>
      <c r="AP64" s="886"/>
      <c r="AQ64" s="886"/>
      <c r="AV64" s="143"/>
      <c r="AW64" s="143"/>
      <c r="AX64" s="886"/>
      <c r="AY64" s="886"/>
      <c r="AZ64" s="1349"/>
      <c r="BA64" s="1349"/>
      <c r="BB64" s="1349"/>
      <c r="BC64" s="1349"/>
      <c r="BD64" s="1349"/>
      <c r="BE64" s="918"/>
    </row>
    <row r="65" spans="1:57">
      <c r="A65" s="1338">
        <f t="shared" si="4"/>
        <v>0</v>
      </c>
      <c r="B65" s="162" t="str">
        <f>名簿!P62</f>
        <v/>
      </c>
      <c r="C65" s="162"/>
      <c r="D65" s="931"/>
      <c r="E65" s="182">
        <f>名簿!E62</f>
        <v>0</v>
      </c>
      <c r="F65" s="697" t="str">
        <f>名簿!CM62</f>
        <v/>
      </c>
      <c r="G65" s="162" t="str">
        <f>名簿!Z62</f>
        <v/>
      </c>
      <c r="H65" s="675" t="str">
        <f>名簿!CM62</f>
        <v/>
      </c>
      <c r="I65" s="187" t="str">
        <f>名簿!Y62</f>
        <v/>
      </c>
      <c r="J65" s="190" t="str">
        <f>名簿!CN62</f>
        <v/>
      </c>
      <c r="K65" s="1040">
        <f>名簿!CP62</f>
        <v>0</v>
      </c>
      <c r="L65" s="750" t="str">
        <f>名簿!CU62</f>
        <v>00</v>
      </c>
      <c r="M65" s="162" t="str">
        <f>名簿!Q62</f>
        <v/>
      </c>
      <c r="N65" s="1341">
        <f>名簿!D62</f>
        <v>0</v>
      </c>
      <c r="O65" s="338"/>
      <c r="P65" s="292" t="str">
        <f t="shared" si="10"/>
        <v/>
      </c>
      <c r="Q65" s="669" t="str">
        <f>IF(O65="","",HLOOKUP(O65,名簿!$AH$3:$CF$118,60,FALSE))</f>
        <v/>
      </c>
      <c r="R65" s="1344" t="str">
        <f t="shared" si="5"/>
        <v/>
      </c>
      <c r="S65" s="1282" t="str">
        <f t="shared" si="6"/>
        <v/>
      </c>
      <c r="T65" s="368"/>
      <c r="U65" s="292" t="str">
        <f t="shared" si="11"/>
        <v/>
      </c>
      <c r="V65" s="669" t="str">
        <f>IF(T65="","",HLOOKUP(T65,名簿!$AW$3:$CW$118,60,FALSE))</f>
        <v/>
      </c>
      <c r="W65" s="769" t="str">
        <f t="shared" si="7"/>
        <v/>
      </c>
      <c r="X65" s="774" t="str">
        <f t="shared" si="8"/>
        <v/>
      </c>
      <c r="Y65" s="160"/>
      <c r="Z65" s="165"/>
      <c r="AA65" s="163"/>
      <c r="AB65" s="166"/>
      <c r="AC65" s="167"/>
      <c r="AD65" s="159"/>
      <c r="AE65" s="160"/>
      <c r="AF65" s="161"/>
      <c r="AG65" s="164"/>
      <c r="AH65" s="802"/>
      <c r="AI65" s="802"/>
      <c r="AK65" s="143"/>
      <c r="AL65" s="907" t="str">
        <f t="shared" si="2"/>
        <v/>
      </c>
      <c r="AM65" s="859">
        <f t="shared" si="3"/>
        <v>0</v>
      </c>
      <c r="AN65" s="859">
        <f t="shared" si="9"/>
        <v>0</v>
      </c>
      <c r="AP65" s="886"/>
      <c r="AQ65" s="886"/>
      <c r="AV65" s="143"/>
      <c r="AW65" s="143"/>
      <c r="AX65" s="886"/>
      <c r="AY65" s="886"/>
      <c r="AZ65" s="1349"/>
      <c r="BA65" s="1349"/>
      <c r="BB65" s="1349"/>
      <c r="BC65" s="1349"/>
      <c r="BD65" s="1349"/>
      <c r="BE65" s="918"/>
    </row>
    <row r="66" spans="1:57">
      <c r="A66" s="1338">
        <f t="shared" si="4"/>
        <v>0</v>
      </c>
      <c r="B66" s="162" t="str">
        <f>名簿!P63</f>
        <v/>
      </c>
      <c r="C66" s="162"/>
      <c r="D66" s="931"/>
      <c r="E66" s="182">
        <f>名簿!E63</f>
        <v>0</v>
      </c>
      <c r="F66" s="697" t="str">
        <f>名簿!CM63</f>
        <v/>
      </c>
      <c r="G66" s="162" t="str">
        <f>名簿!Z63</f>
        <v/>
      </c>
      <c r="H66" s="675" t="str">
        <f>名簿!CM63</f>
        <v/>
      </c>
      <c r="I66" s="187" t="str">
        <f>名簿!Y63</f>
        <v/>
      </c>
      <c r="J66" s="190" t="str">
        <f>名簿!CN63</f>
        <v/>
      </c>
      <c r="K66" s="1040">
        <f>名簿!CP63</f>
        <v>0</v>
      </c>
      <c r="L66" s="750" t="str">
        <f>名簿!CU63</f>
        <v>00</v>
      </c>
      <c r="M66" s="162" t="str">
        <f>名簿!Q63</f>
        <v/>
      </c>
      <c r="N66" s="1341">
        <f>名簿!D63</f>
        <v>0</v>
      </c>
      <c r="O66" s="338"/>
      <c r="P66" s="292" t="str">
        <f t="shared" si="10"/>
        <v/>
      </c>
      <c r="Q66" s="669" t="str">
        <f>IF(O66="","",HLOOKUP(O66,名簿!$AH$3:$CF$118,61,FALSE))</f>
        <v/>
      </c>
      <c r="R66" s="1344" t="str">
        <f t="shared" si="5"/>
        <v/>
      </c>
      <c r="S66" s="1282" t="str">
        <f t="shared" si="6"/>
        <v/>
      </c>
      <c r="T66" s="368"/>
      <c r="U66" s="292" t="str">
        <f t="shared" si="11"/>
        <v/>
      </c>
      <c r="V66" s="669" t="str">
        <f>IF(T66="","",HLOOKUP(T66,名簿!$AW$3:$CW$118,61,FALSE))</f>
        <v/>
      </c>
      <c r="W66" s="769" t="str">
        <f t="shared" si="7"/>
        <v/>
      </c>
      <c r="X66" s="774" t="str">
        <f t="shared" si="8"/>
        <v/>
      </c>
      <c r="Y66" s="160"/>
      <c r="Z66" s="165"/>
      <c r="AA66" s="163"/>
      <c r="AB66" s="166"/>
      <c r="AC66" s="167"/>
      <c r="AD66" s="159"/>
      <c r="AE66" s="160"/>
      <c r="AF66" s="161"/>
      <c r="AG66" s="164"/>
      <c r="AH66" s="802"/>
      <c r="AI66" s="802"/>
      <c r="AK66" s="143"/>
      <c r="AL66" s="907" t="str">
        <f t="shared" si="2"/>
        <v/>
      </c>
      <c r="AM66" s="859">
        <f t="shared" si="3"/>
        <v>0</v>
      </c>
      <c r="AN66" s="859">
        <f t="shared" si="9"/>
        <v>0</v>
      </c>
      <c r="AP66" s="886"/>
      <c r="AQ66" s="886"/>
      <c r="AV66" s="143"/>
      <c r="AW66" s="143"/>
      <c r="AX66" s="886"/>
      <c r="AY66" s="886"/>
      <c r="AZ66" s="1349"/>
      <c r="BA66" s="1349"/>
      <c r="BB66" s="1349"/>
      <c r="BC66" s="1349"/>
      <c r="BD66" s="1349"/>
      <c r="BE66" s="918"/>
    </row>
    <row r="67" spans="1:57">
      <c r="A67" s="1338">
        <f t="shared" si="4"/>
        <v>0</v>
      </c>
      <c r="B67" s="162" t="str">
        <f>名簿!P64</f>
        <v/>
      </c>
      <c r="C67" s="162"/>
      <c r="D67" s="931"/>
      <c r="E67" s="182">
        <f>名簿!E64</f>
        <v>0</v>
      </c>
      <c r="F67" s="697" t="str">
        <f>名簿!CM64</f>
        <v/>
      </c>
      <c r="G67" s="162" t="str">
        <f>名簿!Z64</f>
        <v/>
      </c>
      <c r="H67" s="675" t="str">
        <f>名簿!CM64</f>
        <v/>
      </c>
      <c r="I67" s="187" t="str">
        <f>名簿!Y64</f>
        <v/>
      </c>
      <c r="J67" s="190" t="str">
        <f>名簿!CN64</f>
        <v/>
      </c>
      <c r="K67" s="1040">
        <f>名簿!CP64</f>
        <v>0</v>
      </c>
      <c r="L67" s="750" t="str">
        <f>名簿!CU64</f>
        <v>00</v>
      </c>
      <c r="M67" s="162" t="str">
        <f>名簿!Q64</f>
        <v/>
      </c>
      <c r="N67" s="1341">
        <f>名簿!D64</f>
        <v>0</v>
      </c>
      <c r="O67" s="338"/>
      <c r="P67" s="292" t="str">
        <f t="shared" si="10"/>
        <v/>
      </c>
      <c r="Q67" s="669" t="str">
        <f>IF(O67="","",HLOOKUP(O67,名簿!$AH$3:$CF$118,62,FALSE))</f>
        <v/>
      </c>
      <c r="R67" s="1344" t="str">
        <f t="shared" si="5"/>
        <v/>
      </c>
      <c r="S67" s="1282" t="str">
        <f t="shared" si="6"/>
        <v/>
      </c>
      <c r="T67" s="368"/>
      <c r="U67" s="292" t="str">
        <f t="shared" si="11"/>
        <v/>
      </c>
      <c r="V67" s="669" t="str">
        <f>IF(T67="","",HLOOKUP(T67,名簿!$AW$3:$CW$118,62,FALSE))</f>
        <v/>
      </c>
      <c r="W67" s="769" t="str">
        <f t="shared" si="7"/>
        <v/>
      </c>
      <c r="X67" s="774" t="str">
        <f t="shared" si="8"/>
        <v/>
      </c>
      <c r="Y67" s="160"/>
      <c r="Z67" s="165"/>
      <c r="AA67" s="163"/>
      <c r="AB67" s="166"/>
      <c r="AC67" s="167"/>
      <c r="AD67" s="159"/>
      <c r="AE67" s="160"/>
      <c r="AF67" s="161"/>
      <c r="AG67" s="164"/>
      <c r="AH67" s="802"/>
      <c r="AI67" s="802"/>
      <c r="AK67" s="143"/>
      <c r="AL67" s="907" t="str">
        <f t="shared" si="2"/>
        <v/>
      </c>
      <c r="AM67" s="859">
        <f t="shared" si="3"/>
        <v>0</v>
      </c>
      <c r="AN67" s="859">
        <f t="shared" si="9"/>
        <v>0</v>
      </c>
      <c r="AP67" s="886"/>
      <c r="AQ67" s="886"/>
      <c r="AV67" s="143"/>
      <c r="AW67" s="143"/>
      <c r="AX67" s="886"/>
      <c r="AY67" s="886"/>
      <c r="AZ67" s="1349"/>
      <c r="BA67" s="1349"/>
      <c r="BB67" s="1349"/>
      <c r="BC67" s="1349"/>
      <c r="BD67" s="1349"/>
      <c r="BE67" s="918"/>
    </row>
    <row r="68" spans="1:57">
      <c r="A68" s="1338">
        <f t="shared" si="4"/>
        <v>0</v>
      </c>
      <c r="B68" s="162" t="str">
        <f>名簿!P65</f>
        <v/>
      </c>
      <c r="C68" s="162"/>
      <c r="D68" s="931"/>
      <c r="E68" s="182">
        <f>名簿!E65</f>
        <v>0</v>
      </c>
      <c r="F68" s="697" t="str">
        <f>名簿!CM65</f>
        <v/>
      </c>
      <c r="G68" s="162" t="str">
        <f>名簿!Z65</f>
        <v/>
      </c>
      <c r="H68" s="675" t="str">
        <f>名簿!CM65</f>
        <v/>
      </c>
      <c r="I68" s="187" t="str">
        <f>名簿!Y65</f>
        <v/>
      </c>
      <c r="J68" s="190" t="str">
        <f>名簿!CN65</f>
        <v/>
      </c>
      <c r="K68" s="1040">
        <f>名簿!CP65</f>
        <v>0</v>
      </c>
      <c r="L68" s="750" t="str">
        <f>名簿!CU65</f>
        <v>00</v>
      </c>
      <c r="M68" s="162" t="str">
        <f>名簿!Q65</f>
        <v/>
      </c>
      <c r="N68" s="1341">
        <f>名簿!D65</f>
        <v>0</v>
      </c>
      <c r="O68" s="338"/>
      <c r="P68" s="292" t="str">
        <f t="shared" si="10"/>
        <v/>
      </c>
      <c r="Q68" s="669" t="str">
        <f>IF(O68="","",HLOOKUP(O68,名簿!$AH$3:$CF$118,63,FALSE))</f>
        <v/>
      </c>
      <c r="R68" s="1344" t="str">
        <f t="shared" si="5"/>
        <v/>
      </c>
      <c r="S68" s="1282" t="str">
        <f t="shared" si="6"/>
        <v/>
      </c>
      <c r="T68" s="368"/>
      <c r="U68" s="292" t="str">
        <f t="shared" si="11"/>
        <v/>
      </c>
      <c r="V68" s="669" t="str">
        <f>IF(T68="","",HLOOKUP(T68,名簿!$AW$3:$CW$118,63,FALSE))</f>
        <v/>
      </c>
      <c r="W68" s="769" t="str">
        <f t="shared" si="7"/>
        <v/>
      </c>
      <c r="X68" s="774" t="str">
        <f t="shared" si="8"/>
        <v/>
      </c>
      <c r="Y68" s="160"/>
      <c r="Z68" s="165"/>
      <c r="AA68" s="163"/>
      <c r="AB68" s="166"/>
      <c r="AC68" s="167"/>
      <c r="AD68" s="159"/>
      <c r="AE68" s="160"/>
      <c r="AF68" s="161"/>
      <c r="AG68" s="164"/>
      <c r="AH68" s="802"/>
      <c r="AI68" s="802"/>
      <c r="AK68" s="143"/>
      <c r="AL68" s="907" t="str">
        <f t="shared" si="2"/>
        <v/>
      </c>
      <c r="AM68" s="859">
        <f t="shared" si="3"/>
        <v>0</v>
      </c>
      <c r="AN68" s="859">
        <f t="shared" si="9"/>
        <v>0</v>
      </c>
      <c r="AP68" s="886"/>
      <c r="AQ68" s="886"/>
      <c r="AV68" s="143"/>
      <c r="AW68" s="143"/>
      <c r="AX68" s="886"/>
      <c r="AY68" s="886"/>
      <c r="AZ68" s="1349"/>
      <c r="BA68" s="1349"/>
      <c r="BB68" s="1349"/>
      <c r="BC68" s="1349"/>
      <c r="BD68" s="1349"/>
      <c r="BE68" s="918"/>
    </row>
    <row r="69" spans="1:57">
      <c r="A69" s="1338">
        <f t="shared" si="4"/>
        <v>0</v>
      </c>
      <c r="B69" s="162" t="str">
        <f>名簿!P66</f>
        <v/>
      </c>
      <c r="C69" s="162"/>
      <c r="D69" s="931"/>
      <c r="E69" s="182">
        <f>名簿!E66</f>
        <v>0</v>
      </c>
      <c r="F69" s="697" t="str">
        <f>名簿!CM66</f>
        <v/>
      </c>
      <c r="G69" s="162" t="str">
        <f>名簿!Z66</f>
        <v/>
      </c>
      <c r="H69" s="675" t="str">
        <f>名簿!CM66</f>
        <v/>
      </c>
      <c r="I69" s="187" t="str">
        <f>名簿!Y66</f>
        <v/>
      </c>
      <c r="J69" s="190" t="str">
        <f>名簿!CN66</f>
        <v/>
      </c>
      <c r="K69" s="1040">
        <f>名簿!CP66</f>
        <v>0</v>
      </c>
      <c r="L69" s="750" t="str">
        <f>名簿!CU66</f>
        <v>00</v>
      </c>
      <c r="M69" s="162" t="str">
        <f>名簿!Q66</f>
        <v/>
      </c>
      <c r="N69" s="1341">
        <f>名簿!D66</f>
        <v>0</v>
      </c>
      <c r="O69" s="338"/>
      <c r="P69" s="292" t="str">
        <f t="shared" si="10"/>
        <v/>
      </c>
      <c r="Q69" s="669" t="str">
        <f>IF(O69="","",HLOOKUP(O69,名簿!$AH$3:$CF$118,64,FALSE))</f>
        <v/>
      </c>
      <c r="R69" s="1344" t="str">
        <f t="shared" si="5"/>
        <v/>
      </c>
      <c r="S69" s="1282" t="str">
        <f t="shared" si="6"/>
        <v/>
      </c>
      <c r="T69" s="368"/>
      <c r="U69" s="292" t="str">
        <f t="shared" si="11"/>
        <v/>
      </c>
      <c r="V69" s="669" t="str">
        <f>IF(T69="","",HLOOKUP(T69,名簿!$AW$3:$CW$118,64,FALSE))</f>
        <v/>
      </c>
      <c r="W69" s="769" t="str">
        <f t="shared" si="7"/>
        <v/>
      </c>
      <c r="X69" s="774" t="str">
        <f t="shared" si="8"/>
        <v/>
      </c>
      <c r="Y69" s="160"/>
      <c r="Z69" s="165"/>
      <c r="AA69" s="163"/>
      <c r="AB69" s="166"/>
      <c r="AC69" s="167"/>
      <c r="AD69" s="159"/>
      <c r="AE69" s="160"/>
      <c r="AF69" s="161"/>
      <c r="AG69" s="164"/>
      <c r="AH69" s="802"/>
      <c r="AI69" s="802"/>
      <c r="AK69" s="143"/>
      <c r="AL69" s="907" t="str">
        <f t="shared" si="2"/>
        <v/>
      </c>
      <c r="AM69" s="859">
        <f t="shared" si="3"/>
        <v>0</v>
      </c>
      <c r="AN69" s="859">
        <f t="shared" si="9"/>
        <v>0</v>
      </c>
      <c r="AP69" s="886"/>
      <c r="AQ69" s="886"/>
      <c r="AV69" s="143"/>
      <c r="AW69" s="143"/>
      <c r="AX69" s="886"/>
      <c r="AY69" s="886"/>
      <c r="AZ69" s="1349"/>
      <c r="BA69" s="1349"/>
      <c r="BB69" s="1349"/>
      <c r="BC69" s="1349"/>
      <c r="BD69" s="1349"/>
      <c r="BE69" s="918"/>
    </row>
    <row r="70" spans="1:57">
      <c r="A70" s="1338">
        <f t="shared" si="4"/>
        <v>0</v>
      </c>
      <c r="B70" s="162" t="str">
        <f>名簿!P67</f>
        <v/>
      </c>
      <c r="C70" s="162"/>
      <c r="D70" s="931"/>
      <c r="E70" s="182">
        <f>名簿!E67</f>
        <v>0</v>
      </c>
      <c r="F70" s="697" t="str">
        <f>名簿!CM67</f>
        <v/>
      </c>
      <c r="G70" s="162" t="str">
        <f>名簿!Z67</f>
        <v/>
      </c>
      <c r="H70" s="675" t="str">
        <f>名簿!CM67</f>
        <v/>
      </c>
      <c r="I70" s="187" t="str">
        <f>名簿!Y67</f>
        <v/>
      </c>
      <c r="J70" s="190" t="str">
        <f>名簿!CN67</f>
        <v/>
      </c>
      <c r="K70" s="1040">
        <f>名簿!CP67</f>
        <v>0</v>
      </c>
      <c r="L70" s="750" t="str">
        <f>名簿!CU67</f>
        <v>00</v>
      </c>
      <c r="M70" s="162" t="str">
        <f>名簿!Q67</f>
        <v/>
      </c>
      <c r="N70" s="1341">
        <f>名簿!D67</f>
        <v>0</v>
      </c>
      <c r="O70" s="338"/>
      <c r="P70" s="292" t="str">
        <f t="shared" si="10"/>
        <v/>
      </c>
      <c r="Q70" s="669" t="str">
        <f>IF(O70="","",HLOOKUP(O70,名簿!$AH$3:$CF$118,65,FALSE))</f>
        <v/>
      </c>
      <c r="R70" s="1344" t="str">
        <f t="shared" si="5"/>
        <v/>
      </c>
      <c r="S70" s="1282" t="str">
        <f t="shared" si="6"/>
        <v/>
      </c>
      <c r="T70" s="368"/>
      <c r="U70" s="292" t="str">
        <f t="shared" si="11"/>
        <v/>
      </c>
      <c r="V70" s="669" t="str">
        <f>IF(T70="","",HLOOKUP(T70,名簿!$AW$3:$CW$118,65,FALSE))</f>
        <v/>
      </c>
      <c r="W70" s="769" t="str">
        <f t="shared" si="7"/>
        <v/>
      </c>
      <c r="X70" s="774" t="str">
        <f t="shared" si="8"/>
        <v/>
      </c>
      <c r="Y70" s="160"/>
      <c r="Z70" s="165"/>
      <c r="AA70" s="163"/>
      <c r="AB70" s="166"/>
      <c r="AC70" s="167"/>
      <c r="AD70" s="159"/>
      <c r="AE70" s="160"/>
      <c r="AF70" s="161"/>
      <c r="AG70" s="164"/>
      <c r="AH70" s="802"/>
      <c r="AI70" s="802"/>
      <c r="AK70" s="143"/>
      <c r="AL70" s="907" t="str">
        <f t="shared" si="2"/>
        <v/>
      </c>
      <c r="AM70" s="859">
        <f t="shared" si="3"/>
        <v>0</v>
      </c>
      <c r="AN70" s="859">
        <f t="shared" si="9"/>
        <v>0</v>
      </c>
      <c r="AP70" s="886"/>
      <c r="AQ70" s="886"/>
      <c r="AV70" s="143"/>
      <c r="AW70" s="143"/>
      <c r="AX70" s="886"/>
      <c r="AY70" s="886"/>
      <c r="AZ70" s="1349"/>
      <c r="BA70" s="1349"/>
      <c r="BB70" s="1349"/>
      <c r="BC70" s="1349"/>
      <c r="BD70" s="1349"/>
      <c r="BE70" s="918"/>
    </row>
    <row r="71" spans="1:57">
      <c r="A71" s="1338">
        <f t="shared" si="4"/>
        <v>0</v>
      </c>
      <c r="B71" s="162" t="str">
        <f>名簿!P68</f>
        <v/>
      </c>
      <c r="C71" s="162"/>
      <c r="D71" s="931"/>
      <c r="E71" s="182">
        <f>名簿!E68</f>
        <v>0</v>
      </c>
      <c r="F71" s="697" t="str">
        <f>名簿!CM68</f>
        <v/>
      </c>
      <c r="G71" s="162" t="str">
        <f>名簿!Z68</f>
        <v/>
      </c>
      <c r="H71" s="675" t="str">
        <f>名簿!CM68</f>
        <v/>
      </c>
      <c r="I71" s="187" t="str">
        <f>名簿!Y68</f>
        <v/>
      </c>
      <c r="J71" s="190" t="str">
        <f>名簿!CN68</f>
        <v/>
      </c>
      <c r="K71" s="1040">
        <f>名簿!CP68</f>
        <v>0</v>
      </c>
      <c r="L71" s="750" t="str">
        <f>名簿!CU68</f>
        <v>00</v>
      </c>
      <c r="M71" s="162" t="str">
        <f>名簿!Q68</f>
        <v/>
      </c>
      <c r="N71" s="1341">
        <f>名簿!D68</f>
        <v>0</v>
      </c>
      <c r="O71" s="338"/>
      <c r="P71" s="292" t="str">
        <f t="shared" ref="P71:P102" si="12">IF(O71="","",IF(I71=1,VLOOKUP(O71,$AP$8:$AR$12,3,FALSE),IF(I71=2,VLOOKUP(O71,$AP$15:$AR$19,3,FALSE))))</f>
        <v/>
      </c>
      <c r="Q71" s="669" t="str">
        <f>IF(O71="","",HLOOKUP(O71,名簿!$AH$3:$CF$118,66,FALSE))</f>
        <v/>
      </c>
      <c r="R71" s="1344" t="str">
        <f t="shared" si="5"/>
        <v/>
      </c>
      <c r="S71" s="1282" t="str">
        <f t="shared" si="6"/>
        <v/>
      </c>
      <c r="T71" s="368"/>
      <c r="U71" s="292" t="str">
        <f t="shared" ref="U71:U102" si="13">IF(T71="","",IF(I71=1,VLOOKUP(T71,$AP$8:$AR$12,3,FALSE),IF(I71=2,VLOOKUP(T71,$AP$15:$AR$19,3,FALSE))))</f>
        <v/>
      </c>
      <c r="V71" s="669" t="str">
        <f>IF(T71="","",HLOOKUP(T71,名簿!$AW$3:$CW$118,66,FALSE))</f>
        <v/>
      </c>
      <c r="W71" s="769" t="str">
        <f t="shared" si="7"/>
        <v/>
      </c>
      <c r="X71" s="774" t="str">
        <f t="shared" si="8"/>
        <v/>
      </c>
      <c r="Y71" s="160"/>
      <c r="Z71" s="165"/>
      <c r="AA71" s="163"/>
      <c r="AB71" s="166"/>
      <c r="AC71" s="167"/>
      <c r="AD71" s="159"/>
      <c r="AE71" s="160"/>
      <c r="AF71" s="161"/>
      <c r="AG71" s="164"/>
      <c r="AH71" s="802"/>
      <c r="AI71" s="802"/>
      <c r="AK71" s="143"/>
      <c r="AL71" s="907" t="str">
        <f t="shared" ref="AL71:AL116" si="14">IF(O71="","",1)</f>
        <v/>
      </c>
      <c r="AM71" s="859">
        <f t="shared" ref="AM71:AM116" si="15">IF(OR(AL71=1,T71=""),0,1)</f>
        <v>0</v>
      </c>
      <c r="AN71" s="859">
        <f t="shared" si="9"/>
        <v>0</v>
      </c>
      <c r="AP71" s="886"/>
      <c r="AQ71" s="886"/>
      <c r="AV71" s="143"/>
      <c r="AW71" s="143"/>
      <c r="AX71" s="886"/>
      <c r="AY71" s="886"/>
      <c r="AZ71" s="1349"/>
      <c r="BA71" s="1349"/>
      <c r="BB71" s="1349"/>
      <c r="BC71" s="1349"/>
      <c r="BD71" s="1349"/>
      <c r="BE71" s="918"/>
    </row>
    <row r="72" spans="1:57">
      <c r="A72" s="1338">
        <f t="shared" ref="A72:A116" si="16">Z72</f>
        <v>0</v>
      </c>
      <c r="B72" s="162" t="str">
        <f>名簿!P69</f>
        <v/>
      </c>
      <c r="C72" s="162"/>
      <c r="D72" s="931"/>
      <c r="E72" s="182">
        <f>名簿!E69</f>
        <v>0</v>
      </c>
      <c r="F72" s="697" t="str">
        <f>名簿!CM69</f>
        <v/>
      </c>
      <c r="G72" s="162" t="str">
        <f>名簿!Z69</f>
        <v/>
      </c>
      <c r="H72" s="675" t="str">
        <f>名簿!CM69</f>
        <v/>
      </c>
      <c r="I72" s="187" t="str">
        <f>名簿!Y69</f>
        <v/>
      </c>
      <c r="J72" s="190" t="str">
        <f>名簿!CN69</f>
        <v/>
      </c>
      <c r="K72" s="1040">
        <f>名簿!CP69</f>
        <v>0</v>
      </c>
      <c r="L72" s="750" t="str">
        <f>名簿!CU69</f>
        <v>00</v>
      </c>
      <c r="M72" s="162" t="str">
        <f>名簿!Q69</f>
        <v/>
      </c>
      <c r="N72" s="1341">
        <f>名簿!D69</f>
        <v>0</v>
      </c>
      <c r="O72" s="338"/>
      <c r="P72" s="292" t="str">
        <f t="shared" si="12"/>
        <v/>
      </c>
      <c r="Q72" s="669" t="str">
        <f>IF(O72="","",HLOOKUP(O72,名簿!$AH$3:$CF$118,67,FALSE))</f>
        <v/>
      </c>
      <c r="R72" s="1344" t="str">
        <f t="shared" ref="R72:R116" si="17">IF(O72="","",0)</f>
        <v/>
      </c>
      <c r="S72" s="1282" t="str">
        <f t="shared" ref="S72:S116" si="18">IF(O72="","",2)</f>
        <v/>
      </c>
      <c r="T72" s="368"/>
      <c r="U72" s="292" t="str">
        <f t="shared" si="13"/>
        <v/>
      </c>
      <c r="V72" s="669" t="str">
        <f>IF(T72="","",HLOOKUP(T72,名簿!$AW$3:$CW$118,67,FALSE))</f>
        <v/>
      </c>
      <c r="W72" s="769" t="str">
        <f t="shared" ref="W72:W116" si="19">IF(T72="","",0)</f>
        <v/>
      </c>
      <c r="X72" s="774" t="str">
        <f t="shared" ref="X72:X116" si="20">IF(T72="","",2)</f>
        <v/>
      </c>
      <c r="Y72" s="160"/>
      <c r="Z72" s="165"/>
      <c r="AA72" s="163"/>
      <c r="AB72" s="166"/>
      <c r="AC72" s="167"/>
      <c r="AD72" s="159"/>
      <c r="AE72" s="160"/>
      <c r="AF72" s="161"/>
      <c r="AG72" s="164"/>
      <c r="AH72" s="802"/>
      <c r="AI72" s="802"/>
      <c r="AK72" s="143"/>
      <c r="AL72" s="907" t="str">
        <f t="shared" si="14"/>
        <v/>
      </c>
      <c r="AM72" s="859">
        <f t="shared" si="15"/>
        <v>0</v>
      </c>
      <c r="AN72" s="859">
        <f t="shared" ref="AN72:AN116" si="21">IF(OR(AL72=1,AM72=1,AB72=""),0,1)</f>
        <v>0</v>
      </c>
      <c r="AP72" s="886"/>
      <c r="AQ72" s="886"/>
      <c r="AV72" s="143"/>
      <c r="AW72" s="143"/>
      <c r="AX72" s="886"/>
      <c r="AY72" s="886"/>
      <c r="AZ72" s="1349"/>
      <c r="BA72" s="1349"/>
      <c r="BB72" s="1349"/>
      <c r="BC72" s="1349"/>
      <c r="BD72" s="1349"/>
      <c r="BE72" s="918"/>
    </row>
    <row r="73" spans="1:57">
      <c r="A73" s="1338">
        <f t="shared" si="16"/>
        <v>0</v>
      </c>
      <c r="B73" s="162" t="str">
        <f>名簿!P70</f>
        <v/>
      </c>
      <c r="C73" s="162"/>
      <c r="D73" s="931"/>
      <c r="E73" s="182">
        <f>名簿!E70</f>
        <v>0</v>
      </c>
      <c r="F73" s="697" t="str">
        <f>名簿!CM70</f>
        <v/>
      </c>
      <c r="G73" s="162" t="str">
        <f>名簿!Z70</f>
        <v/>
      </c>
      <c r="H73" s="675" t="str">
        <f>名簿!CM70</f>
        <v/>
      </c>
      <c r="I73" s="187" t="str">
        <f>名簿!Y70</f>
        <v/>
      </c>
      <c r="J73" s="190" t="str">
        <f>名簿!CN70</f>
        <v/>
      </c>
      <c r="K73" s="1040">
        <f>名簿!CP70</f>
        <v>0</v>
      </c>
      <c r="L73" s="750" t="str">
        <f>名簿!CU70</f>
        <v>00</v>
      </c>
      <c r="M73" s="162" t="str">
        <f>名簿!Q70</f>
        <v/>
      </c>
      <c r="N73" s="1341">
        <f>名簿!D70</f>
        <v>0</v>
      </c>
      <c r="O73" s="338"/>
      <c r="P73" s="292" t="str">
        <f t="shared" si="12"/>
        <v/>
      </c>
      <c r="Q73" s="669" t="str">
        <f>IF(O73="","",HLOOKUP(O73,名簿!$AH$3:$CF$118,68,FALSE))</f>
        <v/>
      </c>
      <c r="R73" s="1344" t="str">
        <f t="shared" si="17"/>
        <v/>
      </c>
      <c r="S73" s="1282" t="str">
        <f t="shared" si="18"/>
        <v/>
      </c>
      <c r="T73" s="368"/>
      <c r="U73" s="292" t="str">
        <f t="shared" si="13"/>
        <v/>
      </c>
      <c r="V73" s="669" t="str">
        <f>IF(T73="","",HLOOKUP(T73,名簿!$AW$3:$CW$118,68,FALSE))</f>
        <v/>
      </c>
      <c r="W73" s="769" t="str">
        <f t="shared" si="19"/>
        <v/>
      </c>
      <c r="X73" s="774" t="str">
        <f t="shared" si="20"/>
        <v/>
      </c>
      <c r="Y73" s="160"/>
      <c r="Z73" s="165"/>
      <c r="AA73" s="163"/>
      <c r="AB73" s="166"/>
      <c r="AC73" s="167"/>
      <c r="AD73" s="159"/>
      <c r="AE73" s="160"/>
      <c r="AF73" s="161"/>
      <c r="AG73" s="164"/>
      <c r="AH73" s="802"/>
      <c r="AI73" s="802"/>
      <c r="AK73" s="143"/>
      <c r="AL73" s="907" t="str">
        <f t="shared" si="14"/>
        <v/>
      </c>
      <c r="AM73" s="859">
        <f t="shared" si="15"/>
        <v>0</v>
      </c>
      <c r="AN73" s="859">
        <f t="shared" si="21"/>
        <v>0</v>
      </c>
      <c r="AP73" s="886"/>
      <c r="AQ73" s="886"/>
      <c r="AV73" s="143"/>
      <c r="AW73" s="143"/>
      <c r="AX73" s="886"/>
      <c r="AY73" s="886"/>
      <c r="AZ73" s="1349"/>
      <c r="BA73" s="1349"/>
      <c r="BB73" s="1349"/>
      <c r="BC73" s="1349"/>
      <c r="BD73" s="1349"/>
      <c r="BE73" s="918"/>
    </row>
    <row r="74" spans="1:57">
      <c r="A74" s="1338">
        <f t="shared" si="16"/>
        <v>0</v>
      </c>
      <c r="B74" s="162" t="str">
        <f>名簿!P71</f>
        <v/>
      </c>
      <c r="C74" s="162"/>
      <c r="D74" s="931"/>
      <c r="E74" s="182">
        <f>名簿!E71</f>
        <v>0</v>
      </c>
      <c r="F74" s="697" t="str">
        <f>名簿!CM71</f>
        <v/>
      </c>
      <c r="G74" s="162" t="str">
        <f>名簿!Z71</f>
        <v/>
      </c>
      <c r="H74" s="675" t="str">
        <f>名簿!CM71</f>
        <v/>
      </c>
      <c r="I74" s="187" t="str">
        <f>名簿!Y71</f>
        <v/>
      </c>
      <c r="J74" s="190" t="str">
        <f>名簿!CN71</f>
        <v/>
      </c>
      <c r="K74" s="1040">
        <f>名簿!CP71</f>
        <v>0</v>
      </c>
      <c r="L74" s="750" t="str">
        <f>名簿!CU71</f>
        <v>00</v>
      </c>
      <c r="M74" s="162" t="str">
        <f>名簿!Q71</f>
        <v/>
      </c>
      <c r="N74" s="1341">
        <f>名簿!D71</f>
        <v>0</v>
      </c>
      <c r="O74" s="338"/>
      <c r="P74" s="292" t="str">
        <f t="shared" si="12"/>
        <v/>
      </c>
      <c r="Q74" s="669" t="str">
        <f>IF(O74="","",HLOOKUP(O74,名簿!$AH$3:$CF$118,69,FALSE))</f>
        <v/>
      </c>
      <c r="R74" s="1344" t="str">
        <f t="shared" si="17"/>
        <v/>
      </c>
      <c r="S74" s="1282" t="str">
        <f t="shared" si="18"/>
        <v/>
      </c>
      <c r="T74" s="368"/>
      <c r="U74" s="292" t="str">
        <f t="shared" si="13"/>
        <v/>
      </c>
      <c r="V74" s="669" t="str">
        <f>IF(T74="","",HLOOKUP(T74,名簿!$AW$3:$CW$118,69,FALSE))</f>
        <v/>
      </c>
      <c r="W74" s="769" t="str">
        <f t="shared" si="19"/>
        <v/>
      </c>
      <c r="X74" s="774" t="str">
        <f t="shared" si="20"/>
        <v/>
      </c>
      <c r="Y74" s="160"/>
      <c r="Z74" s="165"/>
      <c r="AA74" s="163"/>
      <c r="AB74" s="166"/>
      <c r="AC74" s="167"/>
      <c r="AD74" s="159"/>
      <c r="AE74" s="160"/>
      <c r="AF74" s="161"/>
      <c r="AG74" s="164"/>
      <c r="AH74" s="802"/>
      <c r="AI74" s="802"/>
      <c r="AK74" s="143"/>
      <c r="AL74" s="907" t="str">
        <f t="shared" si="14"/>
        <v/>
      </c>
      <c r="AM74" s="859">
        <f t="shared" si="15"/>
        <v>0</v>
      </c>
      <c r="AN74" s="859">
        <f t="shared" si="21"/>
        <v>0</v>
      </c>
      <c r="AP74" s="886"/>
      <c r="AQ74" s="886"/>
      <c r="AV74" s="143"/>
      <c r="AW74" s="143"/>
      <c r="AX74" s="886"/>
      <c r="AY74" s="886"/>
      <c r="AZ74" s="1349"/>
      <c r="BA74" s="1349"/>
      <c r="BB74" s="1349"/>
      <c r="BC74" s="1349"/>
      <c r="BD74" s="1349"/>
      <c r="BE74" s="918"/>
    </row>
    <row r="75" spans="1:57">
      <c r="A75" s="1338">
        <f t="shared" si="16"/>
        <v>0</v>
      </c>
      <c r="B75" s="162" t="str">
        <f>名簿!P72</f>
        <v/>
      </c>
      <c r="C75" s="162"/>
      <c r="D75" s="931"/>
      <c r="E75" s="182">
        <f>名簿!E72</f>
        <v>0</v>
      </c>
      <c r="F75" s="697" t="str">
        <f>名簿!CM72</f>
        <v/>
      </c>
      <c r="G75" s="162" t="str">
        <f>名簿!Z72</f>
        <v/>
      </c>
      <c r="H75" s="675" t="str">
        <f>名簿!CM72</f>
        <v/>
      </c>
      <c r="I75" s="187" t="str">
        <f>名簿!Y72</f>
        <v/>
      </c>
      <c r="J75" s="190" t="str">
        <f>名簿!CN72</f>
        <v/>
      </c>
      <c r="K75" s="1040">
        <f>名簿!CP72</f>
        <v>0</v>
      </c>
      <c r="L75" s="750" t="str">
        <f>名簿!CU72</f>
        <v>00</v>
      </c>
      <c r="M75" s="162" t="str">
        <f>名簿!Q72</f>
        <v/>
      </c>
      <c r="N75" s="1341">
        <f>名簿!D72</f>
        <v>0</v>
      </c>
      <c r="O75" s="338"/>
      <c r="P75" s="292" t="str">
        <f t="shared" si="12"/>
        <v/>
      </c>
      <c r="Q75" s="669" t="str">
        <f>IF(O75="","",HLOOKUP(O75,名簿!$AH$3:$CF$118,70,FALSE))</f>
        <v/>
      </c>
      <c r="R75" s="1344" t="str">
        <f t="shared" si="17"/>
        <v/>
      </c>
      <c r="S75" s="1282" t="str">
        <f t="shared" si="18"/>
        <v/>
      </c>
      <c r="T75" s="368"/>
      <c r="U75" s="292" t="str">
        <f t="shared" si="13"/>
        <v/>
      </c>
      <c r="V75" s="669" t="str">
        <f>IF(T75="","",HLOOKUP(T75,名簿!$AW$3:$CW$118,70,FALSE))</f>
        <v/>
      </c>
      <c r="W75" s="769" t="str">
        <f t="shared" si="19"/>
        <v/>
      </c>
      <c r="X75" s="774" t="str">
        <f t="shared" si="20"/>
        <v/>
      </c>
      <c r="Y75" s="160"/>
      <c r="Z75" s="165"/>
      <c r="AA75" s="163"/>
      <c r="AB75" s="166"/>
      <c r="AC75" s="167"/>
      <c r="AD75" s="159"/>
      <c r="AE75" s="160"/>
      <c r="AF75" s="161"/>
      <c r="AG75" s="164"/>
      <c r="AH75" s="802"/>
      <c r="AI75" s="802"/>
      <c r="AK75" s="143"/>
      <c r="AL75" s="907" t="str">
        <f t="shared" si="14"/>
        <v/>
      </c>
      <c r="AM75" s="859">
        <f t="shared" si="15"/>
        <v>0</v>
      </c>
      <c r="AN75" s="859">
        <f t="shared" si="21"/>
        <v>0</v>
      </c>
      <c r="AP75" s="886"/>
      <c r="AQ75" s="886"/>
      <c r="AV75" s="143"/>
      <c r="AW75" s="143"/>
      <c r="AX75" s="886"/>
      <c r="AY75" s="886"/>
      <c r="AZ75" s="1349"/>
      <c r="BA75" s="1349"/>
      <c r="BB75" s="1349"/>
      <c r="BC75" s="1349"/>
      <c r="BD75" s="1349"/>
      <c r="BE75" s="918"/>
    </row>
    <row r="76" spans="1:57">
      <c r="A76" s="1338">
        <f t="shared" si="16"/>
        <v>0</v>
      </c>
      <c r="B76" s="162" t="str">
        <f>名簿!P73</f>
        <v/>
      </c>
      <c r="C76" s="162"/>
      <c r="D76" s="931"/>
      <c r="E76" s="182">
        <f>名簿!E73</f>
        <v>0</v>
      </c>
      <c r="F76" s="697" t="str">
        <f>名簿!CM73</f>
        <v/>
      </c>
      <c r="G76" s="162" t="str">
        <f>名簿!Z73</f>
        <v/>
      </c>
      <c r="H76" s="675" t="str">
        <f>名簿!CM73</f>
        <v/>
      </c>
      <c r="I76" s="187" t="str">
        <f>名簿!Y73</f>
        <v/>
      </c>
      <c r="J76" s="190" t="str">
        <f>名簿!CN73</f>
        <v/>
      </c>
      <c r="K76" s="1040">
        <f>名簿!CP73</f>
        <v>0</v>
      </c>
      <c r="L76" s="750" t="str">
        <f>名簿!CU73</f>
        <v>00</v>
      </c>
      <c r="M76" s="162" t="str">
        <f>名簿!Q73</f>
        <v/>
      </c>
      <c r="N76" s="1341">
        <f>名簿!D73</f>
        <v>0</v>
      </c>
      <c r="O76" s="338"/>
      <c r="P76" s="292" t="str">
        <f t="shared" si="12"/>
        <v/>
      </c>
      <c r="Q76" s="669" t="str">
        <f>IF(O76="","",HLOOKUP(O76,名簿!$AH$3:$CF$118,71,FALSE))</f>
        <v/>
      </c>
      <c r="R76" s="1344" t="str">
        <f t="shared" si="17"/>
        <v/>
      </c>
      <c r="S76" s="1282" t="str">
        <f t="shared" si="18"/>
        <v/>
      </c>
      <c r="T76" s="368"/>
      <c r="U76" s="292" t="str">
        <f t="shared" si="13"/>
        <v/>
      </c>
      <c r="V76" s="669" t="str">
        <f>IF(T76="","",HLOOKUP(T76,名簿!$AW$3:$CW$118,71,FALSE))</f>
        <v/>
      </c>
      <c r="W76" s="769" t="str">
        <f t="shared" si="19"/>
        <v/>
      </c>
      <c r="X76" s="774" t="str">
        <f t="shared" si="20"/>
        <v/>
      </c>
      <c r="Y76" s="160"/>
      <c r="Z76" s="165"/>
      <c r="AA76" s="163"/>
      <c r="AB76" s="166"/>
      <c r="AC76" s="167"/>
      <c r="AD76" s="159"/>
      <c r="AE76" s="160"/>
      <c r="AF76" s="161"/>
      <c r="AG76" s="164"/>
      <c r="AH76" s="802"/>
      <c r="AI76" s="802"/>
      <c r="AK76" s="143"/>
      <c r="AL76" s="907" t="str">
        <f t="shared" si="14"/>
        <v/>
      </c>
      <c r="AM76" s="859">
        <f t="shared" si="15"/>
        <v>0</v>
      </c>
      <c r="AN76" s="859">
        <f t="shared" si="21"/>
        <v>0</v>
      </c>
      <c r="AP76" s="886"/>
      <c r="AQ76" s="886"/>
      <c r="AV76" s="143"/>
      <c r="AW76" s="143"/>
      <c r="AX76" s="886"/>
      <c r="AY76" s="886"/>
      <c r="AZ76" s="1349"/>
      <c r="BA76" s="1349"/>
      <c r="BB76" s="1349"/>
      <c r="BC76" s="1349"/>
      <c r="BD76" s="1349"/>
      <c r="BE76" s="918"/>
    </row>
    <row r="77" spans="1:57">
      <c r="A77" s="1338">
        <f t="shared" si="16"/>
        <v>0</v>
      </c>
      <c r="B77" s="162" t="str">
        <f>名簿!P74</f>
        <v/>
      </c>
      <c r="C77" s="162"/>
      <c r="D77" s="931"/>
      <c r="E77" s="182">
        <f>名簿!E74</f>
        <v>0</v>
      </c>
      <c r="F77" s="697" t="str">
        <f>名簿!CM74</f>
        <v/>
      </c>
      <c r="G77" s="162" t="str">
        <f>名簿!Z74</f>
        <v/>
      </c>
      <c r="H77" s="675" t="str">
        <f>名簿!CM74</f>
        <v/>
      </c>
      <c r="I77" s="187" t="str">
        <f>名簿!Y74</f>
        <v/>
      </c>
      <c r="J77" s="190" t="str">
        <f>名簿!CN74</f>
        <v/>
      </c>
      <c r="K77" s="1040">
        <f>名簿!CP74</f>
        <v>0</v>
      </c>
      <c r="L77" s="750" t="str">
        <f>名簿!CU74</f>
        <v>00</v>
      </c>
      <c r="M77" s="162" t="str">
        <f>名簿!Q74</f>
        <v/>
      </c>
      <c r="N77" s="1341">
        <f>名簿!D74</f>
        <v>0</v>
      </c>
      <c r="O77" s="338"/>
      <c r="P77" s="292" t="str">
        <f t="shared" si="12"/>
        <v/>
      </c>
      <c r="Q77" s="669" t="str">
        <f>IF(O77="","",HLOOKUP(O77,名簿!$AH$3:$CF$118,72,FALSE))</f>
        <v/>
      </c>
      <c r="R77" s="1344" t="str">
        <f t="shared" si="17"/>
        <v/>
      </c>
      <c r="S77" s="1282" t="str">
        <f t="shared" si="18"/>
        <v/>
      </c>
      <c r="T77" s="368"/>
      <c r="U77" s="292" t="str">
        <f t="shared" si="13"/>
        <v/>
      </c>
      <c r="V77" s="669" t="str">
        <f>IF(T77="","",HLOOKUP(T77,名簿!$AW$3:$CW$118,72,FALSE))</f>
        <v/>
      </c>
      <c r="W77" s="769" t="str">
        <f t="shared" si="19"/>
        <v/>
      </c>
      <c r="X77" s="774" t="str">
        <f t="shared" si="20"/>
        <v/>
      </c>
      <c r="Y77" s="160"/>
      <c r="Z77" s="165"/>
      <c r="AA77" s="163"/>
      <c r="AB77" s="166"/>
      <c r="AC77" s="167"/>
      <c r="AD77" s="159"/>
      <c r="AE77" s="160"/>
      <c r="AF77" s="161"/>
      <c r="AG77" s="164"/>
      <c r="AH77" s="802"/>
      <c r="AI77" s="802"/>
      <c r="AK77" s="143"/>
      <c r="AL77" s="907" t="str">
        <f t="shared" si="14"/>
        <v/>
      </c>
      <c r="AM77" s="859">
        <f t="shared" si="15"/>
        <v>0</v>
      </c>
      <c r="AN77" s="859">
        <f t="shared" si="21"/>
        <v>0</v>
      </c>
      <c r="AP77" s="886"/>
      <c r="AQ77" s="886"/>
      <c r="AV77" s="143"/>
      <c r="AW77" s="143"/>
      <c r="AX77" s="886"/>
      <c r="AY77" s="886"/>
      <c r="AZ77" s="1349"/>
      <c r="BA77" s="1349"/>
      <c r="BB77" s="1349"/>
      <c r="BC77" s="1349"/>
      <c r="BD77" s="1349"/>
      <c r="BE77" s="918"/>
    </row>
    <row r="78" spans="1:57">
      <c r="A78" s="1338">
        <f t="shared" si="16"/>
        <v>0</v>
      </c>
      <c r="B78" s="162" t="str">
        <f>名簿!P75</f>
        <v/>
      </c>
      <c r="C78" s="162"/>
      <c r="D78" s="931"/>
      <c r="E78" s="182">
        <f>名簿!E75</f>
        <v>0</v>
      </c>
      <c r="F78" s="697" t="str">
        <f>名簿!CM75</f>
        <v/>
      </c>
      <c r="G78" s="162" t="str">
        <f>名簿!Z75</f>
        <v/>
      </c>
      <c r="H78" s="675" t="str">
        <f>名簿!CM75</f>
        <v/>
      </c>
      <c r="I78" s="187" t="str">
        <f>名簿!Y75</f>
        <v/>
      </c>
      <c r="J78" s="190" t="str">
        <f>名簿!CN75</f>
        <v/>
      </c>
      <c r="K78" s="1040">
        <f>名簿!CP75</f>
        <v>0</v>
      </c>
      <c r="L78" s="750" t="str">
        <f>名簿!CU75</f>
        <v>00</v>
      </c>
      <c r="M78" s="162" t="str">
        <f>名簿!Q75</f>
        <v/>
      </c>
      <c r="N78" s="1341">
        <f>名簿!D75</f>
        <v>0</v>
      </c>
      <c r="O78" s="338"/>
      <c r="P78" s="292" t="str">
        <f t="shared" si="12"/>
        <v/>
      </c>
      <c r="Q78" s="669" t="str">
        <f>IF(O78="","",HLOOKUP(O78,名簿!$AH$3:$CF$118,73,FALSE))</f>
        <v/>
      </c>
      <c r="R78" s="1344" t="str">
        <f t="shared" si="17"/>
        <v/>
      </c>
      <c r="S78" s="1282" t="str">
        <f t="shared" si="18"/>
        <v/>
      </c>
      <c r="T78" s="368"/>
      <c r="U78" s="292" t="str">
        <f t="shared" si="13"/>
        <v/>
      </c>
      <c r="V78" s="669" t="str">
        <f>IF(T78="","",HLOOKUP(T78,名簿!$AW$3:$CW$118,73,FALSE))</f>
        <v/>
      </c>
      <c r="W78" s="769" t="str">
        <f t="shared" si="19"/>
        <v/>
      </c>
      <c r="X78" s="774" t="str">
        <f t="shared" si="20"/>
        <v/>
      </c>
      <c r="Y78" s="160"/>
      <c r="Z78" s="165"/>
      <c r="AA78" s="163"/>
      <c r="AB78" s="166"/>
      <c r="AC78" s="167"/>
      <c r="AD78" s="159"/>
      <c r="AE78" s="160"/>
      <c r="AF78" s="161"/>
      <c r="AG78" s="164"/>
      <c r="AH78" s="802"/>
      <c r="AI78" s="802"/>
      <c r="AK78" s="143"/>
      <c r="AL78" s="907" t="str">
        <f t="shared" si="14"/>
        <v/>
      </c>
      <c r="AM78" s="859">
        <f t="shared" si="15"/>
        <v>0</v>
      </c>
      <c r="AN78" s="859">
        <f t="shared" si="21"/>
        <v>0</v>
      </c>
      <c r="AP78" s="886"/>
      <c r="AQ78" s="886"/>
      <c r="AV78" s="143"/>
      <c r="AW78" s="143"/>
      <c r="AX78" s="886"/>
      <c r="AY78" s="886"/>
      <c r="AZ78" s="1349"/>
      <c r="BA78" s="1349"/>
      <c r="BB78" s="1349"/>
      <c r="BC78" s="1349"/>
      <c r="BD78" s="1349"/>
      <c r="BE78" s="918"/>
    </row>
    <row r="79" spans="1:57">
      <c r="A79" s="1338">
        <f t="shared" si="16"/>
        <v>0</v>
      </c>
      <c r="B79" s="162" t="str">
        <f>名簿!P76</f>
        <v/>
      </c>
      <c r="C79" s="162"/>
      <c r="D79" s="931"/>
      <c r="E79" s="182">
        <f>名簿!E76</f>
        <v>0</v>
      </c>
      <c r="F79" s="697" t="str">
        <f>名簿!CM76</f>
        <v/>
      </c>
      <c r="G79" s="162" t="str">
        <f>名簿!Z76</f>
        <v/>
      </c>
      <c r="H79" s="675" t="str">
        <f>名簿!CM76</f>
        <v/>
      </c>
      <c r="I79" s="187" t="str">
        <f>名簿!Y76</f>
        <v/>
      </c>
      <c r="J79" s="190" t="str">
        <f>名簿!CN76</f>
        <v/>
      </c>
      <c r="K79" s="1040">
        <f>名簿!CP76</f>
        <v>0</v>
      </c>
      <c r="L79" s="750" t="str">
        <f>名簿!CU76</f>
        <v>00</v>
      </c>
      <c r="M79" s="162" t="str">
        <f>名簿!Q76</f>
        <v/>
      </c>
      <c r="N79" s="1341">
        <f>名簿!D76</f>
        <v>0</v>
      </c>
      <c r="O79" s="338"/>
      <c r="P79" s="292" t="str">
        <f t="shared" si="12"/>
        <v/>
      </c>
      <c r="Q79" s="669" t="str">
        <f>IF(O79="","",HLOOKUP(O79,名簿!$AH$3:$CF$118,74,FALSE))</f>
        <v/>
      </c>
      <c r="R79" s="1344" t="str">
        <f t="shared" si="17"/>
        <v/>
      </c>
      <c r="S79" s="1282" t="str">
        <f t="shared" si="18"/>
        <v/>
      </c>
      <c r="T79" s="368"/>
      <c r="U79" s="292" t="str">
        <f t="shared" si="13"/>
        <v/>
      </c>
      <c r="V79" s="669" t="str">
        <f>IF(T79="","",HLOOKUP(T79,名簿!$AW$3:$CW$118,74,FALSE))</f>
        <v/>
      </c>
      <c r="W79" s="769" t="str">
        <f t="shared" si="19"/>
        <v/>
      </c>
      <c r="X79" s="774" t="str">
        <f t="shared" si="20"/>
        <v/>
      </c>
      <c r="Y79" s="160"/>
      <c r="Z79" s="165"/>
      <c r="AA79" s="163"/>
      <c r="AB79" s="166"/>
      <c r="AC79" s="167"/>
      <c r="AD79" s="159"/>
      <c r="AE79" s="160"/>
      <c r="AF79" s="161"/>
      <c r="AG79" s="164"/>
      <c r="AH79" s="802"/>
      <c r="AI79" s="802"/>
      <c r="AK79" s="143"/>
      <c r="AL79" s="907" t="str">
        <f t="shared" si="14"/>
        <v/>
      </c>
      <c r="AM79" s="859">
        <f t="shared" si="15"/>
        <v>0</v>
      </c>
      <c r="AN79" s="859">
        <f t="shared" si="21"/>
        <v>0</v>
      </c>
      <c r="AP79" s="886"/>
      <c r="AQ79" s="886"/>
      <c r="AV79" s="143"/>
      <c r="AW79" s="143"/>
      <c r="AX79" s="886"/>
      <c r="AY79" s="886"/>
      <c r="AZ79" s="1349"/>
      <c r="BA79" s="1349"/>
      <c r="BB79" s="1349"/>
      <c r="BC79" s="1349"/>
      <c r="BD79" s="1349"/>
      <c r="BE79" s="918"/>
    </row>
    <row r="80" spans="1:57">
      <c r="A80" s="1338">
        <f t="shared" si="16"/>
        <v>0</v>
      </c>
      <c r="B80" s="162" t="str">
        <f>名簿!P77</f>
        <v/>
      </c>
      <c r="C80" s="162"/>
      <c r="D80" s="931"/>
      <c r="E80" s="182">
        <f>名簿!E77</f>
        <v>0</v>
      </c>
      <c r="F80" s="697" t="str">
        <f>名簿!CM77</f>
        <v/>
      </c>
      <c r="G80" s="162" t="str">
        <f>名簿!Z77</f>
        <v/>
      </c>
      <c r="H80" s="675" t="str">
        <f>名簿!CM77</f>
        <v/>
      </c>
      <c r="I80" s="187" t="str">
        <f>名簿!Y77</f>
        <v/>
      </c>
      <c r="J80" s="190" t="str">
        <f>名簿!CN77</f>
        <v/>
      </c>
      <c r="K80" s="1040">
        <f>名簿!CP77</f>
        <v>0</v>
      </c>
      <c r="L80" s="750" t="str">
        <f>名簿!CU77</f>
        <v>00</v>
      </c>
      <c r="M80" s="162" t="str">
        <f>名簿!Q77</f>
        <v/>
      </c>
      <c r="N80" s="1341">
        <f>名簿!D77</f>
        <v>0</v>
      </c>
      <c r="O80" s="338"/>
      <c r="P80" s="292" t="str">
        <f t="shared" si="12"/>
        <v/>
      </c>
      <c r="Q80" s="669" t="str">
        <f>IF(O80="","",HLOOKUP(O80,名簿!$AH$3:$CF$118,75,FALSE))</f>
        <v/>
      </c>
      <c r="R80" s="1344" t="str">
        <f t="shared" si="17"/>
        <v/>
      </c>
      <c r="S80" s="1282" t="str">
        <f t="shared" si="18"/>
        <v/>
      </c>
      <c r="T80" s="368"/>
      <c r="U80" s="292" t="str">
        <f t="shared" si="13"/>
        <v/>
      </c>
      <c r="V80" s="669" t="str">
        <f>IF(T80="","",HLOOKUP(T80,名簿!$AW$3:$CW$118,75,FALSE))</f>
        <v/>
      </c>
      <c r="W80" s="769" t="str">
        <f t="shared" si="19"/>
        <v/>
      </c>
      <c r="X80" s="774" t="str">
        <f t="shared" si="20"/>
        <v/>
      </c>
      <c r="Y80" s="160"/>
      <c r="Z80" s="165"/>
      <c r="AA80" s="163"/>
      <c r="AB80" s="166"/>
      <c r="AC80" s="167"/>
      <c r="AD80" s="159"/>
      <c r="AE80" s="160"/>
      <c r="AF80" s="161"/>
      <c r="AG80" s="164"/>
      <c r="AH80" s="802"/>
      <c r="AI80" s="802"/>
      <c r="AK80" s="143"/>
      <c r="AL80" s="907" t="str">
        <f t="shared" si="14"/>
        <v/>
      </c>
      <c r="AM80" s="859">
        <f t="shared" si="15"/>
        <v>0</v>
      </c>
      <c r="AN80" s="859">
        <f t="shared" si="21"/>
        <v>0</v>
      </c>
      <c r="AP80" s="886"/>
      <c r="AQ80" s="886"/>
      <c r="AV80" s="143"/>
      <c r="AW80" s="143"/>
      <c r="AX80" s="886"/>
      <c r="AY80" s="886"/>
      <c r="AZ80" s="1349"/>
      <c r="BA80" s="1349"/>
      <c r="BB80" s="1349"/>
      <c r="BC80" s="1349"/>
      <c r="BD80" s="1349"/>
      <c r="BE80" s="918"/>
    </row>
    <row r="81" spans="1:57">
      <c r="A81" s="1338">
        <f t="shared" si="16"/>
        <v>0</v>
      </c>
      <c r="B81" s="162" t="str">
        <f>名簿!P78</f>
        <v/>
      </c>
      <c r="C81" s="162"/>
      <c r="D81" s="931"/>
      <c r="E81" s="182">
        <f>名簿!E78</f>
        <v>0</v>
      </c>
      <c r="F81" s="697" t="str">
        <f>名簿!CM78</f>
        <v/>
      </c>
      <c r="G81" s="162" t="str">
        <f>名簿!Z78</f>
        <v/>
      </c>
      <c r="H81" s="675" t="str">
        <f>名簿!CM78</f>
        <v/>
      </c>
      <c r="I81" s="187" t="str">
        <f>名簿!Y78</f>
        <v/>
      </c>
      <c r="J81" s="190" t="str">
        <f>名簿!CN78</f>
        <v/>
      </c>
      <c r="K81" s="1040">
        <f>名簿!CP78</f>
        <v>0</v>
      </c>
      <c r="L81" s="750" t="str">
        <f>名簿!CU78</f>
        <v>00</v>
      </c>
      <c r="M81" s="162" t="str">
        <f>名簿!Q78</f>
        <v/>
      </c>
      <c r="N81" s="1341">
        <f>名簿!D78</f>
        <v>0</v>
      </c>
      <c r="O81" s="338"/>
      <c r="P81" s="292" t="str">
        <f t="shared" si="12"/>
        <v/>
      </c>
      <c r="Q81" s="669" t="str">
        <f>IF(O81="","",HLOOKUP(O81,名簿!$AH$3:$CF$118,76,FALSE))</f>
        <v/>
      </c>
      <c r="R81" s="1344" t="str">
        <f t="shared" si="17"/>
        <v/>
      </c>
      <c r="S81" s="1282" t="str">
        <f t="shared" si="18"/>
        <v/>
      </c>
      <c r="T81" s="368"/>
      <c r="U81" s="292" t="str">
        <f t="shared" si="13"/>
        <v/>
      </c>
      <c r="V81" s="669" t="str">
        <f>IF(T81="","",HLOOKUP(T81,名簿!$AW$3:$CW$118,76,FALSE))</f>
        <v/>
      </c>
      <c r="W81" s="769" t="str">
        <f t="shared" si="19"/>
        <v/>
      </c>
      <c r="X81" s="774" t="str">
        <f t="shared" si="20"/>
        <v/>
      </c>
      <c r="Y81" s="160"/>
      <c r="Z81" s="165"/>
      <c r="AA81" s="163"/>
      <c r="AB81" s="166"/>
      <c r="AC81" s="167"/>
      <c r="AD81" s="159"/>
      <c r="AE81" s="160"/>
      <c r="AF81" s="161"/>
      <c r="AG81" s="164"/>
      <c r="AH81" s="802"/>
      <c r="AI81" s="802"/>
      <c r="AK81" s="143"/>
      <c r="AL81" s="907" t="str">
        <f t="shared" si="14"/>
        <v/>
      </c>
      <c r="AM81" s="859">
        <f t="shared" si="15"/>
        <v>0</v>
      </c>
      <c r="AN81" s="859">
        <f t="shared" si="21"/>
        <v>0</v>
      </c>
      <c r="AP81" s="886"/>
      <c r="AQ81" s="886"/>
      <c r="AV81" s="143"/>
      <c r="AW81" s="143"/>
      <c r="AX81" s="886"/>
      <c r="AY81" s="886"/>
      <c r="AZ81" s="1349"/>
      <c r="BA81" s="1349"/>
      <c r="BB81" s="1349"/>
      <c r="BC81" s="1349"/>
      <c r="BD81" s="1349"/>
      <c r="BE81" s="918"/>
    </row>
    <row r="82" spans="1:57">
      <c r="A82" s="1338">
        <f t="shared" si="16"/>
        <v>0</v>
      </c>
      <c r="B82" s="162" t="str">
        <f>名簿!P79</f>
        <v/>
      </c>
      <c r="C82" s="162"/>
      <c r="D82" s="931"/>
      <c r="E82" s="182">
        <f>名簿!E79</f>
        <v>0</v>
      </c>
      <c r="F82" s="697" t="str">
        <f>名簿!CM79</f>
        <v/>
      </c>
      <c r="G82" s="162" t="str">
        <f>名簿!Z79</f>
        <v/>
      </c>
      <c r="H82" s="675" t="str">
        <f>名簿!CM79</f>
        <v/>
      </c>
      <c r="I82" s="187" t="str">
        <f>名簿!Y79</f>
        <v/>
      </c>
      <c r="J82" s="190" t="str">
        <f>名簿!CN79</f>
        <v/>
      </c>
      <c r="K82" s="1040">
        <f>名簿!CP79</f>
        <v>0</v>
      </c>
      <c r="L82" s="750" t="str">
        <f>名簿!CU79</f>
        <v>00</v>
      </c>
      <c r="M82" s="162" t="str">
        <f>名簿!Q79</f>
        <v/>
      </c>
      <c r="N82" s="1341">
        <f>名簿!D79</f>
        <v>0</v>
      </c>
      <c r="O82" s="338"/>
      <c r="P82" s="292" t="str">
        <f t="shared" si="12"/>
        <v/>
      </c>
      <c r="Q82" s="669" t="str">
        <f>IF(O82="","",HLOOKUP(O82,名簿!$AH$3:$CF$118,77,FALSE))</f>
        <v/>
      </c>
      <c r="R82" s="1344" t="str">
        <f t="shared" si="17"/>
        <v/>
      </c>
      <c r="S82" s="1282" t="str">
        <f t="shared" si="18"/>
        <v/>
      </c>
      <c r="T82" s="368"/>
      <c r="U82" s="292" t="str">
        <f t="shared" si="13"/>
        <v/>
      </c>
      <c r="V82" s="669" t="str">
        <f>IF(T82="","",HLOOKUP(T82,名簿!$AW$3:$CW$118,77,FALSE))</f>
        <v/>
      </c>
      <c r="W82" s="769" t="str">
        <f t="shared" si="19"/>
        <v/>
      </c>
      <c r="X82" s="774" t="str">
        <f t="shared" si="20"/>
        <v/>
      </c>
      <c r="Y82" s="160"/>
      <c r="Z82" s="165"/>
      <c r="AA82" s="163"/>
      <c r="AB82" s="166"/>
      <c r="AC82" s="167"/>
      <c r="AD82" s="159"/>
      <c r="AE82" s="160"/>
      <c r="AF82" s="161"/>
      <c r="AG82" s="164"/>
      <c r="AH82" s="802"/>
      <c r="AI82" s="802"/>
      <c r="AK82" s="143"/>
      <c r="AL82" s="907" t="str">
        <f t="shared" si="14"/>
        <v/>
      </c>
      <c r="AM82" s="859">
        <f t="shared" si="15"/>
        <v>0</v>
      </c>
      <c r="AN82" s="859">
        <f t="shared" si="21"/>
        <v>0</v>
      </c>
      <c r="AP82" s="306"/>
      <c r="AQ82" s="306"/>
      <c r="AR82" s="886"/>
      <c r="AV82" s="143"/>
      <c r="AW82" s="143"/>
      <c r="AX82" s="886"/>
      <c r="AY82" s="886"/>
      <c r="AZ82" s="1349"/>
      <c r="BA82" s="1349"/>
      <c r="BB82" s="1349"/>
      <c r="BC82" s="1349"/>
      <c r="BD82" s="1349"/>
      <c r="BE82" s="918"/>
    </row>
    <row r="83" spans="1:57">
      <c r="A83" s="1338">
        <f t="shared" si="16"/>
        <v>0</v>
      </c>
      <c r="B83" s="162" t="str">
        <f>名簿!P80</f>
        <v/>
      </c>
      <c r="C83" s="162"/>
      <c r="D83" s="931"/>
      <c r="E83" s="182">
        <f>名簿!E80</f>
        <v>0</v>
      </c>
      <c r="F83" s="697" t="str">
        <f>名簿!CM80</f>
        <v/>
      </c>
      <c r="G83" s="162" t="str">
        <f>名簿!Z80</f>
        <v/>
      </c>
      <c r="H83" s="675" t="str">
        <f>名簿!CM80</f>
        <v/>
      </c>
      <c r="I83" s="187" t="str">
        <f>名簿!Y80</f>
        <v/>
      </c>
      <c r="J83" s="190" t="str">
        <f>名簿!CN80</f>
        <v/>
      </c>
      <c r="K83" s="1040">
        <f>名簿!CP80</f>
        <v>0</v>
      </c>
      <c r="L83" s="750" t="str">
        <f>名簿!CU80</f>
        <v>00</v>
      </c>
      <c r="M83" s="162" t="str">
        <f>名簿!Q80</f>
        <v/>
      </c>
      <c r="N83" s="1341">
        <f>名簿!D80</f>
        <v>0</v>
      </c>
      <c r="O83" s="338"/>
      <c r="P83" s="292" t="str">
        <f t="shared" si="12"/>
        <v/>
      </c>
      <c r="Q83" s="669" t="str">
        <f>IF(O83="","",HLOOKUP(O83,名簿!$AH$3:$CF$118,78,FALSE))</f>
        <v/>
      </c>
      <c r="R83" s="1344" t="str">
        <f t="shared" si="17"/>
        <v/>
      </c>
      <c r="S83" s="1282" t="str">
        <f t="shared" si="18"/>
        <v/>
      </c>
      <c r="T83" s="368"/>
      <c r="U83" s="292" t="str">
        <f t="shared" si="13"/>
        <v/>
      </c>
      <c r="V83" s="669" t="str">
        <f>IF(T83="","",HLOOKUP(T83,名簿!$AW$3:$CW$118,78,FALSE))</f>
        <v/>
      </c>
      <c r="W83" s="769" t="str">
        <f t="shared" si="19"/>
        <v/>
      </c>
      <c r="X83" s="774" t="str">
        <f t="shared" si="20"/>
        <v/>
      </c>
      <c r="Y83" s="160"/>
      <c r="Z83" s="165"/>
      <c r="AA83" s="163"/>
      <c r="AB83" s="166"/>
      <c r="AC83" s="167"/>
      <c r="AD83" s="159"/>
      <c r="AE83" s="160"/>
      <c r="AF83" s="161"/>
      <c r="AG83" s="164"/>
      <c r="AH83" s="802"/>
      <c r="AI83" s="802"/>
      <c r="AK83" s="143"/>
      <c r="AL83" s="907" t="str">
        <f t="shared" si="14"/>
        <v/>
      </c>
      <c r="AM83" s="859">
        <f t="shared" si="15"/>
        <v>0</v>
      </c>
      <c r="AN83" s="859">
        <f t="shared" si="21"/>
        <v>0</v>
      </c>
      <c r="AP83" s="306"/>
      <c r="AQ83" s="306"/>
      <c r="AR83" s="886"/>
      <c r="AV83" s="143"/>
      <c r="AW83" s="143"/>
      <c r="AX83" s="886"/>
      <c r="AY83" s="886"/>
      <c r="AZ83" s="1349"/>
      <c r="BA83" s="1349"/>
      <c r="BB83" s="1349"/>
      <c r="BC83" s="1349"/>
      <c r="BD83" s="1349"/>
      <c r="BE83" s="918"/>
    </row>
    <row r="84" spans="1:57">
      <c r="A84" s="1338">
        <f t="shared" si="16"/>
        <v>0</v>
      </c>
      <c r="B84" s="162" t="str">
        <f>名簿!P81</f>
        <v/>
      </c>
      <c r="C84" s="162"/>
      <c r="D84" s="931"/>
      <c r="E84" s="182">
        <f>名簿!E81</f>
        <v>0</v>
      </c>
      <c r="F84" s="697" t="str">
        <f>名簿!CM81</f>
        <v/>
      </c>
      <c r="G84" s="162" t="str">
        <f>名簿!Z81</f>
        <v/>
      </c>
      <c r="H84" s="675" t="str">
        <f>名簿!CM81</f>
        <v/>
      </c>
      <c r="I84" s="187" t="str">
        <f>名簿!Y81</f>
        <v/>
      </c>
      <c r="J84" s="190" t="str">
        <f>名簿!CN81</f>
        <v/>
      </c>
      <c r="K84" s="1040">
        <f>名簿!CP81</f>
        <v>0</v>
      </c>
      <c r="L84" s="750" t="str">
        <f>名簿!CU81</f>
        <v>00</v>
      </c>
      <c r="M84" s="162" t="str">
        <f>名簿!Q81</f>
        <v/>
      </c>
      <c r="N84" s="1341">
        <f>名簿!D81</f>
        <v>0</v>
      </c>
      <c r="O84" s="338"/>
      <c r="P84" s="292" t="str">
        <f t="shared" si="12"/>
        <v/>
      </c>
      <c r="Q84" s="669" t="str">
        <f>IF(O84="","",HLOOKUP(O84,名簿!$AH$3:$CF$118,79,FALSE))</f>
        <v/>
      </c>
      <c r="R84" s="1344" t="str">
        <f t="shared" si="17"/>
        <v/>
      </c>
      <c r="S84" s="1282" t="str">
        <f t="shared" si="18"/>
        <v/>
      </c>
      <c r="T84" s="368"/>
      <c r="U84" s="292" t="str">
        <f t="shared" si="13"/>
        <v/>
      </c>
      <c r="V84" s="669" t="str">
        <f>IF(T84="","",HLOOKUP(T84,名簿!$AW$3:$CW$118,79,FALSE))</f>
        <v/>
      </c>
      <c r="W84" s="769" t="str">
        <f t="shared" si="19"/>
        <v/>
      </c>
      <c r="X84" s="774" t="str">
        <f t="shared" si="20"/>
        <v/>
      </c>
      <c r="Y84" s="160"/>
      <c r="Z84" s="165"/>
      <c r="AA84" s="163"/>
      <c r="AB84" s="166"/>
      <c r="AC84" s="167"/>
      <c r="AD84" s="159"/>
      <c r="AE84" s="160"/>
      <c r="AF84" s="161"/>
      <c r="AG84" s="164"/>
      <c r="AH84" s="802"/>
      <c r="AI84" s="802"/>
      <c r="AK84" s="143"/>
      <c r="AL84" s="907" t="str">
        <f t="shared" si="14"/>
        <v/>
      </c>
      <c r="AM84" s="859">
        <f t="shared" si="15"/>
        <v>0</v>
      </c>
      <c r="AN84" s="859">
        <f t="shared" si="21"/>
        <v>0</v>
      </c>
      <c r="AP84" s="306"/>
      <c r="AQ84" s="306"/>
      <c r="AR84" s="886"/>
      <c r="AV84" s="143"/>
      <c r="AW84" s="143"/>
      <c r="AX84" s="886"/>
      <c r="AY84" s="886"/>
      <c r="AZ84" s="1349"/>
      <c r="BA84" s="1349"/>
      <c r="BB84" s="1349"/>
      <c r="BC84" s="1349"/>
      <c r="BD84" s="1349"/>
      <c r="BE84" s="918"/>
    </row>
    <row r="85" spans="1:57">
      <c r="A85" s="1338">
        <f t="shared" si="16"/>
        <v>0</v>
      </c>
      <c r="B85" s="162" t="str">
        <f>名簿!P82</f>
        <v/>
      </c>
      <c r="C85" s="162"/>
      <c r="D85" s="931"/>
      <c r="E85" s="182">
        <f>名簿!E82</f>
        <v>0</v>
      </c>
      <c r="F85" s="697" t="str">
        <f>名簿!CM82</f>
        <v/>
      </c>
      <c r="G85" s="162" t="str">
        <f>名簿!Z82</f>
        <v/>
      </c>
      <c r="H85" s="675" t="str">
        <f>名簿!CM82</f>
        <v/>
      </c>
      <c r="I85" s="187" t="str">
        <f>名簿!Y82</f>
        <v/>
      </c>
      <c r="J85" s="190" t="str">
        <f>名簿!CN82</f>
        <v/>
      </c>
      <c r="K85" s="1040">
        <f>名簿!CP82</f>
        <v>0</v>
      </c>
      <c r="L85" s="750" t="str">
        <f>名簿!CU82</f>
        <v>00</v>
      </c>
      <c r="M85" s="162" t="str">
        <f>名簿!Q82</f>
        <v/>
      </c>
      <c r="N85" s="1341">
        <f>名簿!D82</f>
        <v>0</v>
      </c>
      <c r="O85" s="338"/>
      <c r="P85" s="292" t="str">
        <f t="shared" si="12"/>
        <v/>
      </c>
      <c r="Q85" s="669" t="str">
        <f>IF(O85="","",HLOOKUP(O85,名簿!$AH$3:$CF$118,80,FALSE))</f>
        <v/>
      </c>
      <c r="R85" s="1344" t="str">
        <f t="shared" si="17"/>
        <v/>
      </c>
      <c r="S85" s="1282" t="str">
        <f t="shared" si="18"/>
        <v/>
      </c>
      <c r="T85" s="368"/>
      <c r="U85" s="292" t="str">
        <f t="shared" si="13"/>
        <v/>
      </c>
      <c r="V85" s="669" t="str">
        <f>IF(T85="","",HLOOKUP(T85,名簿!$AW$3:$CW$118,80,FALSE))</f>
        <v/>
      </c>
      <c r="W85" s="769" t="str">
        <f t="shared" si="19"/>
        <v/>
      </c>
      <c r="X85" s="774" t="str">
        <f t="shared" si="20"/>
        <v/>
      </c>
      <c r="Y85" s="160"/>
      <c r="Z85" s="165"/>
      <c r="AA85" s="163"/>
      <c r="AB85" s="166"/>
      <c r="AC85" s="167"/>
      <c r="AD85" s="159"/>
      <c r="AE85" s="160"/>
      <c r="AF85" s="161"/>
      <c r="AG85" s="164"/>
      <c r="AH85" s="802"/>
      <c r="AI85" s="802"/>
      <c r="AK85" s="143"/>
      <c r="AL85" s="907" t="str">
        <f t="shared" si="14"/>
        <v/>
      </c>
      <c r="AM85" s="859">
        <f t="shared" si="15"/>
        <v>0</v>
      </c>
      <c r="AN85" s="859">
        <f t="shared" si="21"/>
        <v>0</v>
      </c>
      <c r="AP85" s="306"/>
      <c r="AQ85" s="306"/>
      <c r="AR85" s="886"/>
      <c r="AV85" s="143"/>
      <c r="AW85" s="143"/>
      <c r="AX85" s="886"/>
      <c r="AY85" s="886"/>
      <c r="AZ85" s="1349"/>
      <c r="BA85" s="1349"/>
      <c r="BB85" s="1349"/>
      <c r="BC85" s="1349"/>
      <c r="BD85" s="1349"/>
      <c r="BE85" s="918"/>
    </row>
    <row r="86" spans="1:57">
      <c r="A86" s="1338">
        <f t="shared" si="16"/>
        <v>0</v>
      </c>
      <c r="B86" s="162" t="str">
        <f>名簿!P83</f>
        <v/>
      </c>
      <c r="C86" s="162"/>
      <c r="D86" s="931"/>
      <c r="E86" s="182">
        <f>名簿!E83</f>
        <v>0</v>
      </c>
      <c r="F86" s="697" t="str">
        <f>名簿!CM83</f>
        <v/>
      </c>
      <c r="G86" s="162" t="str">
        <f>名簿!Z83</f>
        <v/>
      </c>
      <c r="H86" s="675" t="str">
        <f>名簿!CM83</f>
        <v/>
      </c>
      <c r="I86" s="187" t="str">
        <f>名簿!Y83</f>
        <v/>
      </c>
      <c r="J86" s="190" t="str">
        <f>名簿!CN83</f>
        <v/>
      </c>
      <c r="K86" s="1040">
        <f>名簿!CP83</f>
        <v>0</v>
      </c>
      <c r="L86" s="750" t="str">
        <f>名簿!CU83</f>
        <v>00</v>
      </c>
      <c r="M86" s="162" t="str">
        <f>名簿!Q83</f>
        <v/>
      </c>
      <c r="N86" s="1341">
        <f>名簿!D83</f>
        <v>0</v>
      </c>
      <c r="O86" s="338"/>
      <c r="P86" s="292" t="str">
        <f t="shared" si="12"/>
        <v/>
      </c>
      <c r="Q86" s="669" t="str">
        <f>IF(O86="","",HLOOKUP(O86,名簿!$AH$3:$CF$118,81,FALSE))</f>
        <v/>
      </c>
      <c r="R86" s="1344" t="str">
        <f t="shared" si="17"/>
        <v/>
      </c>
      <c r="S86" s="1282" t="str">
        <f t="shared" si="18"/>
        <v/>
      </c>
      <c r="T86" s="368"/>
      <c r="U86" s="292" t="str">
        <f t="shared" si="13"/>
        <v/>
      </c>
      <c r="V86" s="669" t="str">
        <f>IF(T86="","",HLOOKUP(T86,名簿!$AW$3:$CW$118,81,FALSE))</f>
        <v/>
      </c>
      <c r="W86" s="769" t="str">
        <f t="shared" si="19"/>
        <v/>
      </c>
      <c r="X86" s="774" t="str">
        <f t="shared" si="20"/>
        <v/>
      </c>
      <c r="Y86" s="160"/>
      <c r="Z86" s="165"/>
      <c r="AA86" s="163"/>
      <c r="AB86" s="166"/>
      <c r="AC86" s="167"/>
      <c r="AD86" s="159"/>
      <c r="AE86" s="160"/>
      <c r="AF86" s="161"/>
      <c r="AG86" s="164"/>
      <c r="AH86" s="802"/>
      <c r="AI86" s="802"/>
      <c r="AK86" s="143"/>
      <c r="AL86" s="907" t="str">
        <f t="shared" si="14"/>
        <v/>
      </c>
      <c r="AM86" s="859">
        <f t="shared" si="15"/>
        <v>0</v>
      </c>
      <c r="AN86" s="859">
        <f t="shared" si="21"/>
        <v>0</v>
      </c>
      <c r="AP86" s="306"/>
      <c r="AQ86" s="306"/>
      <c r="AR86" s="886"/>
      <c r="AV86" s="143"/>
      <c r="AW86" s="143"/>
      <c r="AX86" s="886"/>
      <c r="AY86" s="886"/>
      <c r="AZ86" s="1349"/>
      <c r="BA86" s="1349"/>
      <c r="BB86" s="1349"/>
      <c r="BC86" s="1349"/>
      <c r="BD86" s="1349"/>
      <c r="BE86" s="918"/>
    </row>
    <row r="87" spans="1:57">
      <c r="A87" s="1338">
        <f t="shared" si="16"/>
        <v>0</v>
      </c>
      <c r="B87" s="162" t="str">
        <f>名簿!P84</f>
        <v/>
      </c>
      <c r="C87" s="162"/>
      <c r="D87" s="931"/>
      <c r="E87" s="182">
        <f>名簿!E84</f>
        <v>0</v>
      </c>
      <c r="F87" s="697" t="str">
        <f>名簿!CM84</f>
        <v/>
      </c>
      <c r="G87" s="162" t="str">
        <f>名簿!Z84</f>
        <v/>
      </c>
      <c r="H87" s="675" t="str">
        <f>名簿!CM84</f>
        <v/>
      </c>
      <c r="I87" s="187" t="str">
        <f>名簿!Y84</f>
        <v/>
      </c>
      <c r="J87" s="190" t="str">
        <f>名簿!CN84</f>
        <v/>
      </c>
      <c r="K87" s="1040">
        <f>名簿!CP84</f>
        <v>0</v>
      </c>
      <c r="L87" s="750" t="str">
        <f>名簿!CU84</f>
        <v>00</v>
      </c>
      <c r="M87" s="162" t="str">
        <f>名簿!Q84</f>
        <v/>
      </c>
      <c r="N87" s="1341">
        <f>名簿!D84</f>
        <v>0</v>
      </c>
      <c r="O87" s="338"/>
      <c r="P87" s="292" t="str">
        <f t="shared" si="12"/>
        <v/>
      </c>
      <c r="Q87" s="669" t="str">
        <f>IF(O87="","",HLOOKUP(O87,名簿!$AH$3:$CF$118,82,FALSE))</f>
        <v/>
      </c>
      <c r="R87" s="1344" t="str">
        <f t="shared" si="17"/>
        <v/>
      </c>
      <c r="S87" s="1282" t="str">
        <f t="shared" si="18"/>
        <v/>
      </c>
      <c r="T87" s="368"/>
      <c r="U87" s="292" t="str">
        <f t="shared" si="13"/>
        <v/>
      </c>
      <c r="V87" s="669" t="str">
        <f>IF(T87="","",HLOOKUP(T87,名簿!$AW$3:$CW$118,82,FALSE))</f>
        <v/>
      </c>
      <c r="W87" s="769" t="str">
        <f t="shared" si="19"/>
        <v/>
      </c>
      <c r="X87" s="774" t="str">
        <f t="shared" si="20"/>
        <v/>
      </c>
      <c r="Y87" s="160"/>
      <c r="Z87" s="165"/>
      <c r="AA87" s="163"/>
      <c r="AB87" s="166"/>
      <c r="AC87" s="167"/>
      <c r="AD87" s="159"/>
      <c r="AE87" s="160"/>
      <c r="AF87" s="161"/>
      <c r="AG87" s="164"/>
      <c r="AH87" s="802"/>
      <c r="AI87" s="802"/>
      <c r="AK87" s="143"/>
      <c r="AL87" s="907" t="str">
        <f t="shared" si="14"/>
        <v/>
      </c>
      <c r="AM87" s="859">
        <f t="shared" si="15"/>
        <v>0</v>
      </c>
      <c r="AN87" s="859">
        <f t="shared" si="21"/>
        <v>0</v>
      </c>
      <c r="AP87" s="306"/>
      <c r="AQ87" s="306"/>
      <c r="AR87" s="886"/>
      <c r="AV87" s="143"/>
      <c r="AW87" s="143"/>
      <c r="AX87" s="886"/>
      <c r="AY87" s="886"/>
      <c r="AZ87" s="1349"/>
      <c r="BA87" s="1349"/>
      <c r="BB87" s="1349"/>
      <c r="BC87" s="1349"/>
      <c r="BD87" s="1349"/>
      <c r="BE87" s="918"/>
    </row>
    <row r="88" spans="1:57">
      <c r="A88" s="1338">
        <f t="shared" si="16"/>
        <v>0</v>
      </c>
      <c r="B88" s="162" t="str">
        <f>名簿!P85</f>
        <v/>
      </c>
      <c r="C88" s="162"/>
      <c r="D88" s="931"/>
      <c r="E88" s="182">
        <f>名簿!E85</f>
        <v>0</v>
      </c>
      <c r="F88" s="697" t="str">
        <f>名簿!CM85</f>
        <v/>
      </c>
      <c r="G88" s="162" t="str">
        <f>名簿!Z85</f>
        <v/>
      </c>
      <c r="H88" s="675" t="str">
        <f>名簿!CM85</f>
        <v/>
      </c>
      <c r="I88" s="187" t="str">
        <f>名簿!Y85</f>
        <v/>
      </c>
      <c r="J88" s="190" t="str">
        <f>名簿!CN85</f>
        <v/>
      </c>
      <c r="K88" s="1040">
        <f>名簿!CP85</f>
        <v>0</v>
      </c>
      <c r="L88" s="750" t="str">
        <f>名簿!CU85</f>
        <v>00</v>
      </c>
      <c r="M88" s="162" t="str">
        <f>名簿!Q85</f>
        <v/>
      </c>
      <c r="N88" s="1341">
        <f>名簿!D85</f>
        <v>0</v>
      </c>
      <c r="O88" s="338"/>
      <c r="P88" s="292" t="str">
        <f t="shared" si="12"/>
        <v/>
      </c>
      <c r="Q88" s="669" t="str">
        <f>IF(O88="","",HLOOKUP(O88,名簿!$AH$3:$CF$118,83,FALSE))</f>
        <v/>
      </c>
      <c r="R88" s="1344" t="str">
        <f t="shared" si="17"/>
        <v/>
      </c>
      <c r="S88" s="1282" t="str">
        <f t="shared" si="18"/>
        <v/>
      </c>
      <c r="T88" s="368"/>
      <c r="U88" s="292" t="str">
        <f t="shared" si="13"/>
        <v/>
      </c>
      <c r="V88" s="669" t="str">
        <f>IF(T88="","",HLOOKUP(T88,名簿!$AW$3:$CW$118,83,FALSE))</f>
        <v/>
      </c>
      <c r="W88" s="769" t="str">
        <f t="shared" si="19"/>
        <v/>
      </c>
      <c r="X88" s="774" t="str">
        <f t="shared" si="20"/>
        <v/>
      </c>
      <c r="Y88" s="160"/>
      <c r="Z88" s="165"/>
      <c r="AA88" s="163"/>
      <c r="AB88" s="166"/>
      <c r="AC88" s="167"/>
      <c r="AD88" s="159"/>
      <c r="AE88" s="160"/>
      <c r="AF88" s="161"/>
      <c r="AG88" s="164"/>
      <c r="AH88" s="802"/>
      <c r="AI88" s="802"/>
      <c r="AK88" s="143"/>
      <c r="AL88" s="907" t="str">
        <f t="shared" si="14"/>
        <v/>
      </c>
      <c r="AM88" s="859">
        <f t="shared" si="15"/>
        <v>0</v>
      </c>
      <c r="AN88" s="859">
        <f t="shared" si="21"/>
        <v>0</v>
      </c>
      <c r="AP88" s="306"/>
      <c r="AQ88" s="306"/>
      <c r="AR88" s="886"/>
      <c r="AV88" s="143"/>
      <c r="AW88" s="143"/>
      <c r="AX88" s="886"/>
      <c r="AY88" s="886"/>
      <c r="AZ88" s="1349"/>
      <c r="BA88" s="1349"/>
      <c r="BB88" s="1349"/>
      <c r="BC88" s="1349"/>
      <c r="BD88" s="1349"/>
      <c r="BE88" s="918"/>
    </row>
    <row r="89" spans="1:57">
      <c r="A89" s="1338">
        <f t="shared" si="16"/>
        <v>0</v>
      </c>
      <c r="B89" s="162" t="str">
        <f>名簿!P86</f>
        <v/>
      </c>
      <c r="C89" s="162"/>
      <c r="D89" s="931"/>
      <c r="E89" s="182">
        <f>名簿!E86</f>
        <v>0</v>
      </c>
      <c r="F89" s="697" t="str">
        <f>名簿!CM86</f>
        <v/>
      </c>
      <c r="G89" s="162" t="str">
        <f>名簿!Z86</f>
        <v/>
      </c>
      <c r="H89" s="675" t="str">
        <f>名簿!CM86</f>
        <v/>
      </c>
      <c r="I89" s="187" t="str">
        <f>名簿!Y86</f>
        <v/>
      </c>
      <c r="J89" s="190" t="str">
        <f>名簿!CN86</f>
        <v/>
      </c>
      <c r="K89" s="1040">
        <f>名簿!CP86</f>
        <v>0</v>
      </c>
      <c r="L89" s="750" t="str">
        <f>名簿!CU86</f>
        <v>00</v>
      </c>
      <c r="M89" s="162" t="str">
        <f>名簿!Q86</f>
        <v/>
      </c>
      <c r="N89" s="1341">
        <f>名簿!D86</f>
        <v>0</v>
      </c>
      <c r="O89" s="338"/>
      <c r="P89" s="292" t="str">
        <f t="shared" si="12"/>
        <v/>
      </c>
      <c r="Q89" s="669" t="str">
        <f>IF(O89="","",HLOOKUP(O89,名簿!$AH$3:$CF$118,84,FALSE))</f>
        <v/>
      </c>
      <c r="R89" s="1344" t="str">
        <f t="shared" si="17"/>
        <v/>
      </c>
      <c r="S89" s="1282" t="str">
        <f t="shared" si="18"/>
        <v/>
      </c>
      <c r="T89" s="368"/>
      <c r="U89" s="292" t="str">
        <f t="shared" si="13"/>
        <v/>
      </c>
      <c r="V89" s="669" t="str">
        <f>IF(T89="","",HLOOKUP(T89,名簿!$AW$3:$CW$118,84,FALSE))</f>
        <v/>
      </c>
      <c r="W89" s="769" t="str">
        <f t="shared" si="19"/>
        <v/>
      </c>
      <c r="X89" s="774" t="str">
        <f t="shared" si="20"/>
        <v/>
      </c>
      <c r="Y89" s="160"/>
      <c r="Z89" s="165"/>
      <c r="AA89" s="163"/>
      <c r="AB89" s="166"/>
      <c r="AC89" s="167"/>
      <c r="AD89" s="159"/>
      <c r="AE89" s="160"/>
      <c r="AF89" s="161"/>
      <c r="AG89" s="164"/>
      <c r="AH89" s="802"/>
      <c r="AI89" s="802"/>
      <c r="AK89" s="143"/>
      <c r="AL89" s="907" t="str">
        <f t="shared" si="14"/>
        <v/>
      </c>
      <c r="AM89" s="859">
        <f t="shared" si="15"/>
        <v>0</v>
      </c>
      <c r="AN89" s="859">
        <f t="shared" si="21"/>
        <v>0</v>
      </c>
      <c r="AP89" s="306"/>
      <c r="AQ89" s="306"/>
      <c r="AR89" s="886"/>
      <c r="AV89" s="143"/>
      <c r="AW89" s="143"/>
      <c r="AX89" s="886"/>
      <c r="AY89" s="886"/>
      <c r="AZ89" s="1349"/>
      <c r="BA89" s="1349"/>
      <c r="BB89" s="1349"/>
      <c r="BC89" s="1349"/>
      <c r="BD89" s="1349"/>
      <c r="BE89" s="918"/>
    </row>
    <row r="90" spans="1:57">
      <c r="A90" s="1338">
        <f t="shared" si="16"/>
        <v>0</v>
      </c>
      <c r="B90" s="162" t="str">
        <f>名簿!P87</f>
        <v/>
      </c>
      <c r="C90" s="162"/>
      <c r="D90" s="931"/>
      <c r="E90" s="182">
        <f>名簿!E87</f>
        <v>0</v>
      </c>
      <c r="F90" s="697" t="str">
        <f>名簿!CM87</f>
        <v/>
      </c>
      <c r="G90" s="162" t="str">
        <f>名簿!Z87</f>
        <v/>
      </c>
      <c r="H90" s="675" t="str">
        <f>名簿!CM87</f>
        <v/>
      </c>
      <c r="I90" s="187" t="str">
        <f>名簿!Y87</f>
        <v/>
      </c>
      <c r="J90" s="190" t="str">
        <f>名簿!CN87</f>
        <v/>
      </c>
      <c r="K90" s="1040">
        <f>名簿!CP87</f>
        <v>0</v>
      </c>
      <c r="L90" s="750" t="str">
        <f>名簿!CU87</f>
        <v>00</v>
      </c>
      <c r="M90" s="162" t="str">
        <f>名簿!Q87</f>
        <v/>
      </c>
      <c r="N90" s="1341">
        <f>名簿!D87</f>
        <v>0</v>
      </c>
      <c r="O90" s="338"/>
      <c r="P90" s="292" t="str">
        <f t="shared" si="12"/>
        <v/>
      </c>
      <c r="Q90" s="669" t="str">
        <f>IF(O90="","",HLOOKUP(O90,名簿!$AH$3:$CF$118,85,FALSE))</f>
        <v/>
      </c>
      <c r="R90" s="1344" t="str">
        <f t="shared" si="17"/>
        <v/>
      </c>
      <c r="S90" s="1282" t="str">
        <f t="shared" si="18"/>
        <v/>
      </c>
      <c r="T90" s="368"/>
      <c r="U90" s="292" t="str">
        <f t="shared" si="13"/>
        <v/>
      </c>
      <c r="V90" s="669" t="str">
        <f>IF(T90="","",HLOOKUP(T90,名簿!$AW$3:$CW$118,85,FALSE))</f>
        <v/>
      </c>
      <c r="W90" s="769" t="str">
        <f t="shared" si="19"/>
        <v/>
      </c>
      <c r="X90" s="774" t="str">
        <f t="shared" si="20"/>
        <v/>
      </c>
      <c r="Y90" s="160"/>
      <c r="Z90" s="165"/>
      <c r="AA90" s="163"/>
      <c r="AB90" s="166"/>
      <c r="AC90" s="167"/>
      <c r="AD90" s="159"/>
      <c r="AE90" s="160"/>
      <c r="AF90" s="161"/>
      <c r="AG90" s="164"/>
      <c r="AH90" s="802"/>
      <c r="AI90" s="802"/>
      <c r="AK90" s="143"/>
      <c r="AL90" s="907" t="str">
        <f t="shared" si="14"/>
        <v/>
      </c>
      <c r="AM90" s="859">
        <f t="shared" si="15"/>
        <v>0</v>
      </c>
      <c r="AN90" s="859">
        <f t="shared" si="21"/>
        <v>0</v>
      </c>
      <c r="AP90" s="306"/>
      <c r="AQ90" s="306"/>
      <c r="AR90" s="886"/>
      <c r="AV90" s="143"/>
      <c r="AW90" s="143"/>
      <c r="AX90" s="886"/>
      <c r="AY90" s="886"/>
      <c r="AZ90" s="1349"/>
      <c r="BA90" s="1349"/>
      <c r="BB90" s="1349"/>
      <c r="BC90" s="1349"/>
      <c r="BD90" s="1349"/>
      <c r="BE90" s="918"/>
    </row>
    <row r="91" spans="1:57">
      <c r="A91" s="1338">
        <f t="shared" si="16"/>
        <v>0</v>
      </c>
      <c r="B91" s="162" t="str">
        <f>名簿!P88</f>
        <v/>
      </c>
      <c r="C91" s="162"/>
      <c r="D91" s="931"/>
      <c r="E91" s="182">
        <f>名簿!E88</f>
        <v>0</v>
      </c>
      <c r="F91" s="697" t="str">
        <f>名簿!CM88</f>
        <v/>
      </c>
      <c r="G91" s="162" t="str">
        <f>名簿!Z88</f>
        <v/>
      </c>
      <c r="H91" s="675" t="str">
        <f>名簿!CM88</f>
        <v/>
      </c>
      <c r="I91" s="187" t="str">
        <f>名簿!Y88</f>
        <v/>
      </c>
      <c r="J91" s="190" t="str">
        <f>名簿!CN88</f>
        <v/>
      </c>
      <c r="K91" s="1040">
        <f>名簿!CP88</f>
        <v>0</v>
      </c>
      <c r="L91" s="750" t="str">
        <f>名簿!CU88</f>
        <v>00</v>
      </c>
      <c r="M91" s="162" t="str">
        <f>名簿!Q88</f>
        <v/>
      </c>
      <c r="N91" s="1341">
        <f>名簿!D88</f>
        <v>0</v>
      </c>
      <c r="O91" s="338"/>
      <c r="P91" s="292" t="str">
        <f t="shared" si="12"/>
        <v/>
      </c>
      <c r="Q91" s="669" t="str">
        <f>IF(O91="","",HLOOKUP(O91,名簿!$AH$3:$CF$118,86,FALSE))</f>
        <v/>
      </c>
      <c r="R91" s="1344" t="str">
        <f t="shared" si="17"/>
        <v/>
      </c>
      <c r="S91" s="1282" t="str">
        <f t="shared" si="18"/>
        <v/>
      </c>
      <c r="T91" s="368"/>
      <c r="U91" s="292" t="str">
        <f t="shared" si="13"/>
        <v/>
      </c>
      <c r="V91" s="669" t="str">
        <f>IF(T91="","",HLOOKUP(T91,名簿!$AW$3:$CW$118,86,FALSE))</f>
        <v/>
      </c>
      <c r="W91" s="769" t="str">
        <f t="shared" si="19"/>
        <v/>
      </c>
      <c r="X91" s="774" t="str">
        <f t="shared" si="20"/>
        <v/>
      </c>
      <c r="Y91" s="160"/>
      <c r="Z91" s="165"/>
      <c r="AA91" s="163"/>
      <c r="AB91" s="166"/>
      <c r="AC91" s="167"/>
      <c r="AD91" s="159"/>
      <c r="AE91" s="160"/>
      <c r="AF91" s="161"/>
      <c r="AG91" s="164"/>
      <c r="AH91" s="802"/>
      <c r="AI91" s="802"/>
      <c r="AK91" s="143"/>
      <c r="AL91" s="907" t="str">
        <f t="shared" si="14"/>
        <v/>
      </c>
      <c r="AM91" s="859">
        <f t="shared" si="15"/>
        <v>0</v>
      </c>
      <c r="AN91" s="859">
        <f t="shared" si="21"/>
        <v>0</v>
      </c>
      <c r="AP91" s="306"/>
      <c r="AQ91" s="306"/>
      <c r="AR91" s="886"/>
      <c r="AV91" s="143"/>
      <c r="AW91" s="143"/>
      <c r="AX91" s="886"/>
      <c r="AY91" s="886"/>
      <c r="AZ91" s="1349"/>
      <c r="BA91" s="1349"/>
      <c r="BB91" s="1349"/>
      <c r="BC91" s="1349"/>
      <c r="BD91" s="1349"/>
      <c r="BE91" s="918"/>
    </row>
    <row r="92" spans="1:57">
      <c r="A92" s="1338">
        <f t="shared" si="16"/>
        <v>0</v>
      </c>
      <c r="B92" s="162" t="str">
        <f>名簿!P89</f>
        <v/>
      </c>
      <c r="C92" s="162"/>
      <c r="D92" s="931"/>
      <c r="E92" s="182">
        <f>名簿!E89</f>
        <v>0</v>
      </c>
      <c r="F92" s="697" t="str">
        <f>名簿!CM89</f>
        <v/>
      </c>
      <c r="G92" s="162" t="str">
        <f>名簿!Z89</f>
        <v/>
      </c>
      <c r="H92" s="675" t="str">
        <f>名簿!CM89</f>
        <v/>
      </c>
      <c r="I92" s="187" t="str">
        <f>名簿!Y89</f>
        <v/>
      </c>
      <c r="J92" s="190" t="str">
        <f>名簿!CN89</f>
        <v/>
      </c>
      <c r="K92" s="1040">
        <f>名簿!CP89</f>
        <v>0</v>
      </c>
      <c r="L92" s="750" t="str">
        <f>名簿!CU89</f>
        <v>00</v>
      </c>
      <c r="M92" s="162" t="str">
        <f>名簿!Q89</f>
        <v/>
      </c>
      <c r="N92" s="1341">
        <f>名簿!D89</f>
        <v>0</v>
      </c>
      <c r="O92" s="338"/>
      <c r="P92" s="292" t="str">
        <f t="shared" si="12"/>
        <v/>
      </c>
      <c r="Q92" s="669" t="str">
        <f>IF(O92="","",HLOOKUP(O92,名簿!$AH$3:$CF$118,87,FALSE))</f>
        <v/>
      </c>
      <c r="R92" s="1344" t="str">
        <f t="shared" si="17"/>
        <v/>
      </c>
      <c r="S92" s="1282" t="str">
        <f t="shared" si="18"/>
        <v/>
      </c>
      <c r="T92" s="368"/>
      <c r="U92" s="292" t="str">
        <f t="shared" si="13"/>
        <v/>
      </c>
      <c r="V92" s="669" t="str">
        <f>IF(T92="","",HLOOKUP(T92,名簿!$AW$3:$CW$118,87,FALSE))</f>
        <v/>
      </c>
      <c r="W92" s="769" t="str">
        <f t="shared" si="19"/>
        <v/>
      </c>
      <c r="X92" s="774" t="str">
        <f t="shared" si="20"/>
        <v/>
      </c>
      <c r="Y92" s="160"/>
      <c r="Z92" s="165"/>
      <c r="AA92" s="163"/>
      <c r="AB92" s="166"/>
      <c r="AC92" s="167"/>
      <c r="AD92" s="159"/>
      <c r="AE92" s="160"/>
      <c r="AF92" s="161"/>
      <c r="AG92" s="164"/>
      <c r="AH92" s="802"/>
      <c r="AI92" s="802"/>
      <c r="AK92" s="143"/>
      <c r="AL92" s="907" t="str">
        <f t="shared" si="14"/>
        <v/>
      </c>
      <c r="AM92" s="859">
        <f t="shared" si="15"/>
        <v>0</v>
      </c>
      <c r="AN92" s="859">
        <f t="shared" si="21"/>
        <v>0</v>
      </c>
      <c r="AP92" s="1348"/>
      <c r="AQ92" s="1348"/>
      <c r="AR92" s="1349"/>
      <c r="AS92" s="1349"/>
      <c r="AT92" s="1349"/>
      <c r="AU92" s="1349"/>
      <c r="AV92" s="1348"/>
      <c r="AW92" s="1348"/>
      <c r="AX92" s="1349"/>
      <c r="AY92" s="886"/>
      <c r="AZ92" s="1349"/>
      <c r="BA92" s="1349"/>
      <c r="BB92" s="1349"/>
      <c r="BC92" s="1349"/>
      <c r="BD92" s="1349"/>
      <c r="BE92" s="918"/>
    </row>
    <row r="93" spans="1:57">
      <c r="A93" s="1338">
        <f t="shared" si="16"/>
        <v>0</v>
      </c>
      <c r="B93" s="162" t="str">
        <f>名簿!P90</f>
        <v/>
      </c>
      <c r="C93" s="162"/>
      <c r="D93" s="931"/>
      <c r="E93" s="182">
        <f>名簿!E90</f>
        <v>0</v>
      </c>
      <c r="F93" s="697" t="str">
        <f>名簿!CM90</f>
        <v/>
      </c>
      <c r="G93" s="162" t="str">
        <f>名簿!Z90</f>
        <v/>
      </c>
      <c r="H93" s="675" t="str">
        <f>名簿!CM90</f>
        <v/>
      </c>
      <c r="I93" s="187" t="str">
        <f>名簿!Y90</f>
        <v/>
      </c>
      <c r="J93" s="190" t="str">
        <f>名簿!CN90</f>
        <v/>
      </c>
      <c r="K93" s="1040">
        <f>名簿!CP90</f>
        <v>0</v>
      </c>
      <c r="L93" s="750" t="str">
        <f>名簿!CU90</f>
        <v>00</v>
      </c>
      <c r="M93" s="162" t="str">
        <f>名簿!Q90</f>
        <v/>
      </c>
      <c r="N93" s="1341">
        <f>名簿!D90</f>
        <v>0</v>
      </c>
      <c r="O93" s="338"/>
      <c r="P93" s="292" t="str">
        <f t="shared" si="12"/>
        <v/>
      </c>
      <c r="Q93" s="669" t="str">
        <f>IF(O93="","",HLOOKUP(O93,名簿!$AH$3:$CF$118,88,FALSE))</f>
        <v/>
      </c>
      <c r="R93" s="1344" t="str">
        <f t="shared" si="17"/>
        <v/>
      </c>
      <c r="S93" s="1282" t="str">
        <f t="shared" si="18"/>
        <v/>
      </c>
      <c r="T93" s="368"/>
      <c r="U93" s="292" t="str">
        <f t="shared" si="13"/>
        <v/>
      </c>
      <c r="V93" s="669" t="str">
        <f>IF(T93="","",HLOOKUP(T93,名簿!$AW$3:$CW$118,88,FALSE))</f>
        <v/>
      </c>
      <c r="W93" s="769" t="str">
        <f t="shared" si="19"/>
        <v/>
      </c>
      <c r="X93" s="774" t="str">
        <f t="shared" si="20"/>
        <v/>
      </c>
      <c r="Y93" s="160"/>
      <c r="Z93" s="165"/>
      <c r="AA93" s="163"/>
      <c r="AB93" s="166"/>
      <c r="AC93" s="167"/>
      <c r="AD93" s="159"/>
      <c r="AE93" s="160"/>
      <c r="AF93" s="161"/>
      <c r="AG93" s="164"/>
      <c r="AH93" s="802"/>
      <c r="AI93" s="802"/>
      <c r="AK93" s="143"/>
      <c r="AL93" s="907" t="str">
        <f t="shared" si="14"/>
        <v/>
      </c>
      <c r="AM93" s="859">
        <f t="shared" si="15"/>
        <v>0</v>
      </c>
      <c r="AN93" s="859">
        <f t="shared" si="21"/>
        <v>0</v>
      </c>
      <c r="AP93" s="1348"/>
      <c r="AQ93" s="1348"/>
      <c r="AR93" s="1349"/>
      <c r="AS93" s="1349"/>
      <c r="AT93" s="1349"/>
      <c r="AU93" s="1349"/>
      <c r="AV93" s="1348"/>
      <c r="AW93" s="1348"/>
      <c r="AX93" s="1349"/>
      <c r="AY93" s="886"/>
      <c r="AZ93" s="1349"/>
      <c r="BA93" s="1349"/>
      <c r="BB93" s="1349"/>
      <c r="BC93" s="1349"/>
      <c r="BD93" s="1349"/>
      <c r="BE93" s="918"/>
    </row>
    <row r="94" spans="1:57">
      <c r="A94" s="1338">
        <f t="shared" si="16"/>
        <v>0</v>
      </c>
      <c r="B94" s="162" t="str">
        <f>名簿!P91</f>
        <v/>
      </c>
      <c r="C94" s="162"/>
      <c r="D94" s="931"/>
      <c r="E94" s="182">
        <f>名簿!E91</f>
        <v>0</v>
      </c>
      <c r="F94" s="697" t="str">
        <f>名簿!CM91</f>
        <v/>
      </c>
      <c r="G94" s="162" t="str">
        <f>名簿!Z91</f>
        <v/>
      </c>
      <c r="H94" s="675" t="str">
        <f>名簿!CM91</f>
        <v/>
      </c>
      <c r="I94" s="187" t="str">
        <f>名簿!Y91</f>
        <v/>
      </c>
      <c r="J94" s="190" t="str">
        <f>名簿!CN91</f>
        <v/>
      </c>
      <c r="K94" s="1040">
        <f>名簿!CP91</f>
        <v>0</v>
      </c>
      <c r="L94" s="750" t="str">
        <f>名簿!CU91</f>
        <v>00</v>
      </c>
      <c r="M94" s="162" t="str">
        <f>名簿!Q91</f>
        <v/>
      </c>
      <c r="N94" s="1341">
        <f>名簿!D91</f>
        <v>0</v>
      </c>
      <c r="O94" s="338"/>
      <c r="P94" s="292" t="str">
        <f t="shared" si="12"/>
        <v/>
      </c>
      <c r="Q94" s="669" t="str">
        <f>IF(O94="","",HLOOKUP(O94,名簿!$AH$3:$CF$118,89,FALSE))</f>
        <v/>
      </c>
      <c r="R94" s="1344" t="str">
        <f t="shared" si="17"/>
        <v/>
      </c>
      <c r="S94" s="1282" t="str">
        <f t="shared" si="18"/>
        <v/>
      </c>
      <c r="T94" s="368"/>
      <c r="U94" s="292" t="str">
        <f t="shared" si="13"/>
        <v/>
      </c>
      <c r="V94" s="669" t="str">
        <f>IF(T94="","",HLOOKUP(T94,名簿!$AW$3:$CW$118,89,FALSE))</f>
        <v/>
      </c>
      <c r="W94" s="769" t="str">
        <f t="shared" si="19"/>
        <v/>
      </c>
      <c r="X94" s="774" t="str">
        <f t="shared" si="20"/>
        <v/>
      </c>
      <c r="Y94" s="160"/>
      <c r="Z94" s="165"/>
      <c r="AA94" s="163"/>
      <c r="AB94" s="166"/>
      <c r="AC94" s="167"/>
      <c r="AD94" s="159"/>
      <c r="AE94" s="160"/>
      <c r="AF94" s="161"/>
      <c r="AG94" s="164"/>
      <c r="AH94" s="802"/>
      <c r="AI94" s="802"/>
      <c r="AK94" s="143"/>
      <c r="AL94" s="907" t="str">
        <f t="shared" si="14"/>
        <v/>
      </c>
      <c r="AM94" s="859">
        <f t="shared" si="15"/>
        <v>0</v>
      </c>
      <c r="AN94" s="859">
        <f t="shared" si="21"/>
        <v>0</v>
      </c>
      <c r="AP94" s="1348"/>
      <c r="AQ94" s="1348"/>
      <c r="AR94" s="1349"/>
      <c r="AS94" s="1349"/>
      <c r="AT94" s="1349"/>
      <c r="AU94" s="1349"/>
      <c r="AV94" s="1348"/>
      <c r="AW94" s="1348"/>
      <c r="AX94" s="1349"/>
      <c r="AY94" s="886"/>
      <c r="AZ94" s="1349"/>
      <c r="BA94" s="1349"/>
      <c r="BB94" s="1349"/>
      <c r="BC94" s="1349"/>
      <c r="BD94" s="1349"/>
      <c r="BE94" s="918"/>
    </row>
    <row r="95" spans="1:57">
      <c r="A95" s="1338">
        <f t="shared" si="16"/>
        <v>0</v>
      </c>
      <c r="B95" s="162" t="str">
        <f>名簿!P92</f>
        <v/>
      </c>
      <c r="C95" s="162"/>
      <c r="D95" s="931"/>
      <c r="E95" s="182">
        <f>名簿!E92</f>
        <v>0</v>
      </c>
      <c r="F95" s="697" t="str">
        <f>名簿!CM92</f>
        <v/>
      </c>
      <c r="G95" s="162" t="str">
        <f>名簿!Z92</f>
        <v/>
      </c>
      <c r="H95" s="675" t="str">
        <f>名簿!CM92</f>
        <v/>
      </c>
      <c r="I95" s="187" t="str">
        <f>名簿!Y92</f>
        <v/>
      </c>
      <c r="J95" s="190" t="str">
        <f>名簿!CN92</f>
        <v/>
      </c>
      <c r="K95" s="1040">
        <f>名簿!CP92</f>
        <v>0</v>
      </c>
      <c r="L95" s="750" t="str">
        <f>名簿!CU92</f>
        <v>00</v>
      </c>
      <c r="M95" s="162" t="str">
        <f>名簿!Q92</f>
        <v/>
      </c>
      <c r="N95" s="1341">
        <f>名簿!D92</f>
        <v>0</v>
      </c>
      <c r="O95" s="338"/>
      <c r="P95" s="292" t="str">
        <f t="shared" si="12"/>
        <v/>
      </c>
      <c r="Q95" s="669" t="str">
        <f>IF(O95="","",HLOOKUP(O95,名簿!$AH$3:$CF$118,90,FALSE))</f>
        <v/>
      </c>
      <c r="R95" s="1344" t="str">
        <f t="shared" si="17"/>
        <v/>
      </c>
      <c r="S95" s="1282" t="str">
        <f t="shared" si="18"/>
        <v/>
      </c>
      <c r="T95" s="368"/>
      <c r="U95" s="292" t="str">
        <f t="shared" si="13"/>
        <v/>
      </c>
      <c r="V95" s="669" t="str">
        <f>IF(T95="","",HLOOKUP(T95,名簿!$AW$3:$CW$118,90,FALSE))</f>
        <v/>
      </c>
      <c r="W95" s="769" t="str">
        <f t="shared" si="19"/>
        <v/>
      </c>
      <c r="X95" s="774" t="str">
        <f t="shared" si="20"/>
        <v/>
      </c>
      <c r="Y95" s="160"/>
      <c r="Z95" s="165"/>
      <c r="AA95" s="163"/>
      <c r="AB95" s="166"/>
      <c r="AC95" s="167"/>
      <c r="AD95" s="159"/>
      <c r="AE95" s="160"/>
      <c r="AF95" s="161"/>
      <c r="AG95" s="164"/>
      <c r="AH95" s="802"/>
      <c r="AI95" s="802"/>
      <c r="AK95" s="143"/>
      <c r="AL95" s="907" t="str">
        <f t="shared" si="14"/>
        <v/>
      </c>
      <c r="AM95" s="859">
        <f t="shared" si="15"/>
        <v>0</v>
      </c>
      <c r="AN95" s="859">
        <f t="shared" si="21"/>
        <v>0</v>
      </c>
      <c r="AP95" s="1348"/>
      <c r="AQ95" s="1348"/>
      <c r="AR95" s="1349"/>
      <c r="AS95" s="1349"/>
      <c r="AT95" s="1349"/>
      <c r="AU95" s="1349"/>
      <c r="AV95" s="1348"/>
      <c r="AW95" s="1348"/>
      <c r="AX95" s="1349"/>
      <c r="AY95" s="886"/>
      <c r="AZ95" s="1349"/>
      <c r="BA95" s="1349"/>
      <c r="BB95" s="1349"/>
      <c r="BC95" s="1349"/>
      <c r="BD95" s="1349"/>
      <c r="BE95" s="918"/>
    </row>
    <row r="96" spans="1:57">
      <c r="A96" s="1338">
        <f t="shared" si="16"/>
        <v>0</v>
      </c>
      <c r="B96" s="162" t="str">
        <f>名簿!P93</f>
        <v/>
      </c>
      <c r="C96" s="162"/>
      <c r="D96" s="931"/>
      <c r="E96" s="182">
        <f>名簿!E93</f>
        <v>0</v>
      </c>
      <c r="F96" s="697" t="str">
        <f>名簿!CM93</f>
        <v/>
      </c>
      <c r="G96" s="162" t="str">
        <f>名簿!Z93</f>
        <v/>
      </c>
      <c r="H96" s="675" t="str">
        <f>名簿!CM93</f>
        <v/>
      </c>
      <c r="I96" s="187" t="str">
        <f>名簿!Y93</f>
        <v/>
      </c>
      <c r="J96" s="190" t="str">
        <f>名簿!CN93</f>
        <v/>
      </c>
      <c r="K96" s="1040">
        <f>名簿!CP93</f>
        <v>0</v>
      </c>
      <c r="L96" s="750" t="str">
        <f>名簿!CU93</f>
        <v>00</v>
      </c>
      <c r="M96" s="162" t="str">
        <f>名簿!Q93</f>
        <v/>
      </c>
      <c r="N96" s="1341">
        <f>名簿!D93</f>
        <v>0</v>
      </c>
      <c r="O96" s="338"/>
      <c r="P96" s="292" t="str">
        <f t="shared" si="12"/>
        <v/>
      </c>
      <c r="Q96" s="669" t="str">
        <f>IF(O96="","",HLOOKUP(O96,名簿!$AH$3:$CF$118,91,FALSE))</f>
        <v/>
      </c>
      <c r="R96" s="1344" t="str">
        <f t="shared" si="17"/>
        <v/>
      </c>
      <c r="S96" s="1282" t="str">
        <f t="shared" si="18"/>
        <v/>
      </c>
      <c r="T96" s="368"/>
      <c r="U96" s="292" t="str">
        <f t="shared" si="13"/>
        <v/>
      </c>
      <c r="V96" s="669" t="str">
        <f>IF(T96="","",HLOOKUP(T96,名簿!$AW$3:$CW$118,91,FALSE))</f>
        <v/>
      </c>
      <c r="W96" s="769" t="str">
        <f t="shared" si="19"/>
        <v/>
      </c>
      <c r="X96" s="774" t="str">
        <f t="shared" si="20"/>
        <v/>
      </c>
      <c r="Y96" s="160"/>
      <c r="Z96" s="165"/>
      <c r="AA96" s="163"/>
      <c r="AB96" s="166"/>
      <c r="AC96" s="167"/>
      <c r="AD96" s="159"/>
      <c r="AE96" s="160"/>
      <c r="AF96" s="161"/>
      <c r="AG96" s="164"/>
      <c r="AH96" s="802"/>
      <c r="AI96" s="802"/>
      <c r="AK96" s="143"/>
      <c r="AL96" s="907" t="str">
        <f t="shared" si="14"/>
        <v/>
      </c>
      <c r="AM96" s="859">
        <f t="shared" si="15"/>
        <v>0</v>
      </c>
      <c r="AN96" s="859">
        <f t="shared" si="21"/>
        <v>0</v>
      </c>
      <c r="AP96" s="1348"/>
      <c r="AQ96" s="1348"/>
      <c r="AR96" s="1349"/>
      <c r="AS96" s="1349"/>
      <c r="AT96" s="1349"/>
      <c r="AU96" s="1349"/>
      <c r="AV96" s="1348"/>
      <c r="AW96" s="1348"/>
      <c r="AX96" s="1349"/>
      <c r="AY96" s="886"/>
      <c r="AZ96" s="1349"/>
      <c r="BA96" s="1349"/>
      <c r="BB96" s="1349"/>
      <c r="BC96" s="1349"/>
      <c r="BD96" s="1349"/>
      <c r="BE96" s="918"/>
    </row>
    <row r="97" spans="1:57">
      <c r="A97" s="1338">
        <f t="shared" si="16"/>
        <v>0</v>
      </c>
      <c r="B97" s="162" t="str">
        <f>名簿!P94</f>
        <v/>
      </c>
      <c r="C97" s="162"/>
      <c r="D97" s="931"/>
      <c r="E97" s="182">
        <f>名簿!E94</f>
        <v>0</v>
      </c>
      <c r="F97" s="697" t="str">
        <f>名簿!CM94</f>
        <v/>
      </c>
      <c r="G97" s="162" t="str">
        <f>名簿!Z94</f>
        <v/>
      </c>
      <c r="H97" s="675" t="str">
        <f>名簿!CM94</f>
        <v/>
      </c>
      <c r="I97" s="187" t="str">
        <f>名簿!Y94</f>
        <v/>
      </c>
      <c r="J97" s="190" t="str">
        <f>名簿!CN94</f>
        <v/>
      </c>
      <c r="K97" s="1040">
        <f>名簿!CP94</f>
        <v>0</v>
      </c>
      <c r="L97" s="750" t="str">
        <f>名簿!CU94</f>
        <v>00</v>
      </c>
      <c r="M97" s="162" t="str">
        <f>名簿!Q94</f>
        <v/>
      </c>
      <c r="N97" s="1341">
        <f>名簿!D94</f>
        <v>0</v>
      </c>
      <c r="O97" s="338"/>
      <c r="P97" s="292" t="str">
        <f t="shared" si="12"/>
        <v/>
      </c>
      <c r="Q97" s="669" t="str">
        <f>IF(O97="","",HLOOKUP(O97,名簿!$AH$3:$CF$118,92,FALSE))</f>
        <v/>
      </c>
      <c r="R97" s="1344" t="str">
        <f t="shared" si="17"/>
        <v/>
      </c>
      <c r="S97" s="1282" t="str">
        <f t="shared" si="18"/>
        <v/>
      </c>
      <c r="T97" s="368"/>
      <c r="U97" s="292" t="str">
        <f t="shared" si="13"/>
        <v/>
      </c>
      <c r="V97" s="669" t="str">
        <f>IF(T97="","",HLOOKUP(T97,名簿!$AW$3:$CW$118,92,FALSE))</f>
        <v/>
      </c>
      <c r="W97" s="769" t="str">
        <f t="shared" si="19"/>
        <v/>
      </c>
      <c r="X97" s="774" t="str">
        <f t="shared" si="20"/>
        <v/>
      </c>
      <c r="Y97" s="160"/>
      <c r="Z97" s="165"/>
      <c r="AA97" s="163"/>
      <c r="AB97" s="166"/>
      <c r="AC97" s="167"/>
      <c r="AD97" s="159"/>
      <c r="AE97" s="160"/>
      <c r="AF97" s="161"/>
      <c r="AG97" s="164"/>
      <c r="AH97" s="802"/>
      <c r="AI97" s="802"/>
      <c r="AK97" s="143"/>
      <c r="AL97" s="907" t="str">
        <f t="shared" si="14"/>
        <v/>
      </c>
      <c r="AM97" s="859">
        <f t="shared" si="15"/>
        <v>0</v>
      </c>
      <c r="AN97" s="859">
        <f t="shared" si="21"/>
        <v>0</v>
      </c>
      <c r="AP97" s="1348"/>
      <c r="AQ97" s="1348"/>
      <c r="AR97" s="1349"/>
      <c r="AS97" s="1349"/>
      <c r="AT97" s="1349"/>
      <c r="AU97" s="1349"/>
      <c r="AV97" s="1348"/>
      <c r="AW97" s="1348"/>
      <c r="AX97" s="1349"/>
      <c r="AY97" s="886"/>
      <c r="AZ97" s="1349"/>
      <c r="BA97" s="1349"/>
      <c r="BB97" s="1349"/>
      <c r="BC97" s="1349"/>
      <c r="BD97" s="1349"/>
      <c r="BE97" s="918"/>
    </row>
    <row r="98" spans="1:57">
      <c r="A98" s="1338">
        <f t="shared" si="16"/>
        <v>0</v>
      </c>
      <c r="B98" s="162" t="str">
        <f>名簿!P95</f>
        <v/>
      </c>
      <c r="C98" s="162"/>
      <c r="D98" s="931"/>
      <c r="E98" s="182">
        <f>名簿!E95</f>
        <v>0</v>
      </c>
      <c r="F98" s="697" t="str">
        <f>名簿!CM95</f>
        <v/>
      </c>
      <c r="G98" s="162" t="str">
        <f>名簿!Z95</f>
        <v/>
      </c>
      <c r="H98" s="675" t="str">
        <f>名簿!CM95</f>
        <v/>
      </c>
      <c r="I98" s="187" t="str">
        <f>名簿!Y95</f>
        <v/>
      </c>
      <c r="J98" s="190" t="str">
        <f>名簿!CN95</f>
        <v/>
      </c>
      <c r="K98" s="1040">
        <f>名簿!CP95</f>
        <v>0</v>
      </c>
      <c r="L98" s="750" t="str">
        <f>名簿!CU95</f>
        <v>00</v>
      </c>
      <c r="M98" s="162" t="str">
        <f>名簿!Q95</f>
        <v/>
      </c>
      <c r="N98" s="1341">
        <f>名簿!D95</f>
        <v>0</v>
      </c>
      <c r="O98" s="338"/>
      <c r="P98" s="292" t="str">
        <f t="shared" si="12"/>
        <v/>
      </c>
      <c r="Q98" s="669" t="str">
        <f>IF(O98="","",HLOOKUP(O98,名簿!$AH$3:$CF$118,93,FALSE))</f>
        <v/>
      </c>
      <c r="R98" s="1344" t="str">
        <f t="shared" si="17"/>
        <v/>
      </c>
      <c r="S98" s="1282" t="str">
        <f t="shared" si="18"/>
        <v/>
      </c>
      <c r="T98" s="368"/>
      <c r="U98" s="292" t="str">
        <f t="shared" si="13"/>
        <v/>
      </c>
      <c r="V98" s="669" t="str">
        <f>IF(T98="","",HLOOKUP(T98,名簿!$AW$3:$CW$118,93,FALSE))</f>
        <v/>
      </c>
      <c r="W98" s="769" t="str">
        <f t="shared" si="19"/>
        <v/>
      </c>
      <c r="X98" s="774" t="str">
        <f t="shared" si="20"/>
        <v/>
      </c>
      <c r="Y98" s="160"/>
      <c r="Z98" s="165"/>
      <c r="AA98" s="163"/>
      <c r="AB98" s="166"/>
      <c r="AC98" s="167"/>
      <c r="AD98" s="159"/>
      <c r="AE98" s="160"/>
      <c r="AF98" s="161"/>
      <c r="AG98" s="164"/>
      <c r="AH98" s="802"/>
      <c r="AI98" s="802"/>
      <c r="AK98" s="143"/>
      <c r="AL98" s="907" t="str">
        <f t="shared" si="14"/>
        <v/>
      </c>
      <c r="AM98" s="859">
        <f t="shared" si="15"/>
        <v>0</v>
      </c>
      <c r="AN98" s="859">
        <f t="shared" si="21"/>
        <v>0</v>
      </c>
      <c r="AP98" s="1348"/>
      <c r="AQ98" s="1348"/>
      <c r="AR98" s="1349"/>
      <c r="AS98" s="1349"/>
      <c r="AT98" s="1349"/>
      <c r="AU98" s="1349"/>
      <c r="AV98" s="1348"/>
      <c r="AW98" s="1348"/>
      <c r="AX98" s="1349"/>
      <c r="AY98" s="886"/>
      <c r="AZ98" s="1349"/>
      <c r="BA98" s="1349"/>
      <c r="BB98" s="1349"/>
      <c r="BC98" s="1349"/>
      <c r="BD98" s="1349"/>
      <c r="BE98" s="918"/>
    </row>
    <row r="99" spans="1:57">
      <c r="A99" s="1338">
        <f t="shared" si="16"/>
        <v>0</v>
      </c>
      <c r="B99" s="162" t="str">
        <f>名簿!P96</f>
        <v/>
      </c>
      <c r="C99" s="162"/>
      <c r="D99" s="931"/>
      <c r="E99" s="182">
        <f>名簿!E96</f>
        <v>0</v>
      </c>
      <c r="F99" s="697" t="str">
        <f>名簿!CM96</f>
        <v/>
      </c>
      <c r="G99" s="162" t="str">
        <f>名簿!Z96</f>
        <v/>
      </c>
      <c r="H99" s="675" t="str">
        <f>名簿!CM96</f>
        <v/>
      </c>
      <c r="I99" s="187" t="str">
        <f>名簿!Y96</f>
        <v/>
      </c>
      <c r="J99" s="190" t="str">
        <f>名簿!CN96</f>
        <v/>
      </c>
      <c r="K99" s="1040">
        <f>名簿!CP96</f>
        <v>0</v>
      </c>
      <c r="L99" s="750" t="str">
        <f>名簿!CU96</f>
        <v>00</v>
      </c>
      <c r="M99" s="162" t="str">
        <f>名簿!Q96</f>
        <v/>
      </c>
      <c r="N99" s="1341">
        <f>名簿!D96</f>
        <v>0</v>
      </c>
      <c r="O99" s="338"/>
      <c r="P99" s="292" t="str">
        <f t="shared" si="12"/>
        <v/>
      </c>
      <c r="Q99" s="669" t="str">
        <f>IF(O99="","",HLOOKUP(O99,名簿!$AH$3:$CF$118,94,FALSE))</f>
        <v/>
      </c>
      <c r="R99" s="1344" t="str">
        <f t="shared" si="17"/>
        <v/>
      </c>
      <c r="S99" s="1282" t="str">
        <f t="shared" si="18"/>
        <v/>
      </c>
      <c r="T99" s="368"/>
      <c r="U99" s="292" t="str">
        <f t="shared" si="13"/>
        <v/>
      </c>
      <c r="V99" s="669" t="str">
        <f>IF(T99="","",HLOOKUP(T99,名簿!$AW$3:$CW$118,94,FALSE))</f>
        <v/>
      </c>
      <c r="W99" s="769" t="str">
        <f t="shared" si="19"/>
        <v/>
      </c>
      <c r="X99" s="774" t="str">
        <f t="shared" si="20"/>
        <v/>
      </c>
      <c r="Y99" s="160"/>
      <c r="Z99" s="165"/>
      <c r="AA99" s="163"/>
      <c r="AB99" s="166"/>
      <c r="AC99" s="167"/>
      <c r="AD99" s="159"/>
      <c r="AE99" s="160"/>
      <c r="AF99" s="161"/>
      <c r="AG99" s="164"/>
      <c r="AH99" s="802"/>
      <c r="AI99" s="802"/>
      <c r="AK99" s="143"/>
      <c r="AL99" s="907" t="str">
        <f t="shared" si="14"/>
        <v/>
      </c>
      <c r="AM99" s="859">
        <f t="shared" si="15"/>
        <v>0</v>
      </c>
      <c r="AN99" s="859">
        <f t="shared" si="21"/>
        <v>0</v>
      </c>
      <c r="AP99" s="1348"/>
      <c r="AQ99" s="1348"/>
      <c r="AR99" s="1349"/>
      <c r="AS99" s="1349"/>
      <c r="AT99" s="1349"/>
      <c r="AU99" s="1349"/>
      <c r="AV99" s="1348"/>
      <c r="AW99" s="1348"/>
      <c r="AX99" s="1349"/>
      <c r="AY99" s="886"/>
      <c r="AZ99" s="1349"/>
      <c r="BA99" s="1349"/>
      <c r="BB99" s="1349"/>
      <c r="BC99" s="1349"/>
      <c r="BD99" s="1349"/>
      <c r="BE99" s="918"/>
    </row>
    <row r="100" spans="1:57">
      <c r="A100" s="1338">
        <f t="shared" si="16"/>
        <v>0</v>
      </c>
      <c r="B100" s="162" t="str">
        <f>名簿!P97</f>
        <v/>
      </c>
      <c r="C100" s="162"/>
      <c r="D100" s="931"/>
      <c r="E100" s="182">
        <f>名簿!E97</f>
        <v>0</v>
      </c>
      <c r="F100" s="697" t="str">
        <f>名簿!CM97</f>
        <v/>
      </c>
      <c r="G100" s="162" t="str">
        <f>名簿!Z97</f>
        <v/>
      </c>
      <c r="H100" s="675" t="str">
        <f>名簿!CM97</f>
        <v/>
      </c>
      <c r="I100" s="187" t="str">
        <f>名簿!Y97</f>
        <v/>
      </c>
      <c r="J100" s="190" t="str">
        <f>名簿!CN97</f>
        <v/>
      </c>
      <c r="K100" s="1040">
        <f>名簿!CP97</f>
        <v>0</v>
      </c>
      <c r="L100" s="750" t="str">
        <f>名簿!CU97</f>
        <v>00</v>
      </c>
      <c r="M100" s="162" t="str">
        <f>名簿!Q97</f>
        <v/>
      </c>
      <c r="N100" s="1341">
        <f>名簿!D97</f>
        <v>0</v>
      </c>
      <c r="O100" s="338"/>
      <c r="P100" s="292" t="str">
        <f t="shared" si="12"/>
        <v/>
      </c>
      <c r="Q100" s="669" t="str">
        <f>IF(O100="","",HLOOKUP(O100,名簿!$AH$3:$CF$118,95,FALSE))</f>
        <v/>
      </c>
      <c r="R100" s="1344" t="str">
        <f t="shared" si="17"/>
        <v/>
      </c>
      <c r="S100" s="1282" t="str">
        <f t="shared" si="18"/>
        <v/>
      </c>
      <c r="T100" s="368"/>
      <c r="U100" s="292" t="str">
        <f t="shared" si="13"/>
        <v/>
      </c>
      <c r="V100" s="669" t="str">
        <f>IF(T100="","",HLOOKUP(T100,名簿!$AW$3:$CW$118,95,FALSE))</f>
        <v/>
      </c>
      <c r="W100" s="769" t="str">
        <f t="shared" si="19"/>
        <v/>
      </c>
      <c r="X100" s="774" t="str">
        <f t="shared" si="20"/>
        <v/>
      </c>
      <c r="Y100" s="160"/>
      <c r="Z100" s="165"/>
      <c r="AA100" s="163"/>
      <c r="AB100" s="166"/>
      <c r="AC100" s="167"/>
      <c r="AD100" s="159"/>
      <c r="AE100" s="160"/>
      <c r="AF100" s="161"/>
      <c r="AG100" s="164"/>
      <c r="AH100" s="802"/>
      <c r="AI100" s="802"/>
      <c r="AK100" s="143"/>
      <c r="AL100" s="907" t="str">
        <f t="shared" si="14"/>
        <v/>
      </c>
      <c r="AM100" s="859">
        <f t="shared" si="15"/>
        <v>0</v>
      </c>
      <c r="AN100" s="859">
        <f t="shared" si="21"/>
        <v>0</v>
      </c>
      <c r="AP100" s="1348"/>
      <c r="AQ100" s="1348"/>
      <c r="AR100" s="1349"/>
      <c r="AS100" s="1349"/>
      <c r="AT100" s="1349"/>
      <c r="AU100" s="1349"/>
      <c r="AV100" s="1348"/>
      <c r="AW100" s="1348"/>
      <c r="AX100" s="1349"/>
      <c r="AY100" s="886"/>
      <c r="AZ100" s="1349"/>
      <c r="BA100" s="1349"/>
      <c r="BB100" s="1349"/>
      <c r="BC100" s="1349"/>
      <c r="BD100" s="1349"/>
      <c r="BE100" s="918"/>
    </row>
    <row r="101" spans="1:57">
      <c r="A101" s="1338">
        <f t="shared" si="16"/>
        <v>0</v>
      </c>
      <c r="B101" s="162" t="str">
        <f>名簿!P98</f>
        <v/>
      </c>
      <c r="C101" s="162"/>
      <c r="D101" s="931"/>
      <c r="E101" s="182">
        <f>名簿!E98</f>
        <v>0</v>
      </c>
      <c r="F101" s="697" t="str">
        <f>名簿!CM98</f>
        <v/>
      </c>
      <c r="G101" s="162" t="str">
        <f>名簿!Z98</f>
        <v/>
      </c>
      <c r="H101" s="675" t="str">
        <f>名簿!CM98</f>
        <v/>
      </c>
      <c r="I101" s="187" t="str">
        <f>名簿!Y98</f>
        <v/>
      </c>
      <c r="J101" s="190" t="str">
        <f>名簿!CN98</f>
        <v/>
      </c>
      <c r="K101" s="1040">
        <f>名簿!CP98</f>
        <v>0</v>
      </c>
      <c r="L101" s="750" t="str">
        <f>名簿!CU98</f>
        <v>00</v>
      </c>
      <c r="M101" s="162" t="str">
        <f>名簿!Q98</f>
        <v/>
      </c>
      <c r="N101" s="1341">
        <f>名簿!D98</f>
        <v>0</v>
      </c>
      <c r="O101" s="338"/>
      <c r="P101" s="292" t="str">
        <f t="shared" si="12"/>
        <v/>
      </c>
      <c r="Q101" s="669" t="str">
        <f>IF(O101="","",HLOOKUP(O101,名簿!$AH$3:$CF$118,96,FALSE))</f>
        <v/>
      </c>
      <c r="R101" s="1344" t="str">
        <f t="shared" si="17"/>
        <v/>
      </c>
      <c r="S101" s="1282" t="str">
        <f t="shared" si="18"/>
        <v/>
      </c>
      <c r="T101" s="368"/>
      <c r="U101" s="292" t="str">
        <f t="shared" si="13"/>
        <v/>
      </c>
      <c r="V101" s="669" t="str">
        <f>IF(T101="","",HLOOKUP(T101,名簿!$AW$3:$CW$118,96,FALSE))</f>
        <v/>
      </c>
      <c r="W101" s="769" t="str">
        <f t="shared" si="19"/>
        <v/>
      </c>
      <c r="X101" s="774" t="str">
        <f t="shared" si="20"/>
        <v/>
      </c>
      <c r="Y101" s="160"/>
      <c r="Z101" s="165"/>
      <c r="AA101" s="163"/>
      <c r="AB101" s="166"/>
      <c r="AC101" s="167"/>
      <c r="AD101" s="159"/>
      <c r="AE101" s="160"/>
      <c r="AF101" s="161"/>
      <c r="AG101" s="164"/>
      <c r="AH101" s="802"/>
      <c r="AI101" s="802"/>
      <c r="AK101" s="143"/>
      <c r="AL101" s="907" t="str">
        <f t="shared" si="14"/>
        <v/>
      </c>
      <c r="AM101" s="859">
        <f t="shared" si="15"/>
        <v>0</v>
      </c>
      <c r="AN101" s="859">
        <f t="shared" si="21"/>
        <v>0</v>
      </c>
      <c r="AP101" s="1348"/>
      <c r="AQ101" s="1348"/>
      <c r="AR101" s="1349"/>
      <c r="AS101" s="1349"/>
      <c r="AT101" s="1349"/>
      <c r="AU101" s="1349"/>
      <c r="AV101" s="1348"/>
      <c r="AW101" s="1348"/>
      <c r="AX101" s="1349"/>
      <c r="AY101" s="886"/>
      <c r="AZ101" s="1349"/>
      <c r="BA101" s="1349"/>
      <c r="BB101" s="1349"/>
      <c r="BC101" s="1349"/>
      <c r="BD101" s="1349"/>
      <c r="BE101" s="918"/>
    </row>
    <row r="102" spans="1:57">
      <c r="A102" s="1338">
        <f t="shared" si="16"/>
        <v>0</v>
      </c>
      <c r="B102" s="162" t="str">
        <f>名簿!P99</f>
        <v/>
      </c>
      <c r="C102" s="162"/>
      <c r="D102" s="931"/>
      <c r="E102" s="182">
        <f>名簿!E99</f>
        <v>0</v>
      </c>
      <c r="F102" s="697" t="str">
        <f>名簿!CM99</f>
        <v/>
      </c>
      <c r="G102" s="162" t="str">
        <f>名簿!Z99</f>
        <v/>
      </c>
      <c r="H102" s="675" t="str">
        <f>名簿!CM99</f>
        <v/>
      </c>
      <c r="I102" s="187" t="str">
        <f>名簿!Y99</f>
        <v/>
      </c>
      <c r="J102" s="190" t="str">
        <f>名簿!CN99</f>
        <v/>
      </c>
      <c r="K102" s="1040">
        <f>名簿!CP99</f>
        <v>0</v>
      </c>
      <c r="L102" s="750" t="str">
        <f>名簿!CU99</f>
        <v>00</v>
      </c>
      <c r="M102" s="162" t="str">
        <f>名簿!Q99</f>
        <v/>
      </c>
      <c r="N102" s="1341">
        <f>名簿!D99</f>
        <v>0</v>
      </c>
      <c r="O102" s="338"/>
      <c r="P102" s="292" t="str">
        <f t="shared" si="12"/>
        <v/>
      </c>
      <c r="Q102" s="669" t="str">
        <f>IF(O102="","",HLOOKUP(O102,名簿!$AH$3:$CF$118,97,FALSE))</f>
        <v/>
      </c>
      <c r="R102" s="1344" t="str">
        <f t="shared" si="17"/>
        <v/>
      </c>
      <c r="S102" s="1282" t="str">
        <f t="shared" si="18"/>
        <v/>
      </c>
      <c r="T102" s="368"/>
      <c r="U102" s="292" t="str">
        <f t="shared" si="13"/>
        <v/>
      </c>
      <c r="V102" s="669" t="str">
        <f>IF(T102="","",HLOOKUP(T102,名簿!$AW$3:$CW$118,97,FALSE))</f>
        <v/>
      </c>
      <c r="W102" s="769" t="str">
        <f t="shared" si="19"/>
        <v/>
      </c>
      <c r="X102" s="774" t="str">
        <f t="shared" si="20"/>
        <v/>
      </c>
      <c r="Y102" s="160"/>
      <c r="Z102" s="165"/>
      <c r="AA102" s="163"/>
      <c r="AB102" s="166"/>
      <c r="AC102" s="167"/>
      <c r="AD102" s="159"/>
      <c r="AE102" s="160"/>
      <c r="AF102" s="161"/>
      <c r="AG102" s="164"/>
      <c r="AH102" s="802"/>
      <c r="AI102" s="802"/>
      <c r="AK102" s="143"/>
      <c r="AL102" s="907" t="str">
        <f t="shared" si="14"/>
        <v/>
      </c>
      <c r="AM102" s="859">
        <f t="shared" si="15"/>
        <v>0</v>
      </c>
      <c r="AN102" s="859">
        <f t="shared" si="21"/>
        <v>0</v>
      </c>
      <c r="AP102" s="1348"/>
      <c r="AQ102" s="1348"/>
      <c r="AR102" s="1349"/>
      <c r="AS102" s="1349"/>
      <c r="AT102" s="1349"/>
      <c r="AU102" s="1349"/>
      <c r="AV102" s="1348"/>
      <c r="AW102" s="1348"/>
      <c r="AX102" s="1349"/>
      <c r="AY102" s="886"/>
      <c r="AZ102" s="1349"/>
      <c r="BA102" s="1349"/>
      <c r="BB102" s="1349"/>
      <c r="BC102" s="1349"/>
      <c r="BD102" s="1349"/>
      <c r="BE102" s="918"/>
    </row>
    <row r="103" spans="1:57">
      <c r="A103" s="1338">
        <f t="shared" si="16"/>
        <v>0</v>
      </c>
      <c r="B103" s="162" t="str">
        <f>名簿!P100</f>
        <v/>
      </c>
      <c r="C103" s="162"/>
      <c r="D103" s="931"/>
      <c r="E103" s="182">
        <f>名簿!E100</f>
        <v>0</v>
      </c>
      <c r="F103" s="697" t="str">
        <f>名簿!CM100</f>
        <v/>
      </c>
      <c r="G103" s="162" t="str">
        <f>名簿!Z100</f>
        <v/>
      </c>
      <c r="H103" s="675" t="str">
        <f>名簿!CM100</f>
        <v/>
      </c>
      <c r="I103" s="187" t="str">
        <f>名簿!Y100</f>
        <v/>
      </c>
      <c r="J103" s="190" t="str">
        <f>名簿!CN100</f>
        <v/>
      </c>
      <c r="K103" s="1040">
        <f>名簿!CP100</f>
        <v>0</v>
      </c>
      <c r="L103" s="750" t="str">
        <f>名簿!CU100</f>
        <v>00</v>
      </c>
      <c r="M103" s="162" t="str">
        <f>名簿!Q100</f>
        <v/>
      </c>
      <c r="N103" s="1341">
        <f>名簿!D100</f>
        <v>0</v>
      </c>
      <c r="O103" s="338"/>
      <c r="P103" s="292" t="str">
        <f t="shared" ref="P103:P116" si="22">IF(O103="","",IF(I103=1,VLOOKUP(O103,$AP$8:$AR$12,3,FALSE),IF(I103=2,VLOOKUP(O103,$AP$15:$AR$19,3,FALSE))))</f>
        <v/>
      </c>
      <c r="Q103" s="669" t="str">
        <f>IF(O103="","",HLOOKUP(O103,名簿!$AH$3:$CF$118,98,FALSE))</f>
        <v/>
      </c>
      <c r="R103" s="1344" t="str">
        <f t="shared" si="17"/>
        <v/>
      </c>
      <c r="S103" s="1282" t="str">
        <f t="shared" si="18"/>
        <v/>
      </c>
      <c r="T103" s="368"/>
      <c r="U103" s="292" t="str">
        <f t="shared" ref="U103:U116" si="23">IF(T103="","",IF(I103=1,VLOOKUP(T103,$AP$8:$AR$12,3,FALSE),IF(I103=2,VLOOKUP(T103,$AP$15:$AR$19,3,FALSE))))</f>
        <v/>
      </c>
      <c r="V103" s="669" t="str">
        <f>IF(T103="","",HLOOKUP(T103,名簿!$AW$3:$CW$118,98,FALSE))</f>
        <v/>
      </c>
      <c r="W103" s="769" t="str">
        <f t="shared" si="19"/>
        <v/>
      </c>
      <c r="X103" s="774" t="str">
        <f t="shared" si="20"/>
        <v/>
      </c>
      <c r="Y103" s="160"/>
      <c r="Z103" s="165"/>
      <c r="AA103" s="163"/>
      <c r="AB103" s="166"/>
      <c r="AC103" s="167"/>
      <c r="AD103" s="159"/>
      <c r="AE103" s="160"/>
      <c r="AF103" s="161"/>
      <c r="AG103" s="164"/>
      <c r="AH103" s="802"/>
      <c r="AI103" s="802"/>
      <c r="AK103" s="143"/>
      <c r="AL103" s="907" t="str">
        <f t="shared" si="14"/>
        <v/>
      </c>
      <c r="AM103" s="859">
        <f t="shared" si="15"/>
        <v>0</v>
      </c>
      <c r="AN103" s="859">
        <f t="shared" si="21"/>
        <v>0</v>
      </c>
      <c r="AP103" s="1348"/>
      <c r="AQ103" s="1348"/>
      <c r="AR103" s="1349"/>
      <c r="AS103" s="1349"/>
      <c r="AT103" s="1349"/>
      <c r="AU103" s="1349"/>
      <c r="AV103" s="1348"/>
      <c r="AW103" s="1348"/>
      <c r="AX103" s="1349"/>
      <c r="AY103" s="886"/>
      <c r="AZ103" s="1349"/>
      <c r="BA103" s="1349"/>
      <c r="BB103" s="1349"/>
      <c r="BC103" s="1349"/>
      <c r="BD103" s="1349"/>
      <c r="BE103" s="918"/>
    </row>
    <row r="104" spans="1:57">
      <c r="A104" s="1338">
        <f t="shared" si="16"/>
        <v>0</v>
      </c>
      <c r="B104" s="162" t="str">
        <f>名簿!P101</f>
        <v/>
      </c>
      <c r="C104" s="162"/>
      <c r="D104" s="931"/>
      <c r="E104" s="182">
        <f>名簿!E101</f>
        <v>0</v>
      </c>
      <c r="F104" s="697" t="str">
        <f>名簿!CM101</f>
        <v/>
      </c>
      <c r="G104" s="162" t="str">
        <f>名簿!Z101</f>
        <v/>
      </c>
      <c r="H104" s="675" t="str">
        <f>名簿!CM101</f>
        <v/>
      </c>
      <c r="I104" s="187" t="str">
        <f>名簿!Y101</f>
        <v/>
      </c>
      <c r="J104" s="190" t="str">
        <f>名簿!CN101</f>
        <v/>
      </c>
      <c r="K104" s="1040">
        <f>名簿!CP101</f>
        <v>0</v>
      </c>
      <c r="L104" s="750" t="str">
        <f>名簿!CU101</f>
        <v>00</v>
      </c>
      <c r="M104" s="162" t="str">
        <f>名簿!Q101</f>
        <v/>
      </c>
      <c r="N104" s="1341">
        <f>名簿!D101</f>
        <v>0</v>
      </c>
      <c r="O104" s="338"/>
      <c r="P104" s="292" t="str">
        <f t="shared" si="22"/>
        <v/>
      </c>
      <c r="Q104" s="669" t="str">
        <f>IF(O104="","",HLOOKUP(O104,名簿!$AH$3:$CF$118,99,FALSE))</f>
        <v/>
      </c>
      <c r="R104" s="1344" t="str">
        <f t="shared" si="17"/>
        <v/>
      </c>
      <c r="S104" s="1282" t="str">
        <f t="shared" si="18"/>
        <v/>
      </c>
      <c r="T104" s="368"/>
      <c r="U104" s="292" t="str">
        <f t="shared" si="23"/>
        <v/>
      </c>
      <c r="V104" s="669" t="str">
        <f>IF(T104="","",HLOOKUP(T104,名簿!$AW$3:$CW$118,99,FALSE))</f>
        <v/>
      </c>
      <c r="W104" s="769" t="str">
        <f t="shared" si="19"/>
        <v/>
      </c>
      <c r="X104" s="774" t="str">
        <f t="shared" si="20"/>
        <v/>
      </c>
      <c r="Y104" s="160"/>
      <c r="Z104" s="165"/>
      <c r="AA104" s="163"/>
      <c r="AB104" s="166"/>
      <c r="AC104" s="167"/>
      <c r="AD104" s="159"/>
      <c r="AE104" s="160"/>
      <c r="AF104" s="161"/>
      <c r="AG104" s="164"/>
      <c r="AH104" s="802"/>
      <c r="AI104" s="802"/>
      <c r="AK104" s="143"/>
      <c r="AL104" s="907" t="str">
        <f t="shared" si="14"/>
        <v/>
      </c>
      <c r="AM104" s="859">
        <f t="shared" si="15"/>
        <v>0</v>
      </c>
      <c r="AN104" s="859">
        <f t="shared" si="21"/>
        <v>0</v>
      </c>
      <c r="AP104" s="1348"/>
      <c r="AQ104" s="1348"/>
      <c r="AR104" s="1349"/>
      <c r="AS104" s="1349"/>
      <c r="AT104" s="1349"/>
      <c r="AU104" s="1349"/>
      <c r="AV104" s="1348"/>
      <c r="AW104" s="1348"/>
      <c r="AX104" s="1349"/>
      <c r="AY104" s="886"/>
      <c r="AZ104" s="1349"/>
      <c r="BA104" s="1349"/>
      <c r="BB104" s="1349"/>
      <c r="BC104" s="1349"/>
      <c r="BD104" s="1349"/>
      <c r="BE104" s="918"/>
    </row>
    <row r="105" spans="1:57">
      <c r="A105" s="1338">
        <f t="shared" si="16"/>
        <v>0</v>
      </c>
      <c r="B105" s="162" t="str">
        <f>名簿!P102</f>
        <v/>
      </c>
      <c r="C105" s="162"/>
      <c r="D105" s="931"/>
      <c r="E105" s="182">
        <f>名簿!E102</f>
        <v>0</v>
      </c>
      <c r="F105" s="697" t="str">
        <f>名簿!CM102</f>
        <v/>
      </c>
      <c r="G105" s="162" t="str">
        <f>名簿!Z102</f>
        <v/>
      </c>
      <c r="H105" s="675" t="str">
        <f>名簿!CM102</f>
        <v/>
      </c>
      <c r="I105" s="187" t="str">
        <f>名簿!Y102</f>
        <v/>
      </c>
      <c r="J105" s="190" t="str">
        <f>名簿!CN102</f>
        <v/>
      </c>
      <c r="K105" s="1040">
        <f>名簿!CP102</f>
        <v>0</v>
      </c>
      <c r="L105" s="750" t="str">
        <f>名簿!CU102</f>
        <v>00</v>
      </c>
      <c r="M105" s="162" t="str">
        <f>名簿!Q102</f>
        <v/>
      </c>
      <c r="N105" s="1341">
        <f>名簿!D102</f>
        <v>0</v>
      </c>
      <c r="O105" s="338"/>
      <c r="P105" s="292" t="str">
        <f t="shared" si="22"/>
        <v/>
      </c>
      <c r="Q105" s="669" t="str">
        <f>IF(O105="","",HLOOKUP(O105,名簿!$AH$3:$CF$118,100,FALSE))</f>
        <v/>
      </c>
      <c r="R105" s="1344" t="str">
        <f t="shared" si="17"/>
        <v/>
      </c>
      <c r="S105" s="1282" t="str">
        <f t="shared" si="18"/>
        <v/>
      </c>
      <c r="T105" s="368"/>
      <c r="U105" s="292" t="str">
        <f t="shared" si="23"/>
        <v/>
      </c>
      <c r="V105" s="669" t="str">
        <f>IF(T105="","",HLOOKUP(T105,名簿!$AW$3:$CW$118,100,FALSE))</f>
        <v/>
      </c>
      <c r="W105" s="769" t="str">
        <f t="shared" si="19"/>
        <v/>
      </c>
      <c r="X105" s="774" t="str">
        <f t="shared" si="20"/>
        <v/>
      </c>
      <c r="Y105" s="160"/>
      <c r="Z105" s="165"/>
      <c r="AA105" s="163"/>
      <c r="AB105" s="166"/>
      <c r="AC105" s="167"/>
      <c r="AD105" s="159"/>
      <c r="AE105" s="160"/>
      <c r="AF105" s="161"/>
      <c r="AG105" s="164"/>
      <c r="AH105" s="802"/>
      <c r="AI105" s="802"/>
      <c r="AK105" s="143"/>
      <c r="AL105" s="907" t="str">
        <f t="shared" si="14"/>
        <v/>
      </c>
      <c r="AM105" s="859">
        <f t="shared" si="15"/>
        <v>0</v>
      </c>
      <c r="AN105" s="859">
        <f t="shared" si="21"/>
        <v>0</v>
      </c>
      <c r="AP105" s="1348"/>
      <c r="AQ105" s="1348"/>
      <c r="AR105" s="1349"/>
      <c r="AS105" s="1349"/>
      <c r="AT105" s="1349"/>
      <c r="AU105" s="1349"/>
      <c r="AV105" s="1348"/>
      <c r="AW105" s="1348"/>
      <c r="AX105" s="1349"/>
      <c r="AY105" s="886"/>
      <c r="AZ105" s="1349"/>
      <c r="BA105" s="1349"/>
      <c r="BB105" s="1349"/>
      <c r="BC105" s="1349"/>
      <c r="BD105" s="1349"/>
      <c r="BE105" s="918"/>
    </row>
    <row r="106" spans="1:57">
      <c r="A106" s="1338">
        <f t="shared" si="16"/>
        <v>0</v>
      </c>
      <c r="B106" s="162" t="str">
        <f>名簿!P103</f>
        <v/>
      </c>
      <c r="C106" s="162"/>
      <c r="D106" s="931"/>
      <c r="E106" s="182">
        <f>名簿!E103</f>
        <v>0</v>
      </c>
      <c r="F106" s="697" t="str">
        <f>名簿!CM103</f>
        <v/>
      </c>
      <c r="G106" s="162" t="str">
        <f>名簿!Z103</f>
        <v/>
      </c>
      <c r="H106" s="675" t="str">
        <f>名簿!CM103</f>
        <v/>
      </c>
      <c r="I106" s="187" t="str">
        <f>名簿!Y103</f>
        <v/>
      </c>
      <c r="J106" s="190" t="str">
        <f>名簿!CN103</f>
        <v/>
      </c>
      <c r="K106" s="1040">
        <f>名簿!CP103</f>
        <v>0</v>
      </c>
      <c r="L106" s="750" t="str">
        <f>名簿!CU103</f>
        <v>00</v>
      </c>
      <c r="M106" s="162" t="str">
        <f>名簿!Q103</f>
        <v/>
      </c>
      <c r="N106" s="1341">
        <f>名簿!D103</f>
        <v>0</v>
      </c>
      <c r="O106" s="338"/>
      <c r="P106" s="292" t="str">
        <f t="shared" si="22"/>
        <v/>
      </c>
      <c r="Q106" s="669" t="str">
        <f>IF(O106="","",HLOOKUP(O106,名簿!$AH$3:$CF$118,101,FALSE))</f>
        <v/>
      </c>
      <c r="R106" s="1344" t="str">
        <f t="shared" si="17"/>
        <v/>
      </c>
      <c r="S106" s="1282" t="str">
        <f t="shared" si="18"/>
        <v/>
      </c>
      <c r="T106" s="368"/>
      <c r="U106" s="292" t="str">
        <f t="shared" si="23"/>
        <v/>
      </c>
      <c r="V106" s="669" t="str">
        <f>IF(T106="","",HLOOKUP(T106,名簿!$AW$3:$CW$118,101,FALSE))</f>
        <v/>
      </c>
      <c r="W106" s="769" t="str">
        <f t="shared" si="19"/>
        <v/>
      </c>
      <c r="X106" s="774" t="str">
        <f t="shared" si="20"/>
        <v/>
      </c>
      <c r="Y106" s="160"/>
      <c r="Z106" s="165"/>
      <c r="AA106" s="163"/>
      <c r="AB106" s="166"/>
      <c r="AC106" s="167"/>
      <c r="AD106" s="159"/>
      <c r="AE106" s="160"/>
      <c r="AF106" s="161"/>
      <c r="AG106" s="164"/>
      <c r="AH106" s="802"/>
      <c r="AI106" s="802"/>
      <c r="AK106" s="143"/>
      <c r="AL106" s="907" t="str">
        <f t="shared" si="14"/>
        <v/>
      </c>
      <c r="AM106" s="859">
        <f t="shared" si="15"/>
        <v>0</v>
      </c>
      <c r="AN106" s="859">
        <f t="shared" si="21"/>
        <v>0</v>
      </c>
      <c r="AP106" s="1348"/>
      <c r="AQ106" s="1348"/>
      <c r="AR106" s="1349"/>
      <c r="AS106" s="1349"/>
      <c r="AT106" s="1349"/>
      <c r="AU106" s="1349"/>
      <c r="AV106" s="1348"/>
      <c r="AW106" s="1348"/>
      <c r="AX106" s="1349"/>
      <c r="AY106" s="886"/>
      <c r="AZ106" s="1349"/>
      <c r="BA106" s="1349"/>
      <c r="BB106" s="1349"/>
      <c r="BC106" s="1349"/>
      <c r="BD106" s="1349"/>
      <c r="BE106" s="918"/>
    </row>
    <row r="107" spans="1:57">
      <c r="A107" s="1338">
        <f t="shared" si="16"/>
        <v>0</v>
      </c>
      <c r="B107" s="162" t="str">
        <f>名簿!P104</f>
        <v/>
      </c>
      <c r="C107" s="162"/>
      <c r="D107" s="931"/>
      <c r="E107" s="182">
        <f>名簿!E104</f>
        <v>0</v>
      </c>
      <c r="F107" s="697" t="str">
        <f>名簿!CM104</f>
        <v/>
      </c>
      <c r="G107" s="162" t="str">
        <f>名簿!Z104</f>
        <v/>
      </c>
      <c r="H107" s="675" t="str">
        <f>名簿!CM104</f>
        <v/>
      </c>
      <c r="I107" s="187" t="str">
        <f>名簿!Y104</f>
        <v/>
      </c>
      <c r="J107" s="190" t="str">
        <f>名簿!CN104</f>
        <v/>
      </c>
      <c r="K107" s="1040">
        <f>名簿!CP104</f>
        <v>0</v>
      </c>
      <c r="L107" s="750" t="str">
        <f>名簿!CU104</f>
        <v>00</v>
      </c>
      <c r="M107" s="162" t="str">
        <f>名簿!Q104</f>
        <v/>
      </c>
      <c r="N107" s="1341">
        <f>名簿!D104</f>
        <v>0</v>
      </c>
      <c r="O107" s="338"/>
      <c r="P107" s="292" t="str">
        <f t="shared" si="22"/>
        <v/>
      </c>
      <c r="Q107" s="669" t="str">
        <f>IF(O107="","",HLOOKUP(O107,名簿!$AH$3:$CF$118,102,FALSE))</f>
        <v/>
      </c>
      <c r="R107" s="1344" t="str">
        <f t="shared" si="17"/>
        <v/>
      </c>
      <c r="S107" s="1282" t="str">
        <f t="shared" si="18"/>
        <v/>
      </c>
      <c r="T107" s="368"/>
      <c r="U107" s="292" t="str">
        <f t="shared" si="23"/>
        <v/>
      </c>
      <c r="V107" s="669" t="str">
        <f>IF(T107="","",HLOOKUP(T107,名簿!$AW$3:$CW$118,102,FALSE))</f>
        <v/>
      </c>
      <c r="W107" s="769" t="str">
        <f t="shared" si="19"/>
        <v/>
      </c>
      <c r="X107" s="774" t="str">
        <f t="shared" si="20"/>
        <v/>
      </c>
      <c r="Y107" s="160"/>
      <c r="Z107" s="165"/>
      <c r="AA107" s="163"/>
      <c r="AB107" s="166"/>
      <c r="AC107" s="167"/>
      <c r="AD107" s="159"/>
      <c r="AE107" s="160"/>
      <c r="AF107" s="161"/>
      <c r="AG107" s="164"/>
      <c r="AH107" s="802"/>
      <c r="AI107" s="802"/>
      <c r="AK107" s="143"/>
      <c r="AL107" s="907" t="str">
        <f t="shared" si="14"/>
        <v/>
      </c>
      <c r="AM107" s="859">
        <f t="shared" si="15"/>
        <v>0</v>
      </c>
      <c r="AN107" s="859">
        <f t="shared" si="21"/>
        <v>0</v>
      </c>
      <c r="AP107" s="1348"/>
      <c r="AQ107" s="1348"/>
      <c r="AR107" s="1349"/>
      <c r="AS107" s="1349"/>
      <c r="AT107" s="1349"/>
      <c r="AU107" s="1349"/>
      <c r="AV107" s="1348"/>
      <c r="AW107" s="1348"/>
      <c r="AX107" s="1349"/>
      <c r="AY107" s="886"/>
      <c r="AZ107" s="1349"/>
      <c r="BA107" s="1349"/>
      <c r="BB107" s="1349"/>
      <c r="BC107" s="1349"/>
      <c r="BD107" s="1349"/>
      <c r="BE107" s="918"/>
    </row>
    <row r="108" spans="1:57">
      <c r="A108" s="1338">
        <f t="shared" si="16"/>
        <v>0</v>
      </c>
      <c r="B108" s="162" t="str">
        <f>名簿!P105</f>
        <v/>
      </c>
      <c r="C108" s="162"/>
      <c r="D108" s="931"/>
      <c r="E108" s="182">
        <f>名簿!E105</f>
        <v>0</v>
      </c>
      <c r="F108" s="697" t="str">
        <f>名簿!CM105</f>
        <v/>
      </c>
      <c r="G108" s="162" t="str">
        <f>名簿!Z105</f>
        <v/>
      </c>
      <c r="H108" s="675" t="str">
        <f>名簿!CM105</f>
        <v/>
      </c>
      <c r="I108" s="187" t="str">
        <f>名簿!Y105</f>
        <v/>
      </c>
      <c r="J108" s="190" t="str">
        <f>名簿!CN105</f>
        <v/>
      </c>
      <c r="K108" s="1040">
        <f>名簿!CP105</f>
        <v>0</v>
      </c>
      <c r="L108" s="750" t="str">
        <f>名簿!CU105</f>
        <v>00</v>
      </c>
      <c r="M108" s="162" t="str">
        <f>名簿!Q105</f>
        <v/>
      </c>
      <c r="N108" s="1341">
        <f>名簿!D105</f>
        <v>0</v>
      </c>
      <c r="O108" s="338"/>
      <c r="P108" s="292" t="str">
        <f t="shared" si="22"/>
        <v/>
      </c>
      <c r="Q108" s="669" t="str">
        <f>IF(O108="","",HLOOKUP(O108,名簿!$AH$3:$CF$118,103,FALSE))</f>
        <v/>
      </c>
      <c r="R108" s="1344" t="str">
        <f t="shared" si="17"/>
        <v/>
      </c>
      <c r="S108" s="1282" t="str">
        <f t="shared" si="18"/>
        <v/>
      </c>
      <c r="T108" s="368"/>
      <c r="U108" s="292" t="str">
        <f t="shared" si="23"/>
        <v/>
      </c>
      <c r="V108" s="669" t="str">
        <f>IF(T108="","",HLOOKUP(T108,名簿!$AW$3:$CW$118,103,FALSE))</f>
        <v/>
      </c>
      <c r="W108" s="769" t="str">
        <f t="shared" si="19"/>
        <v/>
      </c>
      <c r="X108" s="774" t="str">
        <f t="shared" si="20"/>
        <v/>
      </c>
      <c r="Y108" s="160"/>
      <c r="Z108" s="165"/>
      <c r="AA108" s="163"/>
      <c r="AB108" s="166"/>
      <c r="AC108" s="167"/>
      <c r="AD108" s="159"/>
      <c r="AE108" s="160"/>
      <c r="AF108" s="161"/>
      <c r="AG108" s="164"/>
      <c r="AH108" s="802"/>
      <c r="AI108" s="802"/>
      <c r="AK108" s="143"/>
      <c r="AL108" s="907" t="str">
        <f t="shared" si="14"/>
        <v/>
      </c>
      <c r="AM108" s="859">
        <f t="shared" si="15"/>
        <v>0</v>
      </c>
      <c r="AN108" s="859">
        <f t="shared" si="21"/>
        <v>0</v>
      </c>
      <c r="AP108" s="1348"/>
      <c r="AQ108" s="1348"/>
      <c r="AR108" s="1349"/>
      <c r="AS108" s="1349"/>
      <c r="AT108" s="1349"/>
      <c r="AU108" s="1349"/>
      <c r="AV108" s="1348"/>
      <c r="AW108" s="1348"/>
      <c r="AX108" s="1349"/>
      <c r="AY108" s="886"/>
      <c r="AZ108" s="1349"/>
      <c r="BA108" s="1349"/>
      <c r="BB108" s="1349"/>
      <c r="BC108" s="1349"/>
      <c r="BD108" s="1349"/>
      <c r="BE108" s="918"/>
    </row>
    <row r="109" spans="1:57">
      <c r="A109" s="1338">
        <f t="shared" si="16"/>
        <v>0</v>
      </c>
      <c r="B109" s="162" t="str">
        <f>名簿!P106</f>
        <v/>
      </c>
      <c r="C109" s="162"/>
      <c r="D109" s="931"/>
      <c r="E109" s="182">
        <f>名簿!E106</f>
        <v>0</v>
      </c>
      <c r="F109" s="697" t="str">
        <f>名簿!CM106</f>
        <v/>
      </c>
      <c r="G109" s="162" t="str">
        <f>名簿!Z106</f>
        <v/>
      </c>
      <c r="H109" s="675" t="str">
        <f>名簿!CM106</f>
        <v/>
      </c>
      <c r="I109" s="187" t="str">
        <f>名簿!Y106</f>
        <v/>
      </c>
      <c r="J109" s="190" t="str">
        <f>名簿!CN106</f>
        <v/>
      </c>
      <c r="K109" s="1040">
        <f>名簿!CP106</f>
        <v>0</v>
      </c>
      <c r="L109" s="750" t="str">
        <f>名簿!CU106</f>
        <v>00</v>
      </c>
      <c r="M109" s="162" t="str">
        <f>名簿!Q106</f>
        <v/>
      </c>
      <c r="N109" s="1341">
        <f>名簿!D106</f>
        <v>0</v>
      </c>
      <c r="O109" s="338"/>
      <c r="P109" s="292" t="str">
        <f t="shared" si="22"/>
        <v/>
      </c>
      <c r="Q109" s="669" t="str">
        <f>IF(O109="","",HLOOKUP(O109,名簿!$AH$3:$CF$118,104,FALSE))</f>
        <v/>
      </c>
      <c r="R109" s="1344" t="str">
        <f t="shared" si="17"/>
        <v/>
      </c>
      <c r="S109" s="1282" t="str">
        <f t="shared" si="18"/>
        <v/>
      </c>
      <c r="T109" s="368"/>
      <c r="U109" s="292" t="str">
        <f t="shared" si="23"/>
        <v/>
      </c>
      <c r="V109" s="669" t="str">
        <f>IF(T109="","",HLOOKUP(T109,名簿!$AW$3:$CW$118,104,FALSE))</f>
        <v/>
      </c>
      <c r="W109" s="769" t="str">
        <f t="shared" si="19"/>
        <v/>
      </c>
      <c r="X109" s="774" t="str">
        <f t="shared" si="20"/>
        <v/>
      </c>
      <c r="Y109" s="160"/>
      <c r="Z109" s="165"/>
      <c r="AA109" s="163"/>
      <c r="AB109" s="166"/>
      <c r="AC109" s="167"/>
      <c r="AD109" s="159"/>
      <c r="AE109" s="160"/>
      <c r="AF109" s="161"/>
      <c r="AG109" s="164"/>
      <c r="AH109" s="802"/>
      <c r="AI109" s="802"/>
      <c r="AK109" s="143"/>
      <c r="AL109" s="907" t="str">
        <f t="shared" si="14"/>
        <v/>
      </c>
      <c r="AM109" s="859">
        <f t="shared" si="15"/>
        <v>0</v>
      </c>
      <c r="AN109" s="859">
        <f t="shared" si="21"/>
        <v>0</v>
      </c>
      <c r="AP109" s="1348"/>
      <c r="AQ109" s="1348"/>
      <c r="AR109" s="1349"/>
      <c r="AS109" s="1349"/>
      <c r="AT109" s="1349"/>
      <c r="AU109" s="1349"/>
      <c r="AV109" s="1348"/>
      <c r="AW109" s="1348"/>
      <c r="AX109" s="1349"/>
      <c r="AY109" s="886"/>
      <c r="AZ109" s="1349"/>
      <c r="BA109" s="1349"/>
      <c r="BB109" s="1349"/>
      <c r="BC109" s="1349"/>
      <c r="BD109" s="1349"/>
      <c r="BE109" s="918"/>
    </row>
    <row r="110" spans="1:57">
      <c r="A110" s="1338">
        <f t="shared" si="16"/>
        <v>0</v>
      </c>
      <c r="B110" s="162" t="str">
        <f>名簿!P107</f>
        <v/>
      </c>
      <c r="C110" s="162"/>
      <c r="D110" s="931"/>
      <c r="E110" s="182">
        <f>名簿!E107</f>
        <v>0</v>
      </c>
      <c r="F110" s="697" t="str">
        <f>名簿!CM107</f>
        <v/>
      </c>
      <c r="G110" s="162" t="str">
        <f>名簿!Z107</f>
        <v/>
      </c>
      <c r="H110" s="675" t="str">
        <f>名簿!CM107</f>
        <v/>
      </c>
      <c r="I110" s="187" t="str">
        <f>名簿!Y107</f>
        <v/>
      </c>
      <c r="J110" s="190" t="str">
        <f>名簿!CN107</f>
        <v/>
      </c>
      <c r="K110" s="1040">
        <f>名簿!CP107</f>
        <v>0</v>
      </c>
      <c r="L110" s="750" t="str">
        <f>名簿!CU107</f>
        <v>00</v>
      </c>
      <c r="M110" s="162" t="str">
        <f>名簿!Q107</f>
        <v/>
      </c>
      <c r="N110" s="1341">
        <f>名簿!D107</f>
        <v>0</v>
      </c>
      <c r="O110" s="338"/>
      <c r="P110" s="292" t="str">
        <f t="shared" si="22"/>
        <v/>
      </c>
      <c r="Q110" s="669" t="str">
        <f>IF(O110="","",HLOOKUP(O110,名簿!$AH$3:$CF$118,105,FALSE))</f>
        <v/>
      </c>
      <c r="R110" s="1344" t="str">
        <f t="shared" si="17"/>
        <v/>
      </c>
      <c r="S110" s="1282" t="str">
        <f t="shared" si="18"/>
        <v/>
      </c>
      <c r="T110" s="368"/>
      <c r="U110" s="292" t="str">
        <f t="shared" si="23"/>
        <v/>
      </c>
      <c r="V110" s="669" t="str">
        <f>IF(T110="","",HLOOKUP(T110,名簿!$AW$3:$CW$118,105,FALSE))</f>
        <v/>
      </c>
      <c r="W110" s="769" t="str">
        <f t="shared" si="19"/>
        <v/>
      </c>
      <c r="X110" s="774" t="str">
        <f t="shared" si="20"/>
        <v/>
      </c>
      <c r="Y110" s="160"/>
      <c r="Z110" s="165"/>
      <c r="AA110" s="163"/>
      <c r="AB110" s="166"/>
      <c r="AC110" s="167"/>
      <c r="AD110" s="159"/>
      <c r="AE110" s="160"/>
      <c r="AF110" s="161"/>
      <c r="AG110" s="164"/>
      <c r="AH110" s="802"/>
      <c r="AI110" s="802"/>
      <c r="AK110" s="143"/>
      <c r="AL110" s="907" t="str">
        <f t="shared" si="14"/>
        <v/>
      </c>
      <c r="AM110" s="859">
        <f t="shared" si="15"/>
        <v>0</v>
      </c>
      <c r="AN110" s="859">
        <f t="shared" si="21"/>
        <v>0</v>
      </c>
      <c r="AP110" s="1348"/>
      <c r="AQ110" s="1348"/>
      <c r="AR110" s="1349"/>
      <c r="AS110" s="1349"/>
      <c r="AT110" s="1349"/>
      <c r="AU110" s="1349"/>
      <c r="AV110" s="1348"/>
      <c r="AW110" s="1348"/>
      <c r="AX110" s="1349"/>
      <c r="AY110" s="886"/>
      <c r="AZ110" s="1349"/>
      <c r="BA110" s="1349"/>
      <c r="BB110" s="1349"/>
      <c r="BC110" s="1349"/>
      <c r="BD110" s="1349"/>
      <c r="BE110" s="918"/>
    </row>
    <row r="111" spans="1:57">
      <c r="A111" s="1338">
        <f t="shared" si="16"/>
        <v>0</v>
      </c>
      <c r="B111" s="162" t="str">
        <f>名簿!P108</f>
        <v/>
      </c>
      <c r="C111" s="162"/>
      <c r="D111" s="931"/>
      <c r="E111" s="182">
        <f>名簿!E108</f>
        <v>0</v>
      </c>
      <c r="F111" s="697" t="str">
        <f>名簿!CM108</f>
        <v/>
      </c>
      <c r="G111" s="162" t="str">
        <f>名簿!Z108</f>
        <v/>
      </c>
      <c r="H111" s="675" t="str">
        <f>名簿!CM108</f>
        <v/>
      </c>
      <c r="I111" s="187" t="str">
        <f>名簿!Y108</f>
        <v/>
      </c>
      <c r="J111" s="190" t="str">
        <f>名簿!CN108</f>
        <v/>
      </c>
      <c r="K111" s="1040">
        <f>名簿!CP108</f>
        <v>0</v>
      </c>
      <c r="L111" s="750" t="str">
        <f>名簿!CU108</f>
        <v>00</v>
      </c>
      <c r="M111" s="162" t="str">
        <f>名簿!Q108</f>
        <v/>
      </c>
      <c r="N111" s="1341">
        <f>名簿!D108</f>
        <v>0</v>
      </c>
      <c r="O111" s="338"/>
      <c r="P111" s="292" t="str">
        <f t="shared" si="22"/>
        <v/>
      </c>
      <c r="Q111" s="669" t="str">
        <f>IF(O111="","",HLOOKUP(O111,名簿!$AH$3:$CF$118,106,FALSE))</f>
        <v/>
      </c>
      <c r="R111" s="1344" t="str">
        <f t="shared" si="17"/>
        <v/>
      </c>
      <c r="S111" s="1282" t="str">
        <f t="shared" si="18"/>
        <v/>
      </c>
      <c r="T111" s="368"/>
      <c r="U111" s="292" t="str">
        <f t="shared" si="23"/>
        <v/>
      </c>
      <c r="V111" s="669" t="str">
        <f>IF(T111="","",HLOOKUP(T111,名簿!$AW$3:$CW$118,106,FALSE))</f>
        <v/>
      </c>
      <c r="W111" s="769" t="str">
        <f t="shared" si="19"/>
        <v/>
      </c>
      <c r="X111" s="774" t="str">
        <f t="shared" si="20"/>
        <v/>
      </c>
      <c r="Y111" s="160"/>
      <c r="Z111" s="165"/>
      <c r="AA111" s="163"/>
      <c r="AB111" s="166"/>
      <c r="AC111" s="167"/>
      <c r="AD111" s="159"/>
      <c r="AE111" s="160"/>
      <c r="AF111" s="161"/>
      <c r="AG111" s="164"/>
      <c r="AH111" s="802"/>
      <c r="AI111" s="802"/>
      <c r="AK111" s="143"/>
      <c r="AL111" s="907" t="str">
        <f t="shared" si="14"/>
        <v/>
      </c>
      <c r="AM111" s="859">
        <f t="shared" si="15"/>
        <v>0</v>
      </c>
      <c r="AN111" s="859">
        <f t="shared" si="21"/>
        <v>0</v>
      </c>
      <c r="AP111" s="1348"/>
      <c r="AQ111" s="1348"/>
      <c r="AR111" s="1349"/>
      <c r="AS111" s="1349"/>
      <c r="AT111" s="1349"/>
      <c r="AU111" s="1349"/>
      <c r="AV111" s="1348"/>
      <c r="AW111" s="1348"/>
      <c r="AX111" s="1349"/>
      <c r="AY111" s="886"/>
      <c r="AZ111" s="1349"/>
      <c r="BA111" s="1349"/>
      <c r="BB111" s="1349"/>
      <c r="BC111" s="1349"/>
      <c r="BD111" s="1349"/>
      <c r="BE111" s="918"/>
    </row>
    <row r="112" spans="1:57">
      <c r="A112" s="1338">
        <f t="shared" si="16"/>
        <v>0</v>
      </c>
      <c r="B112" s="162" t="str">
        <f>名簿!P109</f>
        <v/>
      </c>
      <c r="C112" s="162"/>
      <c r="D112" s="931"/>
      <c r="E112" s="182">
        <f>名簿!E109</f>
        <v>0</v>
      </c>
      <c r="F112" s="697" t="str">
        <f>名簿!CM109</f>
        <v/>
      </c>
      <c r="G112" s="162" t="str">
        <f>名簿!Z109</f>
        <v/>
      </c>
      <c r="H112" s="675" t="str">
        <f>名簿!CM109</f>
        <v/>
      </c>
      <c r="I112" s="187" t="str">
        <f>名簿!Y109</f>
        <v/>
      </c>
      <c r="J112" s="190" t="str">
        <f>名簿!CN109</f>
        <v/>
      </c>
      <c r="K112" s="1040">
        <f>名簿!CP109</f>
        <v>0</v>
      </c>
      <c r="L112" s="750" t="str">
        <f>名簿!CU109</f>
        <v>00</v>
      </c>
      <c r="M112" s="162" t="str">
        <f>名簿!Q109</f>
        <v/>
      </c>
      <c r="N112" s="1341">
        <f>名簿!D109</f>
        <v>0</v>
      </c>
      <c r="O112" s="338"/>
      <c r="P112" s="292" t="str">
        <f t="shared" si="22"/>
        <v/>
      </c>
      <c r="Q112" s="669" t="str">
        <f>IF(O112="","",HLOOKUP(O112,名簿!$AH$3:$CF$118,107,FALSE))</f>
        <v/>
      </c>
      <c r="R112" s="1344" t="str">
        <f t="shared" si="17"/>
        <v/>
      </c>
      <c r="S112" s="1282" t="str">
        <f t="shared" si="18"/>
        <v/>
      </c>
      <c r="T112" s="368"/>
      <c r="U112" s="292" t="str">
        <f t="shared" si="23"/>
        <v/>
      </c>
      <c r="V112" s="669" t="str">
        <f>IF(T112="","",HLOOKUP(T112,名簿!$AW$3:$CW$118,107,FALSE))</f>
        <v/>
      </c>
      <c r="W112" s="769" t="str">
        <f t="shared" si="19"/>
        <v/>
      </c>
      <c r="X112" s="774" t="str">
        <f t="shared" si="20"/>
        <v/>
      </c>
      <c r="Y112" s="160"/>
      <c r="Z112" s="165"/>
      <c r="AA112" s="163"/>
      <c r="AB112" s="166"/>
      <c r="AC112" s="167"/>
      <c r="AD112" s="159"/>
      <c r="AE112" s="160"/>
      <c r="AF112" s="161"/>
      <c r="AG112" s="164"/>
      <c r="AH112" s="802"/>
      <c r="AI112" s="802"/>
      <c r="AK112" s="143"/>
      <c r="AL112" s="907" t="str">
        <f t="shared" si="14"/>
        <v/>
      </c>
      <c r="AM112" s="859">
        <f t="shared" si="15"/>
        <v>0</v>
      </c>
      <c r="AN112" s="859">
        <f t="shared" si="21"/>
        <v>0</v>
      </c>
      <c r="AP112" s="1348"/>
      <c r="AQ112" s="1348"/>
      <c r="AR112" s="1349"/>
      <c r="AS112" s="1349"/>
      <c r="AT112" s="1349"/>
      <c r="AU112" s="1349"/>
      <c r="AV112" s="1348"/>
      <c r="AW112" s="1348"/>
      <c r="AX112" s="1349"/>
      <c r="AY112" s="886"/>
      <c r="AZ112" s="1349"/>
      <c r="BA112" s="1349"/>
      <c r="BB112" s="1349"/>
      <c r="BC112" s="1349"/>
      <c r="BD112" s="1349"/>
      <c r="BE112" s="918"/>
    </row>
    <row r="113" spans="1:57">
      <c r="A113" s="1338">
        <f t="shared" si="16"/>
        <v>0</v>
      </c>
      <c r="B113" s="162" t="str">
        <f>名簿!P110</f>
        <v/>
      </c>
      <c r="C113" s="162"/>
      <c r="D113" s="931"/>
      <c r="E113" s="182">
        <f>名簿!E110</f>
        <v>0</v>
      </c>
      <c r="F113" s="697" t="str">
        <f>名簿!CM110</f>
        <v/>
      </c>
      <c r="G113" s="162" t="str">
        <f>名簿!Z110</f>
        <v/>
      </c>
      <c r="H113" s="675" t="str">
        <f>名簿!CM110</f>
        <v/>
      </c>
      <c r="I113" s="187" t="str">
        <f>名簿!Y110</f>
        <v/>
      </c>
      <c r="J113" s="190" t="str">
        <f>名簿!CN110</f>
        <v/>
      </c>
      <c r="K113" s="1040">
        <f>名簿!CP110</f>
        <v>0</v>
      </c>
      <c r="L113" s="750" t="str">
        <f>名簿!CU110</f>
        <v>00</v>
      </c>
      <c r="M113" s="162" t="str">
        <f>名簿!Q110</f>
        <v/>
      </c>
      <c r="N113" s="1341">
        <f>名簿!D110</f>
        <v>0</v>
      </c>
      <c r="O113" s="338"/>
      <c r="P113" s="292" t="str">
        <f t="shared" si="22"/>
        <v/>
      </c>
      <c r="Q113" s="669" t="str">
        <f>IF(O113="","",HLOOKUP(O113,名簿!$AH$3:$CF$118,108,FALSE))</f>
        <v/>
      </c>
      <c r="R113" s="1344" t="str">
        <f t="shared" si="17"/>
        <v/>
      </c>
      <c r="S113" s="1282" t="str">
        <f t="shared" si="18"/>
        <v/>
      </c>
      <c r="T113" s="368"/>
      <c r="U113" s="292" t="str">
        <f t="shared" si="23"/>
        <v/>
      </c>
      <c r="V113" s="669" t="str">
        <f>IF(T113="","",HLOOKUP(T113,名簿!$AW$3:$CW$118,108,FALSE))</f>
        <v/>
      </c>
      <c r="W113" s="769" t="str">
        <f t="shared" si="19"/>
        <v/>
      </c>
      <c r="X113" s="774" t="str">
        <f t="shared" si="20"/>
        <v/>
      </c>
      <c r="Y113" s="160"/>
      <c r="Z113" s="165"/>
      <c r="AA113" s="163"/>
      <c r="AB113" s="166"/>
      <c r="AC113" s="167"/>
      <c r="AD113" s="159"/>
      <c r="AE113" s="160"/>
      <c r="AF113" s="161"/>
      <c r="AG113" s="164"/>
      <c r="AH113" s="802"/>
      <c r="AI113" s="802"/>
      <c r="AK113" s="143"/>
      <c r="AL113" s="907" t="str">
        <f t="shared" si="14"/>
        <v/>
      </c>
      <c r="AM113" s="859">
        <f t="shared" si="15"/>
        <v>0</v>
      </c>
      <c r="AN113" s="859">
        <f t="shared" si="21"/>
        <v>0</v>
      </c>
      <c r="AP113" s="1348"/>
      <c r="AQ113" s="1348"/>
      <c r="AR113" s="1349"/>
      <c r="AS113" s="1349"/>
      <c r="AT113" s="1349"/>
      <c r="AU113" s="1349"/>
      <c r="AV113" s="1348"/>
      <c r="AW113" s="1348"/>
      <c r="AX113" s="1349"/>
      <c r="AY113" s="886"/>
      <c r="AZ113" s="1349"/>
      <c r="BA113" s="1349"/>
      <c r="BB113" s="1349"/>
      <c r="BC113" s="1349"/>
      <c r="BD113" s="1349"/>
      <c r="BE113" s="918"/>
    </row>
    <row r="114" spans="1:57">
      <c r="A114" s="1338">
        <f t="shared" si="16"/>
        <v>0</v>
      </c>
      <c r="B114" s="162" t="str">
        <f>名簿!P111</f>
        <v/>
      </c>
      <c r="C114" s="162"/>
      <c r="D114" s="931"/>
      <c r="E114" s="182">
        <f>名簿!E111</f>
        <v>0</v>
      </c>
      <c r="F114" s="697" t="str">
        <f>名簿!CM111</f>
        <v/>
      </c>
      <c r="G114" s="162" t="str">
        <f>名簿!Z111</f>
        <v/>
      </c>
      <c r="H114" s="675" t="str">
        <f>名簿!CM111</f>
        <v/>
      </c>
      <c r="I114" s="187" t="str">
        <f>名簿!Y111</f>
        <v/>
      </c>
      <c r="J114" s="190" t="str">
        <f>名簿!CN111</f>
        <v/>
      </c>
      <c r="K114" s="1040">
        <f>名簿!CP111</f>
        <v>0</v>
      </c>
      <c r="L114" s="750" t="str">
        <f>名簿!CU111</f>
        <v>00</v>
      </c>
      <c r="M114" s="162" t="str">
        <f>名簿!Q111</f>
        <v/>
      </c>
      <c r="N114" s="1341">
        <f>名簿!D111</f>
        <v>0</v>
      </c>
      <c r="O114" s="338"/>
      <c r="P114" s="292" t="str">
        <f t="shared" si="22"/>
        <v/>
      </c>
      <c r="Q114" s="669" t="str">
        <f>IF(O114="","",HLOOKUP(O114,名簿!$AH$3:$CF$118,109,FALSE))</f>
        <v/>
      </c>
      <c r="R114" s="1344" t="str">
        <f t="shared" si="17"/>
        <v/>
      </c>
      <c r="S114" s="1282" t="str">
        <f t="shared" si="18"/>
        <v/>
      </c>
      <c r="T114" s="368"/>
      <c r="U114" s="292" t="str">
        <f t="shared" si="23"/>
        <v/>
      </c>
      <c r="V114" s="669" t="str">
        <f>IF(T114="","",HLOOKUP(T114,名簿!$AW$3:$CW$118,109,FALSE))</f>
        <v/>
      </c>
      <c r="W114" s="769" t="str">
        <f t="shared" si="19"/>
        <v/>
      </c>
      <c r="X114" s="774" t="str">
        <f t="shared" si="20"/>
        <v/>
      </c>
      <c r="Y114" s="160"/>
      <c r="Z114" s="165"/>
      <c r="AA114" s="163"/>
      <c r="AB114" s="166"/>
      <c r="AC114" s="167"/>
      <c r="AD114" s="159"/>
      <c r="AE114" s="160"/>
      <c r="AF114" s="161"/>
      <c r="AG114" s="164"/>
      <c r="AH114" s="802"/>
      <c r="AI114" s="802"/>
      <c r="AK114" s="143"/>
      <c r="AL114" s="907" t="str">
        <f t="shared" si="14"/>
        <v/>
      </c>
      <c r="AM114" s="859">
        <f t="shared" si="15"/>
        <v>0</v>
      </c>
      <c r="AN114" s="859">
        <f t="shared" si="21"/>
        <v>0</v>
      </c>
      <c r="AP114" s="1348"/>
      <c r="AQ114" s="1348"/>
      <c r="AR114" s="1349"/>
      <c r="AS114" s="1349"/>
      <c r="AT114" s="1349"/>
      <c r="AU114" s="1349"/>
      <c r="AV114" s="1348"/>
      <c r="AW114" s="1348"/>
      <c r="AX114" s="1349"/>
      <c r="AY114" s="886"/>
      <c r="AZ114" s="1349"/>
      <c r="BA114" s="1349"/>
      <c r="BB114" s="1349"/>
      <c r="BC114" s="1349"/>
      <c r="BD114" s="1349"/>
      <c r="BE114" s="918"/>
    </row>
    <row r="115" spans="1:57">
      <c r="A115" s="1338">
        <f t="shared" si="16"/>
        <v>0</v>
      </c>
      <c r="B115" s="162" t="str">
        <f>名簿!P112</f>
        <v/>
      </c>
      <c r="C115" s="162"/>
      <c r="D115" s="931"/>
      <c r="E115" s="182">
        <f>名簿!E112</f>
        <v>0</v>
      </c>
      <c r="F115" s="697" t="str">
        <f>名簿!CM112</f>
        <v/>
      </c>
      <c r="G115" s="162" t="str">
        <f>名簿!Z112</f>
        <v/>
      </c>
      <c r="H115" s="675" t="str">
        <f>名簿!CM112</f>
        <v/>
      </c>
      <c r="I115" s="187" t="str">
        <f>名簿!Y112</f>
        <v/>
      </c>
      <c r="J115" s="190" t="str">
        <f>名簿!CN112</f>
        <v/>
      </c>
      <c r="K115" s="1040">
        <f>名簿!CP112</f>
        <v>0</v>
      </c>
      <c r="L115" s="750" t="str">
        <f>名簿!CU112</f>
        <v>00</v>
      </c>
      <c r="M115" s="162" t="str">
        <f>名簿!Q112</f>
        <v/>
      </c>
      <c r="N115" s="1341">
        <f>名簿!D112</f>
        <v>0</v>
      </c>
      <c r="O115" s="338"/>
      <c r="P115" s="292" t="str">
        <f t="shared" si="22"/>
        <v/>
      </c>
      <c r="Q115" s="669" t="str">
        <f>IF(O115="","",HLOOKUP(O115,名簿!$AH$3:$CF$118,110,FALSE))</f>
        <v/>
      </c>
      <c r="R115" s="1344" t="str">
        <f t="shared" si="17"/>
        <v/>
      </c>
      <c r="S115" s="1282" t="str">
        <f t="shared" si="18"/>
        <v/>
      </c>
      <c r="T115" s="368"/>
      <c r="U115" s="292" t="str">
        <f t="shared" si="23"/>
        <v/>
      </c>
      <c r="V115" s="669" t="str">
        <f>IF(T115="","",HLOOKUP(T115,名簿!$AW$3:$CW$118,110,FALSE))</f>
        <v/>
      </c>
      <c r="W115" s="769" t="str">
        <f t="shared" si="19"/>
        <v/>
      </c>
      <c r="X115" s="774" t="str">
        <f t="shared" si="20"/>
        <v/>
      </c>
      <c r="Y115" s="160"/>
      <c r="Z115" s="165"/>
      <c r="AA115" s="163"/>
      <c r="AB115" s="166"/>
      <c r="AC115" s="167"/>
      <c r="AD115" s="159"/>
      <c r="AE115" s="160"/>
      <c r="AF115" s="161"/>
      <c r="AG115" s="164"/>
      <c r="AH115" s="802"/>
      <c r="AI115" s="802"/>
      <c r="AK115" s="143"/>
      <c r="AL115" s="907" t="str">
        <f t="shared" si="14"/>
        <v/>
      </c>
      <c r="AM115" s="859">
        <f t="shared" si="15"/>
        <v>0</v>
      </c>
      <c r="AN115" s="859">
        <f t="shared" si="21"/>
        <v>0</v>
      </c>
      <c r="AP115" s="1348"/>
      <c r="AQ115" s="1348"/>
      <c r="AR115" s="1349"/>
      <c r="AS115" s="1349"/>
      <c r="AT115" s="1349"/>
      <c r="AU115" s="1349"/>
      <c r="AV115" s="1348"/>
      <c r="AW115" s="1348"/>
      <c r="AX115" s="1349"/>
      <c r="AY115" s="886"/>
      <c r="AZ115" s="1349"/>
      <c r="BA115" s="1349"/>
      <c r="BB115" s="1349"/>
      <c r="BC115" s="1349"/>
      <c r="BD115" s="1349"/>
      <c r="BE115" s="918"/>
    </row>
    <row r="116" spans="1:57" ht="14.25" thickBot="1">
      <c r="A116" s="1339">
        <f t="shared" si="16"/>
        <v>0</v>
      </c>
      <c r="B116" s="170" t="str">
        <f>名簿!P113</f>
        <v/>
      </c>
      <c r="C116" s="170"/>
      <c r="D116" s="932"/>
      <c r="E116" s="185">
        <f>名簿!E113</f>
        <v>0</v>
      </c>
      <c r="F116" s="698" t="str">
        <f>名簿!CM113</f>
        <v/>
      </c>
      <c r="G116" s="170" t="str">
        <f>名簿!Z113</f>
        <v/>
      </c>
      <c r="H116" s="676" t="str">
        <f>名簿!CM113</f>
        <v/>
      </c>
      <c r="I116" s="188" t="str">
        <f>名簿!Y113</f>
        <v/>
      </c>
      <c r="J116" s="191" t="str">
        <f>名簿!CN113</f>
        <v/>
      </c>
      <c r="K116" s="1041">
        <f>名簿!CP113</f>
        <v>0</v>
      </c>
      <c r="L116" s="751" t="str">
        <f>名簿!CU113</f>
        <v>00</v>
      </c>
      <c r="M116" s="170" t="str">
        <f>名簿!Q113</f>
        <v/>
      </c>
      <c r="N116" s="1342">
        <f>名簿!D113</f>
        <v>0</v>
      </c>
      <c r="O116" s="340"/>
      <c r="P116" s="295" t="str">
        <f t="shared" si="22"/>
        <v/>
      </c>
      <c r="Q116" s="670" t="str">
        <f>IF(O116="","",HLOOKUP(O116,名簿!$AH$3:$CF$118,111,FALSE))</f>
        <v/>
      </c>
      <c r="R116" s="1345" t="str">
        <f t="shared" si="17"/>
        <v/>
      </c>
      <c r="S116" s="1283" t="str">
        <f t="shared" si="18"/>
        <v/>
      </c>
      <c r="T116" s="369"/>
      <c r="U116" s="295" t="str">
        <f t="shared" si="23"/>
        <v/>
      </c>
      <c r="V116" s="670" t="str">
        <f>IF(T116="","",HLOOKUP(T116,名簿!$AW$3:$CW$118,111,FALSE))</f>
        <v/>
      </c>
      <c r="W116" s="770" t="str">
        <f t="shared" si="19"/>
        <v/>
      </c>
      <c r="X116" s="776" t="str">
        <f t="shared" si="20"/>
        <v/>
      </c>
      <c r="Y116" s="172"/>
      <c r="Z116" s="173"/>
      <c r="AA116" s="171"/>
      <c r="AB116" s="174"/>
      <c r="AC116" s="175"/>
      <c r="AD116" s="159"/>
      <c r="AE116" s="160"/>
      <c r="AF116" s="161"/>
      <c r="AG116" s="164"/>
      <c r="AH116" s="802"/>
      <c r="AI116" s="802"/>
      <c r="AK116" s="143"/>
      <c r="AL116" s="907" t="str">
        <f t="shared" si="14"/>
        <v/>
      </c>
      <c r="AM116" s="859">
        <f t="shared" si="15"/>
        <v>0</v>
      </c>
      <c r="AN116" s="859">
        <f t="shared" si="21"/>
        <v>0</v>
      </c>
      <c r="AP116" s="1348"/>
      <c r="AQ116" s="1348"/>
      <c r="AR116" s="1349"/>
      <c r="AS116" s="1349"/>
      <c r="AT116" s="1349"/>
      <c r="AU116" s="1349"/>
      <c r="AV116" s="1348"/>
      <c r="AW116" s="1348"/>
      <c r="AX116" s="1349"/>
      <c r="AY116" s="886"/>
      <c r="AZ116" s="1349"/>
      <c r="BA116" s="1349"/>
      <c r="BB116" s="1349"/>
      <c r="BC116" s="1349"/>
      <c r="BD116" s="1349"/>
      <c r="BE116" s="918"/>
    </row>
    <row r="117" spans="1:57">
      <c r="B117" s="886"/>
      <c r="C117" s="886"/>
      <c r="D117" s="886"/>
      <c r="E117" s="886"/>
      <c r="F117" s="886"/>
      <c r="G117" s="923"/>
      <c r="H117" s="333"/>
      <c r="I117" s="333"/>
      <c r="J117" s="800"/>
      <c r="K117" s="800"/>
      <c r="L117" s="886"/>
      <c r="M117" s="302"/>
      <c r="N117" s="334"/>
      <c r="O117" s="304"/>
      <c r="P117" s="302"/>
      <c r="Q117" s="334"/>
      <c r="R117" s="304"/>
      <c r="S117" s="302"/>
      <c r="T117" s="303"/>
      <c r="U117" s="304"/>
      <c r="V117" s="305"/>
      <c r="W117" s="303"/>
      <c r="X117" s="304"/>
      <c r="Y117" s="302"/>
      <c r="Z117" s="303"/>
      <c r="AA117" s="304"/>
      <c r="AB117" s="800"/>
      <c r="AC117" s="800"/>
      <c r="AD117" s="886"/>
      <c r="AE117" s="306"/>
      <c r="AF117" s="924">
        <f>SUM(AL7:AL116)</f>
        <v>0</v>
      </c>
      <c r="AG117" s="924">
        <f>SUM(AM7:AM116)</f>
        <v>0</v>
      </c>
      <c r="AH117" s="924">
        <f>SUM(AN7:AN116)</f>
        <v>0</v>
      </c>
      <c r="AI117" s="886"/>
      <c r="AJ117" s="886"/>
      <c r="AK117" s="886"/>
      <c r="AL117" s="886"/>
      <c r="AM117" s="886"/>
      <c r="AN117" s="886"/>
      <c r="AO117" s="886"/>
      <c r="AP117" s="1348"/>
      <c r="AQ117" s="1348"/>
      <c r="AR117" s="1349"/>
      <c r="AS117" s="1349"/>
      <c r="AT117" s="1349"/>
      <c r="AU117" s="1349"/>
      <c r="AV117" s="1349"/>
      <c r="AW117" s="1349"/>
      <c r="AX117" s="1349"/>
      <c r="AY117" s="886"/>
      <c r="AZ117" s="1349"/>
      <c r="BA117" s="1349"/>
      <c r="BB117" s="1349"/>
      <c r="BC117" s="1349"/>
      <c r="BD117" s="1349"/>
      <c r="BE117" s="918"/>
    </row>
    <row r="118" spans="1:57">
      <c r="B118" s="886"/>
      <c r="C118" s="886"/>
      <c r="D118" s="886"/>
      <c r="E118" s="886"/>
      <c r="F118" s="886"/>
      <c r="G118" s="923"/>
      <c r="H118" s="333"/>
      <c r="I118" s="333"/>
      <c r="J118" s="800"/>
      <c r="K118" s="800"/>
      <c r="L118" s="886"/>
      <c r="M118" s="302"/>
      <c r="N118" s="334"/>
      <c r="O118" s="304"/>
      <c r="P118" s="302"/>
      <c r="Q118" s="334"/>
      <c r="R118" s="304"/>
      <c r="S118" s="302"/>
      <c r="T118" s="303"/>
      <c r="U118" s="304"/>
      <c r="V118" s="305"/>
      <c r="W118" s="303"/>
      <c r="X118" s="304"/>
      <c r="Y118" s="302"/>
      <c r="Z118" s="303"/>
      <c r="AA118" s="304"/>
      <c r="AB118" s="800"/>
      <c r="AC118" s="800"/>
      <c r="AD118" s="886"/>
      <c r="AE118" s="306"/>
      <c r="AF118" s="924">
        <f>SUM(AF117:AH117)</f>
        <v>0</v>
      </c>
      <c r="AG118" s="924"/>
      <c r="AH118" s="924"/>
      <c r="AI118" s="886"/>
      <c r="AJ118" s="886"/>
      <c r="AK118" s="886"/>
      <c r="AL118" s="886"/>
      <c r="AM118" s="886"/>
      <c r="AN118" s="886"/>
      <c r="AO118" s="886"/>
      <c r="AP118" s="1348"/>
      <c r="AQ118" s="1348"/>
      <c r="AR118" s="1349"/>
      <c r="AS118" s="1349"/>
      <c r="AT118" s="1349"/>
      <c r="AU118" s="1349"/>
      <c r="AV118" s="1349"/>
      <c r="AW118" s="1349"/>
      <c r="AX118" s="1349"/>
      <c r="AY118" s="886"/>
      <c r="AZ118" s="1349"/>
      <c r="BA118" s="1349"/>
      <c r="BB118" s="1349"/>
      <c r="BC118" s="1349"/>
      <c r="BD118" s="1349"/>
      <c r="BE118" s="918"/>
    </row>
    <row r="119" spans="1:57">
      <c r="B119" s="886"/>
      <c r="C119" s="886"/>
      <c r="D119" s="886"/>
      <c r="E119" s="886"/>
      <c r="F119" s="886"/>
      <c r="G119" s="923"/>
      <c r="H119" s="333"/>
      <c r="I119" s="333"/>
      <c r="J119" s="800"/>
      <c r="K119" s="800"/>
      <c r="L119" s="886"/>
      <c r="M119" s="302"/>
      <c r="N119" s="334"/>
      <c r="O119" s="304"/>
      <c r="P119" s="302"/>
      <c r="Q119" s="334"/>
      <c r="R119" s="304"/>
      <c r="S119" s="302"/>
      <c r="T119" s="303"/>
      <c r="U119" s="304"/>
      <c r="V119" s="305"/>
      <c r="W119" s="303"/>
      <c r="X119" s="304"/>
      <c r="Y119" s="302"/>
      <c r="Z119" s="303"/>
      <c r="AA119" s="304"/>
      <c r="AB119" s="800"/>
      <c r="AC119" s="800"/>
      <c r="AD119" s="886"/>
      <c r="AE119" s="306"/>
      <c r="AF119" s="924"/>
      <c r="AG119" s="924"/>
      <c r="AH119" s="924"/>
      <c r="AI119" s="886"/>
      <c r="AJ119" s="886"/>
      <c r="AK119" s="886"/>
      <c r="AL119" s="886"/>
      <c r="AM119" s="886"/>
      <c r="AN119" s="886"/>
      <c r="AO119" s="886"/>
      <c r="AP119" s="1348"/>
      <c r="AQ119" s="1348"/>
      <c r="AR119" s="1349"/>
      <c r="AS119" s="1349"/>
      <c r="AT119" s="1349"/>
      <c r="AU119" s="1349"/>
      <c r="AV119" s="1349"/>
      <c r="AW119" s="1349"/>
      <c r="AX119" s="1349"/>
      <c r="AY119" s="886"/>
      <c r="AZ119" s="1349"/>
      <c r="BA119" s="1349"/>
      <c r="BB119" s="1349"/>
      <c r="BC119" s="1349"/>
      <c r="BD119" s="1349"/>
      <c r="BE119" s="918"/>
    </row>
    <row r="120" spans="1:57">
      <c r="B120" s="886"/>
      <c r="C120" s="886"/>
      <c r="D120" s="886"/>
      <c r="E120" s="886"/>
      <c r="F120" s="886"/>
      <c r="G120" s="923"/>
      <c r="H120" s="333"/>
      <c r="I120" s="333"/>
      <c r="J120" s="800"/>
      <c r="K120" s="800"/>
      <c r="L120" s="886"/>
      <c r="M120" s="302"/>
      <c r="N120" s="334"/>
      <c r="O120" s="304"/>
      <c r="P120" s="302"/>
      <c r="Q120" s="334"/>
      <c r="R120" s="304"/>
      <c r="S120" s="302"/>
      <c r="T120" s="303"/>
      <c r="U120" s="304"/>
      <c r="V120" s="305"/>
      <c r="W120" s="303"/>
      <c r="X120" s="304"/>
      <c r="Y120" s="302"/>
      <c r="Z120" s="303"/>
      <c r="AA120" s="304"/>
      <c r="AB120" s="800"/>
      <c r="AC120" s="800"/>
      <c r="AD120" s="886"/>
      <c r="AE120" s="306"/>
      <c r="AF120" s="924"/>
      <c r="AG120" s="924"/>
      <c r="AH120" s="924"/>
      <c r="AI120" s="886"/>
      <c r="AJ120" s="886"/>
      <c r="AK120" s="886"/>
      <c r="AL120" s="886"/>
      <c r="AM120" s="886"/>
      <c r="AN120" s="886"/>
      <c r="AO120" s="886"/>
      <c r="AP120" s="1348"/>
      <c r="AQ120" s="1348"/>
      <c r="AR120" s="1349"/>
      <c r="AS120" s="1349"/>
      <c r="AT120" s="1349"/>
      <c r="AU120" s="1349"/>
      <c r="AV120" s="1349"/>
      <c r="AW120" s="1349"/>
      <c r="AX120" s="1349"/>
      <c r="AY120" s="886"/>
      <c r="AZ120" s="1349"/>
      <c r="BA120" s="1349"/>
      <c r="BB120" s="1349"/>
      <c r="BC120" s="1349"/>
      <c r="BD120" s="1349"/>
      <c r="BE120" s="918"/>
    </row>
    <row r="121" spans="1:57">
      <c r="B121" s="886"/>
      <c r="C121" s="886"/>
      <c r="D121" s="886"/>
      <c r="E121" s="886"/>
      <c r="F121" s="886"/>
      <c r="G121" s="923"/>
      <c r="H121" s="333"/>
      <c r="I121" s="333"/>
      <c r="J121" s="800"/>
      <c r="K121" s="800"/>
      <c r="L121" s="886"/>
      <c r="M121" s="302"/>
      <c r="N121" s="334"/>
      <c r="O121" s="304"/>
      <c r="P121" s="302"/>
      <c r="Q121" s="334"/>
      <c r="R121" s="304"/>
      <c r="S121" s="302"/>
      <c r="T121" s="303"/>
      <c r="U121" s="304"/>
      <c r="V121" s="305"/>
      <c r="W121" s="303"/>
      <c r="X121" s="304"/>
      <c r="Y121" s="302"/>
      <c r="Z121" s="303"/>
      <c r="AA121" s="304"/>
      <c r="AB121" s="800"/>
      <c r="AC121" s="800"/>
      <c r="AD121" s="886"/>
      <c r="AE121" s="306"/>
      <c r="AF121" s="924"/>
      <c r="AG121" s="924"/>
      <c r="AH121" s="924"/>
      <c r="AI121" s="886"/>
      <c r="AJ121" s="886"/>
      <c r="AK121" s="886"/>
      <c r="AL121" s="886"/>
      <c r="AM121" s="886"/>
      <c r="AN121" s="886"/>
      <c r="AO121" s="886"/>
      <c r="AP121" s="1348"/>
      <c r="AQ121" s="1348"/>
      <c r="AR121" s="1349"/>
      <c r="AS121" s="1349"/>
      <c r="AT121" s="1349"/>
      <c r="AU121" s="1349"/>
      <c r="AV121" s="1349"/>
      <c r="AW121" s="1349"/>
      <c r="AX121" s="1349"/>
      <c r="AY121" s="886"/>
      <c r="AZ121" s="1349"/>
      <c r="BA121" s="1349"/>
      <c r="BB121" s="1349"/>
      <c r="BC121" s="1349"/>
      <c r="BD121" s="1349"/>
      <c r="BE121" s="918"/>
    </row>
    <row r="122" spans="1:57">
      <c r="B122" s="886"/>
      <c r="C122" s="886"/>
      <c r="D122" s="886"/>
      <c r="E122" s="886"/>
      <c r="F122" s="886"/>
      <c r="G122" s="923"/>
      <c r="H122" s="333"/>
      <c r="I122" s="333"/>
      <c r="J122" s="800"/>
      <c r="K122" s="800"/>
      <c r="L122" s="886"/>
      <c r="M122" s="302"/>
      <c r="N122" s="334"/>
      <c r="O122" s="304"/>
      <c r="P122" s="302"/>
      <c r="Q122" s="334"/>
      <c r="R122" s="304"/>
      <c r="S122" s="302"/>
      <c r="T122" s="303"/>
      <c r="U122" s="304"/>
      <c r="V122" s="305"/>
      <c r="W122" s="303"/>
      <c r="X122" s="304"/>
      <c r="Y122" s="302"/>
      <c r="Z122" s="303"/>
      <c r="AA122" s="304"/>
      <c r="AB122" s="800"/>
      <c r="AC122" s="800"/>
      <c r="AD122" s="886"/>
      <c r="AE122" s="306"/>
      <c r="AF122" s="924"/>
      <c r="AG122" s="924"/>
      <c r="AH122" s="924"/>
      <c r="AI122" s="886"/>
      <c r="AJ122" s="886"/>
      <c r="AK122" s="886"/>
      <c r="AL122" s="886"/>
      <c r="AM122" s="886"/>
      <c r="AN122" s="886"/>
      <c r="AO122" s="886"/>
      <c r="AP122" s="1348"/>
      <c r="AQ122" s="1348"/>
      <c r="AR122" s="1349"/>
      <c r="AS122" s="1349"/>
      <c r="AT122" s="1349"/>
      <c r="AU122" s="1349"/>
      <c r="AV122" s="1349"/>
      <c r="AW122" s="1349"/>
      <c r="AX122" s="1349"/>
      <c r="AY122" s="886"/>
      <c r="AZ122" s="1349"/>
      <c r="BA122" s="1349"/>
      <c r="BB122" s="1349"/>
      <c r="BC122" s="1349"/>
      <c r="BD122" s="1349"/>
      <c r="BE122" s="918"/>
    </row>
    <row r="123" spans="1:57">
      <c r="B123" s="886"/>
      <c r="C123" s="886"/>
      <c r="D123" s="886"/>
      <c r="E123" s="886"/>
      <c r="F123" s="886"/>
      <c r="G123" s="923"/>
      <c r="H123" s="333"/>
      <c r="I123" s="333"/>
      <c r="J123" s="800"/>
      <c r="K123" s="800"/>
      <c r="L123" s="886"/>
      <c r="M123" s="302"/>
      <c r="N123" s="334"/>
      <c r="O123" s="304"/>
      <c r="P123" s="302"/>
      <c r="Q123" s="334"/>
      <c r="R123" s="304"/>
      <c r="S123" s="302"/>
      <c r="T123" s="303"/>
      <c r="U123" s="304"/>
      <c r="V123" s="305"/>
      <c r="W123" s="303"/>
      <c r="X123" s="304"/>
      <c r="Y123" s="302"/>
      <c r="Z123" s="303"/>
      <c r="AA123" s="304"/>
      <c r="AB123" s="800"/>
      <c r="AC123" s="800"/>
      <c r="AD123" s="886"/>
      <c r="AE123" s="306"/>
      <c r="AF123" s="924"/>
      <c r="AG123" s="924"/>
      <c r="AH123" s="924"/>
      <c r="AI123" s="886"/>
      <c r="AJ123" s="886"/>
      <c r="AK123" s="886"/>
      <c r="AL123" s="886"/>
      <c r="AM123" s="886"/>
      <c r="AN123" s="886"/>
      <c r="AO123" s="886"/>
      <c r="AP123" s="1348"/>
      <c r="AQ123" s="1348"/>
      <c r="AR123" s="1349"/>
      <c r="AS123" s="1349"/>
      <c r="AT123" s="1349"/>
      <c r="AU123" s="1349"/>
      <c r="AV123" s="1349"/>
      <c r="AW123" s="1349"/>
      <c r="AX123" s="1349"/>
      <c r="AY123" s="886"/>
      <c r="AZ123" s="1349"/>
      <c r="BA123" s="1349"/>
      <c r="BB123" s="1349"/>
      <c r="BC123" s="1349"/>
      <c r="BD123" s="1349"/>
      <c r="BE123" s="918"/>
    </row>
    <row r="124" spans="1:57">
      <c r="B124" s="886"/>
      <c r="C124" s="886"/>
      <c r="D124" s="886"/>
      <c r="E124" s="886"/>
      <c r="F124" s="886"/>
      <c r="G124" s="923"/>
      <c r="H124" s="333"/>
      <c r="I124" s="333"/>
      <c r="J124" s="800"/>
      <c r="K124" s="800"/>
      <c r="L124" s="886"/>
      <c r="M124" s="302"/>
      <c r="N124" s="334"/>
      <c r="O124" s="304"/>
      <c r="P124" s="302"/>
      <c r="Q124" s="334"/>
      <c r="R124" s="304"/>
      <c r="S124" s="302"/>
      <c r="T124" s="303"/>
      <c r="U124" s="304"/>
      <c r="V124" s="305"/>
      <c r="W124" s="303"/>
      <c r="X124" s="304"/>
      <c r="Y124" s="302"/>
      <c r="Z124" s="303"/>
      <c r="AA124" s="304"/>
      <c r="AB124" s="800"/>
      <c r="AC124" s="800"/>
      <c r="AD124" s="886"/>
      <c r="AE124" s="306"/>
      <c r="AF124" s="924"/>
      <c r="AG124" s="924"/>
      <c r="AH124" s="924"/>
      <c r="AI124" s="886"/>
      <c r="AJ124" s="886"/>
      <c r="AK124" s="886"/>
      <c r="AL124" s="886"/>
      <c r="AM124" s="886"/>
      <c r="AN124" s="886"/>
      <c r="AO124" s="886"/>
      <c r="AP124" s="1348"/>
      <c r="AQ124" s="1348"/>
      <c r="AR124" s="1349"/>
      <c r="AS124" s="1349"/>
      <c r="AT124" s="1349"/>
      <c r="AU124" s="1349"/>
      <c r="AV124" s="1349"/>
      <c r="AW124" s="1349"/>
      <c r="AX124" s="1349"/>
      <c r="AY124" s="886"/>
      <c r="AZ124" s="1349"/>
      <c r="BA124" s="1349"/>
      <c r="BB124" s="1349"/>
      <c r="BC124" s="1349"/>
      <c r="BD124" s="1349"/>
      <c r="BE124" s="918"/>
    </row>
    <row r="125" spans="1:57">
      <c r="B125" s="886"/>
      <c r="C125" s="886"/>
      <c r="D125" s="886"/>
      <c r="E125" s="886"/>
      <c r="F125" s="886"/>
      <c r="G125" s="923"/>
      <c r="H125" s="333"/>
      <c r="I125" s="333"/>
      <c r="J125" s="800"/>
      <c r="K125" s="800"/>
      <c r="L125" s="886"/>
      <c r="M125" s="302"/>
      <c r="N125" s="334"/>
      <c r="O125" s="304"/>
      <c r="P125" s="302"/>
      <c r="Q125" s="334"/>
      <c r="R125" s="304"/>
      <c r="S125" s="302"/>
      <c r="T125" s="303"/>
      <c r="U125" s="304"/>
      <c r="V125" s="305"/>
      <c r="W125" s="303"/>
      <c r="X125" s="304"/>
      <c r="Y125" s="302"/>
      <c r="Z125" s="303"/>
      <c r="AA125" s="304"/>
      <c r="AB125" s="800"/>
      <c r="AC125" s="800"/>
      <c r="AD125" s="886"/>
      <c r="AE125" s="306"/>
      <c r="AF125" s="924"/>
      <c r="AG125" s="924"/>
      <c r="AH125" s="924"/>
      <c r="AI125" s="886"/>
      <c r="AJ125" s="886"/>
      <c r="AK125" s="886"/>
      <c r="AL125" s="886"/>
      <c r="AM125" s="886"/>
      <c r="AN125" s="886"/>
      <c r="AO125" s="886"/>
      <c r="AP125" s="1348"/>
      <c r="AQ125" s="1348"/>
      <c r="AR125" s="1349"/>
      <c r="AS125" s="1349"/>
      <c r="AT125" s="1349"/>
      <c r="AU125" s="1349"/>
      <c r="AV125" s="1349"/>
      <c r="AW125" s="1349"/>
      <c r="AX125" s="1349"/>
      <c r="AY125" s="886"/>
      <c r="AZ125" s="1349"/>
      <c r="BA125" s="1349"/>
      <c r="BB125" s="1349"/>
      <c r="BC125" s="1349"/>
      <c r="BD125" s="1349"/>
      <c r="BE125" s="918"/>
    </row>
    <row r="126" spans="1:57">
      <c r="B126" s="886"/>
      <c r="C126" s="886"/>
      <c r="D126" s="886"/>
      <c r="E126" s="886"/>
      <c r="F126" s="886"/>
      <c r="G126" s="923"/>
      <c r="H126" s="333"/>
      <c r="I126" s="333"/>
      <c r="J126" s="800"/>
      <c r="K126" s="800"/>
      <c r="L126" s="886"/>
      <c r="M126" s="302"/>
      <c r="N126" s="334"/>
      <c r="O126" s="304"/>
      <c r="P126" s="302"/>
      <c r="Q126" s="334"/>
      <c r="R126" s="304"/>
      <c r="S126" s="302"/>
      <c r="T126" s="303"/>
      <c r="U126" s="304"/>
      <c r="V126" s="305"/>
      <c r="W126" s="303"/>
      <c r="X126" s="304"/>
      <c r="Y126" s="302"/>
      <c r="Z126" s="303"/>
      <c r="AA126" s="304"/>
      <c r="AB126" s="800"/>
      <c r="AC126" s="800"/>
      <c r="AD126" s="886"/>
      <c r="AE126" s="306"/>
      <c r="AF126" s="924"/>
      <c r="AG126" s="924"/>
      <c r="AH126" s="924"/>
      <c r="AI126" s="886"/>
      <c r="AJ126" s="886"/>
      <c r="AK126" s="886"/>
      <c r="AL126" s="886"/>
      <c r="AM126" s="886"/>
      <c r="AN126" s="886"/>
      <c r="AO126" s="886"/>
      <c r="AP126" s="1348"/>
      <c r="AQ126" s="1348"/>
      <c r="AR126" s="1349"/>
      <c r="AS126" s="1349"/>
      <c r="AT126" s="1349"/>
      <c r="AU126" s="1349"/>
      <c r="AV126" s="1349"/>
      <c r="AW126" s="1349"/>
      <c r="AX126" s="1349"/>
      <c r="AY126" s="886"/>
      <c r="AZ126" s="1349"/>
      <c r="BA126" s="1349"/>
      <c r="BB126" s="1349"/>
      <c r="BC126" s="1349"/>
      <c r="BD126" s="1349"/>
      <c r="BE126" s="918"/>
    </row>
    <row r="127" spans="1:57" s="918" customFormat="1">
      <c r="G127" s="925"/>
      <c r="H127" s="677"/>
      <c r="I127" s="677"/>
      <c r="J127" s="926"/>
      <c r="K127" s="926"/>
      <c r="M127" s="140"/>
      <c r="N127" s="678"/>
      <c r="O127" s="679"/>
      <c r="P127" s="140"/>
      <c r="Q127" s="678"/>
      <c r="R127" s="679"/>
      <c r="S127" s="140"/>
      <c r="T127" s="655"/>
      <c r="U127" s="679"/>
      <c r="V127" s="142"/>
      <c r="W127" s="655"/>
      <c r="X127" s="679"/>
      <c r="Y127" s="140"/>
      <c r="Z127" s="655"/>
      <c r="AA127" s="679"/>
      <c r="AB127" s="926"/>
      <c r="AC127" s="926"/>
      <c r="AE127" s="680"/>
      <c r="AF127" s="927"/>
      <c r="AG127" s="927"/>
      <c r="AH127" s="927"/>
      <c r="AJ127" s="886"/>
      <c r="AK127" s="886"/>
      <c r="AP127" s="143"/>
      <c r="AQ127" s="143"/>
      <c r="AR127" s="885"/>
    </row>
    <row r="128" spans="1:57">
      <c r="AJ128" s="918"/>
      <c r="AK128" s="918"/>
    </row>
  </sheetData>
  <sheetProtection password="83D4" sheet="1" objects="1" scenarios="1"/>
  <mergeCells count="6">
    <mergeCell ref="AP14:AQ14"/>
    <mergeCell ref="G2:R2"/>
    <mergeCell ref="V2:W2"/>
    <mergeCell ref="AJ2:AM2"/>
    <mergeCell ref="AP6:AQ6"/>
    <mergeCell ref="AP7:AQ7"/>
  </mergeCells>
  <phoneticPr fontId="5"/>
  <conditionalFormatting sqref="H7:H116">
    <cfRule type="expression" dxfId="391" priority="127" stopIfTrue="1">
      <formula>J7=2</formula>
    </cfRule>
  </conditionalFormatting>
  <conditionalFormatting sqref="AB7:AB116">
    <cfRule type="expression" dxfId="390" priority="126" stopIfTrue="1">
      <formula>ISNA(AC7)</formula>
    </cfRule>
  </conditionalFormatting>
  <conditionalFormatting sqref="G7:G116">
    <cfRule type="expression" dxfId="389" priority="125" stopIfTrue="1">
      <formula>I7=2</formula>
    </cfRule>
  </conditionalFormatting>
  <conditionalFormatting sqref="N7:N116 I7:I116">
    <cfRule type="cellIs" dxfId="388" priority="124" stopIfTrue="1" operator="equal">
      <formula>2</formula>
    </cfRule>
  </conditionalFormatting>
  <conditionalFormatting sqref="V7 Q7:Q8">
    <cfRule type="expression" dxfId="387" priority="123" stopIfTrue="1">
      <formula>$I$7=""</formula>
    </cfRule>
  </conditionalFormatting>
  <conditionalFormatting sqref="Q8 V8">
    <cfRule type="expression" dxfId="386" priority="122" stopIfTrue="1">
      <formula>$I$8=""</formula>
    </cfRule>
  </conditionalFormatting>
  <conditionalFormatting sqref="Q9 V9">
    <cfRule type="expression" dxfId="385" priority="121" stopIfTrue="1">
      <formula>$I$9=""</formula>
    </cfRule>
  </conditionalFormatting>
  <conditionalFormatting sqref="Q10 V10">
    <cfRule type="expression" dxfId="384" priority="120" stopIfTrue="1">
      <formula>$I$10=""</formula>
    </cfRule>
  </conditionalFormatting>
  <conditionalFormatting sqref="Q11 V11">
    <cfRule type="expression" dxfId="383" priority="119" stopIfTrue="1">
      <formula>$I$11=""</formula>
    </cfRule>
  </conditionalFormatting>
  <conditionalFormatting sqref="Q12 V12">
    <cfRule type="expression" dxfId="382" priority="118" stopIfTrue="1">
      <formula>$I$12=""</formula>
    </cfRule>
  </conditionalFormatting>
  <conditionalFormatting sqref="Q13 V13">
    <cfRule type="expression" dxfId="381" priority="117" stopIfTrue="1">
      <formula>$I$13=""</formula>
    </cfRule>
  </conditionalFormatting>
  <conditionalFormatting sqref="Q14 V14">
    <cfRule type="expression" dxfId="380" priority="116" stopIfTrue="1">
      <formula>$I$14=""</formula>
    </cfRule>
  </conditionalFormatting>
  <conditionalFormatting sqref="Q15 V15">
    <cfRule type="expression" dxfId="379" priority="115" stopIfTrue="1">
      <formula>$I$15=""</formula>
    </cfRule>
  </conditionalFormatting>
  <conditionalFormatting sqref="Q16 V16">
    <cfRule type="expression" dxfId="378" priority="114" stopIfTrue="1">
      <formula>$I$16=""</formula>
    </cfRule>
  </conditionalFormatting>
  <conditionalFormatting sqref="Q17 V17">
    <cfRule type="expression" dxfId="377" priority="113" stopIfTrue="1">
      <formula>$I$17=""</formula>
    </cfRule>
  </conditionalFormatting>
  <conditionalFormatting sqref="Q18 V18">
    <cfRule type="expression" dxfId="376" priority="112" stopIfTrue="1">
      <formula>$I$18=""</formula>
    </cfRule>
  </conditionalFormatting>
  <conditionalFormatting sqref="Q19 V19">
    <cfRule type="expression" dxfId="375" priority="111" stopIfTrue="1">
      <formula>$I$19=""</formula>
    </cfRule>
  </conditionalFormatting>
  <conditionalFormatting sqref="Q20 V20">
    <cfRule type="expression" dxfId="374" priority="110" stopIfTrue="1">
      <formula>$I$20=""</formula>
    </cfRule>
  </conditionalFormatting>
  <conditionalFormatting sqref="Q21 V21">
    <cfRule type="expression" dxfId="373" priority="109" stopIfTrue="1">
      <formula>$I$21=""</formula>
    </cfRule>
  </conditionalFormatting>
  <conditionalFormatting sqref="Q22 V22">
    <cfRule type="expression" dxfId="372" priority="108" stopIfTrue="1">
      <formula>$I$22=""</formula>
    </cfRule>
  </conditionalFormatting>
  <conditionalFormatting sqref="Q23 V23">
    <cfRule type="expression" dxfId="371" priority="107" stopIfTrue="1">
      <formula>$I$23=""</formula>
    </cfRule>
  </conditionalFormatting>
  <conditionalFormatting sqref="Q24 V24">
    <cfRule type="expression" dxfId="370" priority="106" stopIfTrue="1">
      <formula>$I$24=""</formula>
    </cfRule>
  </conditionalFormatting>
  <conditionalFormatting sqref="Q25 V25">
    <cfRule type="expression" dxfId="369" priority="105" stopIfTrue="1">
      <formula>$I$25=""</formula>
    </cfRule>
  </conditionalFormatting>
  <conditionalFormatting sqref="Q26 V26">
    <cfRule type="expression" dxfId="368" priority="104" stopIfTrue="1">
      <formula>$I$26=""</formula>
    </cfRule>
  </conditionalFormatting>
  <conditionalFormatting sqref="Q27 V27">
    <cfRule type="expression" dxfId="367" priority="103" stopIfTrue="1">
      <formula>$I$27=""</formula>
    </cfRule>
  </conditionalFormatting>
  <conditionalFormatting sqref="Q28 V28">
    <cfRule type="expression" dxfId="366" priority="102" stopIfTrue="1">
      <formula>$I$28=""</formula>
    </cfRule>
  </conditionalFormatting>
  <conditionalFormatting sqref="Q29 V29">
    <cfRule type="expression" dxfId="365" priority="101" stopIfTrue="1">
      <formula>$I$29=""</formula>
    </cfRule>
  </conditionalFormatting>
  <conditionalFormatting sqref="Q30 V30">
    <cfRule type="expression" dxfId="364" priority="100" stopIfTrue="1">
      <formula>$I$30=""</formula>
    </cfRule>
  </conditionalFormatting>
  <conditionalFormatting sqref="Q31 V31">
    <cfRule type="expression" dxfId="363" priority="99" stopIfTrue="1">
      <formula>$I$31=""</formula>
    </cfRule>
  </conditionalFormatting>
  <conditionalFormatting sqref="Q32 V32">
    <cfRule type="expression" dxfId="362" priority="98" stopIfTrue="1">
      <formula>$I$32=""</formula>
    </cfRule>
  </conditionalFormatting>
  <conditionalFormatting sqref="Q33 V33">
    <cfRule type="expression" dxfId="361" priority="97" stopIfTrue="1">
      <formula>$I$33=""</formula>
    </cfRule>
  </conditionalFormatting>
  <conditionalFormatting sqref="Q34 V34">
    <cfRule type="expression" dxfId="360" priority="96" stopIfTrue="1">
      <formula>$I$34=""</formula>
    </cfRule>
  </conditionalFormatting>
  <conditionalFormatting sqref="Q35 V35">
    <cfRule type="expression" dxfId="359" priority="95" stopIfTrue="1">
      <formula>$I$35=""</formula>
    </cfRule>
  </conditionalFormatting>
  <conditionalFormatting sqref="Q36 V36">
    <cfRule type="expression" dxfId="358" priority="94" stopIfTrue="1">
      <formula>$I$36=""</formula>
    </cfRule>
  </conditionalFormatting>
  <conditionalFormatting sqref="Q47 V47">
    <cfRule type="expression" dxfId="357" priority="93" stopIfTrue="1">
      <formula>$I$47=""</formula>
    </cfRule>
  </conditionalFormatting>
  <conditionalFormatting sqref="Q48 V48">
    <cfRule type="expression" dxfId="356" priority="92" stopIfTrue="1">
      <formula>$I$48=""</formula>
    </cfRule>
  </conditionalFormatting>
  <conditionalFormatting sqref="Q49 V49">
    <cfRule type="expression" dxfId="355" priority="91" stopIfTrue="1">
      <formula>$I$49=""</formula>
    </cfRule>
  </conditionalFormatting>
  <conditionalFormatting sqref="Q50 V50">
    <cfRule type="expression" dxfId="354" priority="90" stopIfTrue="1">
      <formula>$I$50=""</formula>
    </cfRule>
  </conditionalFormatting>
  <conditionalFormatting sqref="Q51 V51">
    <cfRule type="expression" dxfId="353" priority="89" stopIfTrue="1">
      <formula>$I$51=""</formula>
    </cfRule>
  </conditionalFormatting>
  <conditionalFormatting sqref="Q52 V52">
    <cfRule type="expression" dxfId="352" priority="88" stopIfTrue="1">
      <formula>$I$52=""</formula>
    </cfRule>
  </conditionalFormatting>
  <conditionalFormatting sqref="Q53 V53">
    <cfRule type="expression" dxfId="351" priority="87" stopIfTrue="1">
      <formula>$I$53=""</formula>
    </cfRule>
  </conditionalFormatting>
  <conditionalFormatting sqref="Q54 V54">
    <cfRule type="expression" dxfId="350" priority="86" stopIfTrue="1">
      <formula>$I$54=""</formula>
    </cfRule>
  </conditionalFormatting>
  <conditionalFormatting sqref="Q55 V55">
    <cfRule type="expression" dxfId="349" priority="85" stopIfTrue="1">
      <formula>$I$55=""</formula>
    </cfRule>
  </conditionalFormatting>
  <conditionalFormatting sqref="Q56 V56">
    <cfRule type="expression" dxfId="348" priority="84" stopIfTrue="1">
      <formula>$I$56=""</formula>
    </cfRule>
  </conditionalFormatting>
  <conditionalFormatting sqref="Q57 V57">
    <cfRule type="expression" dxfId="347" priority="83" stopIfTrue="1">
      <formula>$I$57=""</formula>
    </cfRule>
  </conditionalFormatting>
  <conditionalFormatting sqref="Q58 V58">
    <cfRule type="expression" dxfId="346" priority="82" stopIfTrue="1">
      <formula>$I$58=""</formula>
    </cfRule>
  </conditionalFormatting>
  <conditionalFormatting sqref="Q59 V59">
    <cfRule type="expression" dxfId="345" priority="81" stopIfTrue="1">
      <formula>$I$59=""</formula>
    </cfRule>
  </conditionalFormatting>
  <conditionalFormatting sqref="Q60 V60">
    <cfRule type="expression" dxfId="344" priority="80" stopIfTrue="1">
      <formula>$I$60=""</formula>
    </cfRule>
  </conditionalFormatting>
  <conditionalFormatting sqref="Q61 V61">
    <cfRule type="expression" dxfId="343" priority="79" stopIfTrue="1">
      <formula>$I$61=""</formula>
    </cfRule>
  </conditionalFormatting>
  <conditionalFormatting sqref="Q62 V62">
    <cfRule type="expression" dxfId="342" priority="78" stopIfTrue="1">
      <formula>$I$62=""</formula>
    </cfRule>
  </conditionalFormatting>
  <conditionalFormatting sqref="Q63 V63">
    <cfRule type="expression" dxfId="341" priority="77" stopIfTrue="1">
      <formula>$I$63=""</formula>
    </cfRule>
  </conditionalFormatting>
  <conditionalFormatting sqref="Q64 V64">
    <cfRule type="expression" dxfId="340" priority="76" stopIfTrue="1">
      <formula>$I$64=""</formula>
    </cfRule>
  </conditionalFormatting>
  <conditionalFormatting sqref="Q65 V65">
    <cfRule type="expression" dxfId="339" priority="75" stopIfTrue="1">
      <formula>$I$65=""</formula>
    </cfRule>
  </conditionalFormatting>
  <conditionalFormatting sqref="Q66 V66">
    <cfRule type="expression" dxfId="338" priority="74" stopIfTrue="1">
      <formula>$I$66=""</formula>
    </cfRule>
  </conditionalFormatting>
  <conditionalFormatting sqref="Q67 V67">
    <cfRule type="expression" dxfId="337" priority="73" stopIfTrue="1">
      <formula>$I$67=""</formula>
    </cfRule>
  </conditionalFormatting>
  <conditionalFormatting sqref="Q68 V68">
    <cfRule type="expression" dxfId="336" priority="72" stopIfTrue="1">
      <formula>$I$68=""</formula>
    </cfRule>
  </conditionalFormatting>
  <conditionalFormatting sqref="Q69 V69">
    <cfRule type="expression" dxfId="335" priority="71" stopIfTrue="1">
      <formula>$I$69=""</formula>
    </cfRule>
  </conditionalFormatting>
  <conditionalFormatting sqref="Q71 V71">
    <cfRule type="expression" dxfId="334" priority="70" stopIfTrue="1">
      <formula>$I$71=""</formula>
    </cfRule>
  </conditionalFormatting>
  <conditionalFormatting sqref="Q72 V72">
    <cfRule type="expression" dxfId="333" priority="69" stopIfTrue="1">
      <formula>$I$72=""</formula>
    </cfRule>
  </conditionalFormatting>
  <conditionalFormatting sqref="Q73 V73">
    <cfRule type="expression" dxfId="332" priority="68" stopIfTrue="1">
      <formula>$I$73=""</formula>
    </cfRule>
  </conditionalFormatting>
  <conditionalFormatting sqref="Q74 V74">
    <cfRule type="expression" dxfId="331" priority="67" stopIfTrue="1">
      <formula>$I$74=""</formula>
    </cfRule>
  </conditionalFormatting>
  <conditionalFormatting sqref="Q75 V75">
    <cfRule type="expression" dxfId="330" priority="66" stopIfTrue="1">
      <formula>$I$75=""</formula>
    </cfRule>
  </conditionalFormatting>
  <conditionalFormatting sqref="Q76 V76">
    <cfRule type="expression" dxfId="329" priority="65" stopIfTrue="1">
      <formula>$I$76=""</formula>
    </cfRule>
  </conditionalFormatting>
  <conditionalFormatting sqref="Q77 V77">
    <cfRule type="expression" dxfId="328" priority="64" stopIfTrue="1">
      <formula>$I$77=""</formula>
    </cfRule>
  </conditionalFormatting>
  <conditionalFormatting sqref="Q78 V78">
    <cfRule type="expression" dxfId="327" priority="63" stopIfTrue="1">
      <formula>$I$78=""</formula>
    </cfRule>
  </conditionalFormatting>
  <conditionalFormatting sqref="Q79 V79">
    <cfRule type="expression" dxfId="326" priority="62" stopIfTrue="1">
      <formula>$I$79=""</formula>
    </cfRule>
  </conditionalFormatting>
  <conditionalFormatting sqref="Q80 V80">
    <cfRule type="expression" dxfId="325" priority="61" stopIfTrue="1">
      <formula>$I$80=""</formula>
    </cfRule>
  </conditionalFormatting>
  <conditionalFormatting sqref="Q81 V81">
    <cfRule type="expression" dxfId="324" priority="60" stopIfTrue="1">
      <formula>$I$81=""</formula>
    </cfRule>
  </conditionalFormatting>
  <conditionalFormatting sqref="Q82 V82">
    <cfRule type="expression" dxfId="323" priority="59" stopIfTrue="1">
      <formula>$I$82=""</formula>
    </cfRule>
  </conditionalFormatting>
  <conditionalFormatting sqref="Q83 V83">
    <cfRule type="expression" dxfId="322" priority="58" stopIfTrue="1">
      <formula>$I$83=""</formula>
    </cfRule>
  </conditionalFormatting>
  <conditionalFormatting sqref="Q84 V84">
    <cfRule type="expression" dxfId="321" priority="57" stopIfTrue="1">
      <formula>$I$84=""</formula>
    </cfRule>
  </conditionalFormatting>
  <conditionalFormatting sqref="Q85 V85">
    <cfRule type="expression" dxfId="320" priority="56" stopIfTrue="1">
      <formula>$I$85=""</formula>
    </cfRule>
  </conditionalFormatting>
  <conditionalFormatting sqref="Q86 V86">
    <cfRule type="expression" dxfId="319" priority="55" stopIfTrue="1">
      <formula>$I$86=""</formula>
    </cfRule>
  </conditionalFormatting>
  <conditionalFormatting sqref="Q87 V87">
    <cfRule type="expression" dxfId="318" priority="54" stopIfTrue="1">
      <formula>$I$87=""</formula>
    </cfRule>
  </conditionalFormatting>
  <conditionalFormatting sqref="Q88 V88">
    <cfRule type="expression" dxfId="317" priority="53" stopIfTrue="1">
      <formula>$I$88=""</formula>
    </cfRule>
  </conditionalFormatting>
  <conditionalFormatting sqref="Q89 V89">
    <cfRule type="expression" dxfId="316" priority="52" stopIfTrue="1">
      <formula>$I$89=""</formula>
    </cfRule>
  </conditionalFormatting>
  <conditionalFormatting sqref="Q90 V90">
    <cfRule type="expression" dxfId="315" priority="51" stopIfTrue="1">
      <formula>$I$90=""</formula>
    </cfRule>
  </conditionalFormatting>
  <conditionalFormatting sqref="Q91 V91">
    <cfRule type="expression" dxfId="314" priority="50" stopIfTrue="1">
      <formula>$I$91=""</formula>
    </cfRule>
  </conditionalFormatting>
  <conditionalFormatting sqref="Q92 V92">
    <cfRule type="expression" dxfId="313" priority="49" stopIfTrue="1">
      <formula>$I$92=""</formula>
    </cfRule>
  </conditionalFormatting>
  <conditionalFormatting sqref="Q93 V93">
    <cfRule type="expression" dxfId="312" priority="48" stopIfTrue="1">
      <formula>$I$93=""</formula>
    </cfRule>
  </conditionalFormatting>
  <conditionalFormatting sqref="Q94 V94">
    <cfRule type="expression" dxfId="311" priority="47" stopIfTrue="1">
      <formula>$I$94=""</formula>
    </cfRule>
  </conditionalFormatting>
  <conditionalFormatting sqref="Q95 V95">
    <cfRule type="expression" dxfId="310" priority="46" stopIfTrue="1">
      <formula>$I$95=""</formula>
    </cfRule>
  </conditionalFormatting>
  <conditionalFormatting sqref="Q96 V96">
    <cfRule type="expression" dxfId="309" priority="45" stopIfTrue="1">
      <formula>$I$96=""</formula>
    </cfRule>
  </conditionalFormatting>
  <conditionalFormatting sqref="Q97 V97">
    <cfRule type="expression" dxfId="308" priority="44" stopIfTrue="1">
      <formula>$I$97=""</formula>
    </cfRule>
  </conditionalFormatting>
  <conditionalFormatting sqref="Q98 V98">
    <cfRule type="expression" dxfId="307" priority="43" stopIfTrue="1">
      <formula>$I$98=""</formula>
    </cfRule>
  </conditionalFormatting>
  <conditionalFormatting sqref="Q99 V99">
    <cfRule type="expression" dxfId="306" priority="42" stopIfTrue="1">
      <formula>$I$99=""</formula>
    </cfRule>
  </conditionalFormatting>
  <conditionalFormatting sqref="Q100 V100">
    <cfRule type="expression" dxfId="305" priority="41" stopIfTrue="1">
      <formula>$I$100=""</formula>
    </cfRule>
  </conditionalFormatting>
  <conditionalFormatting sqref="Q101 V101">
    <cfRule type="expression" dxfId="304" priority="40" stopIfTrue="1">
      <formula>$I$101=""</formula>
    </cfRule>
  </conditionalFormatting>
  <conditionalFormatting sqref="Q102 V102">
    <cfRule type="expression" dxfId="303" priority="39" stopIfTrue="1">
      <formula>$I$102=""</formula>
    </cfRule>
  </conditionalFormatting>
  <conditionalFormatting sqref="Q103 V103">
    <cfRule type="expression" dxfId="302" priority="38" stopIfTrue="1">
      <formula>$I$103=""</formula>
    </cfRule>
  </conditionalFormatting>
  <conditionalFormatting sqref="Q104 V104">
    <cfRule type="expression" dxfId="301" priority="37" stopIfTrue="1">
      <formula>$I$104=""</formula>
    </cfRule>
  </conditionalFormatting>
  <conditionalFormatting sqref="Q105 V105">
    <cfRule type="expression" dxfId="300" priority="36" stopIfTrue="1">
      <formula>$I$105=""</formula>
    </cfRule>
  </conditionalFormatting>
  <conditionalFormatting sqref="Q106 V106">
    <cfRule type="expression" dxfId="299" priority="35" stopIfTrue="1">
      <formula>$I$106=""</formula>
    </cfRule>
  </conditionalFormatting>
  <conditionalFormatting sqref="Q107 V107">
    <cfRule type="expression" dxfId="298" priority="34" stopIfTrue="1">
      <formula>$I$107=""</formula>
    </cfRule>
  </conditionalFormatting>
  <conditionalFormatting sqref="Q108 V108">
    <cfRule type="expression" dxfId="297" priority="33" stopIfTrue="1">
      <formula>$I$108=""</formula>
    </cfRule>
  </conditionalFormatting>
  <conditionalFormatting sqref="Q109 V109">
    <cfRule type="expression" dxfId="296" priority="32" stopIfTrue="1">
      <formula>$I$109=""</formula>
    </cfRule>
  </conditionalFormatting>
  <conditionalFormatting sqref="Q110 V110">
    <cfRule type="expression" dxfId="295" priority="31" stopIfTrue="1">
      <formula>$I$110=""</formula>
    </cfRule>
  </conditionalFormatting>
  <conditionalFormatting sqref="Q111 V111">
    <cfRule type="expression" dxfId="294" priority="30" stopIfTrue="1">
      <formula>$I$111=""</formula>
    </cfRule>
  </conditionalFormatting>
  <conditionalFormatting sqref="Q112 V112">
    <cfRule type="expression" dxfId="293" priority="29" stopIfTrue="1">
      <formula>$I$112=""</formula>
    </cfRule>
  </conditionalFormatting>
  <conditionalFormatting sqref="Q113 V113">
    <cfRule type="expression" dxfId="292" priority="28" stopIfTrue="1">
      <formula>$I$113=""</formula>
    </cfRule>
  </conditionalFormatting>
  <conditionalFormatting sqref="Q114 V114">
    <cfRule type="expression" dxfId="291" priority="27" stopIfTrue="1">
      <formula>$I$114=""</formula>
    </cfRule>
  </conditionalFormatting>
  <conditionalFormatting sqref="Q115 V115">
    <cfRule type="expression" dxfId="290" priority="26" stopIfTrue="1">
      <formula>$I$115=""</formula>
    </cfRule>
  </conditionalFormatting>
  <conditionalFormatting sqref="Q116 V116">
    <cfRule type="expression" dxfId="289" priority="25" stopIfTrue="1">
      <formula>$I$116=""</formula>
    </cfRule>
  </conditionalFormatting>
  <conditionalFormatting sqref="Q37 V37">
    <cfRule type="expression" dxfId="288" priority="24" stopIfTrue="1">
      <formula>$I$37=""</formula>
    </cfRule>
  </conditionalFormatting>
  <conditionalFormatting sqref="Q38 V38">
    <cfRule type="expression" dxfId="287" priority="23" stopIfTrue="1">
      <formula>$I$38=""</formula>
    </cfRule>
  </conditionalFormatting>
  <conditionalFormatting sqref="Q39 V39">
    <cfRule type="expression" dxfId="286" priority="22" stopIfTrue="1">
      <formula>$I$39=""</formula>
    </cfRule>
  </conditionalFormatting>
  <conditionalFormatting sqref="Q40 V40">
    <cfRule type="expression" dxfId="285" priority="21" stopIfTrue="1">
      <formula>$I$40=""</formula>
    </cfRule>
  </conditionalFormatting>
  <conditionalFormatting sqref="Q41 V41">
    <cfRule type="expression" dxfId="284" priority="20" stopIfTrue="1">
      <formula>$I$41=""</formula>
    </cfRule>
  </conditionalFormatting>
  <conditionalFormatting sqref="Q42 V42">
    <cfRule type="expression" dxfId="283" priority="19" stopIfTrue="1">
      <formula>$I$42=""</formula>
    </cfRule>
  </conditionalFormatting>
  <conditionalFormatting sqref="Q43 V43">
    <cfRule type="expression" dxfId="282" priority="18" stopIfTrue="1">
      <formula>$I$43=""</formula>
    </cfRule>
  </conditionalFormatting>
  <conditionalFormatting sqref="Q44 V44">
    <cfRule type="expression" dxfId="281" priority="17" stopIfTrue="1">
      <formula>$I$44=""</formula>
    </cfRule>
  </conditionalFormatting>
  <conditionalFormatting sqref="Q45 V45">
    <cfRule type="expression" dxfId="280" priority="16" stopIfTrue="1">
      <formula>$I$45=""</formula>
    </cfRule>
  </conditionalFormatting>
  <conditionalFormatting sqref="Q46 V46">
    <cfRule type="expression" dxfId="279" priority="15" stopIfTrue="1">
      <formula>$I$46=""</formula>
    </cfRule>
  </conditionalFormatting>
  <conditionalFormatting sqref="Q70 V70">
    <cfRule type="expression" dxfId="278" priority="14" stopIfTrue="1">
      <formula>$I$70=""</formula>
    </cfRule>
  </conditionalFormatting>
  <conditionalFormatting sqref="F7:F116">
    <cfRule type="expression" dxfId="277" priority="13" stopIfTrue="1">
      <formula>I7=2</formula>
    </cfRule>
  </conditionalFormatting>
  <conditionalFormatting sqref="O7:O116">
    <cfRule type="expression" dxfId="276" priority="11" stopIfTrue="1">
      <formula>ISNA(P7)</formula>
    </cfRule>
    <cfRule type="expression" dxfId="275" priority="12" stopIfTrue="1">
      <formula>I7=""</formula>
    </cfRule>
  </conditionalFormatting>
  <conditionalFormatting sqref="T7:T116">
    <cfRule type="expression" dxfId="274" priority="9" stopIfTrue="1">
      <formula>ISNA(U7)</formula>
    </cfRule>
    <cfRule type="expression" dxfId="273" priority="10" stopIfTrue="1">
      <formula>I7=""</formula>
    </cfRule>
  </conditionalFormatting>
  <conditionalFormatting sqref="N7:N116">
    <cfRule type="expression" dxfId="272" priority="6" stopIfTrue="1">
      <formula>I7=2</formula>
    </cfRule>
  </conditionalFormatting>
  <conditionalFormatting sqref="F7:F116">
    <cfRule type="expression" dxfId="271" priority="5" stopIfTrue="1">
      <formula>I7=2</formula>
    </cfRule>
  </conditionalFormatting>
  <conditionalFormatting sqref="J7:J116">
    <cfRule type="expression" dxfId="270" priority="4" stopIfTrue="1">
      <formula>I7=2</formula>
    </cfRule>
  </conditionalFormatting>
  <conditionalFormatting sqref="E7:E116">
    <cfRule type="expression" dxfId="269" priority="3" stopIfTrue="1">
      <formula>I7=2</formula>
    </cfRule>
  </conditionalFormatting>
  <conditionalFormatting sqref="G7:G116">
    <cfRule type="expression" dxfId="268" priority="2" stopIfTrue="1">
      <formula>I7=2</formula>
    </cfRule>
  </conditionalFormatting>
  <conditionalFormatting sqref="AR8:AR12">
    <cfRule type="duplicateValues" dxfId="267" priority="350"/>
  </conditionalFormatting>
  <conditionalFormatting sqref="AR15:AR19">
    <cfRule type="duplicateValues" dxfId="266" priority="573"/>
  </conditionalFormatting>
  <dataValidations count="6">
    <dataValidation type="list" allowBlank="1" showErrorMessage="1" prompt="種目を選択して下さい" sqref="T7:T116">
      <formula1>IF(I7=1,$AP$8:$AP$12,$AP$15:$AP$19)</formula1>
    </dataValidation>
    <dataValidation imeMode="hiragana" allowBlank="1" prompt="記録は半角英数字で_x000a_例_x000a_11秒11→11.11_x000a_1分50秒00→1.50.00_x000a_15m50→15m50_x000a__x000a_" sqref="P3:P5 Q5"/>
    <dataValidation imeMode="disabled" allowBlank="1" showInputMessage="1" prompt="記録は半角英数字で_x000a_例_x000a_11秒11→11.11_x000a_1分50秒00→1.50.00_x000a_15m50→15m50_x000a__x000a_" sqref="V7:V116 Q7:Q116"/>
    <dataValidation allowBlank="1" showErrorMessage="1" prompt="#N/Aは種目選択ミスです" sqref="P7:P116 U7:U116"/>
    <dataValidation imeMode="disabled" allowBlank="1" prompt="記録は半角英数字で_x000a_例_x000a_11秒11→11.11_x000a_1分50秒00→1.50.00_x000a_15m50→15m50_x000a__x000a_" sqref="Q6 O117:O65536 V6"/>
    <dataValidation type="list" allowBlank="1" showErrorMessage="1" prompt="種目を選択して下さい_x000a_" sqref="O7:O116">
      <formula1>IF(I7=1,$AP$8:$AP$12,$AP$15:$AP$19)</formula1>
    </dataValidation>
  </dataValidations>
  <printOptions horizontalCentered="1"/>
  <pageMargins left="0.52" right="0.2" top="0.98425196850393704" bottom="0.98425196850393704" header="0.51181102362204722" footer="0.51181102362204722"/>
  <pageSetup paperSize="9" scale="90" fitToHeight="2" orientation="portrait" verticalDpi="300" r:id="rId1"/>
  <headerFooter alignWithMargins="0">
    <oddHeader>&amp;L中学 申込&amp;R&amp;D　&amp;T</oddHeader>
    <oddFooter>&amp;L&amp;P&amp;R三重陸上競技協会</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23</vt:i4>
      </vt:variant>
    </vt:vector>
  </HeadingPairs>
  <TitlesOfParts>
    <vt:vector size="46" baseType="lpstr">
      <vt:lpstr>注意</vt:lpstr>
      <vt:lpstr>説明</vt:lpstr>
      <vt:lpstr>メニュー</vt:lpstr>
      <vt:lpstr>大会申込</vt:lpstr>
      <vt:lpstr>前年度登録</vt:lpstr>
      <vt:lpstr>名簿</vt:lpstr>
      <vt:lpstr>国体1次</vt:lpstr>
      <vt:lpstr>リレーカー二バル</vt:lpstr>
      <vt:lpstr>三重陸協記録会</vt:lpstr>
      <vt:lpstr>県選</vt:lpstr>
      <vt:lpstr>ジュニアO</vt:lpstr>
      <vt:lpstr>所属コード</vt:lpstr>
      <vt:lpstr>タスキリレー</vt:lpstr>
      <vt:lpstr>タスキリレーオーダー</vt:lpstr>
      <vt:lpstr>ロードレース</vt:lpstr>
      <vt:lpstr>振込票貼付用紙</vt:lpstr>
      <vt:lpstr>男子一覧表</vt:lpstr>
      <vt:lpstr>男子個票</vt:lpstr>
      <vt:lpstr>女子一覧表</vt:lpstr>
      <vt:lpstr>女子個票</vt:lpstr>
      <vt:lpstr>1</vt:lpstr>
      <vt:lpstr>男子種目コード</vt:lpstr>
      <vt:lpstr>女子種目コード</vt:lpstr>
      <vt:lpstr>ジュニアO!Print_Area</vt:lpstr>
      <vt:lpstr>タスキリレー!Print_Area</vt:lpstr>
      <vt:lpstr>リレーカー二バル!Print_Area</vt:lpstr>
      <vt:lpstr>ロードレース!Print_Area</vt:lpstr>
      <vt:lpstr>県選!Print_Area</vt:lpstr>
      <vt:lpstr>国体1次!Print_Area</vt:lpstr>
      <vt:lpstr>三重陸協記録会!Print_Area</vt:lpstr>
      <vt:lpstr>女子一覧表!Print_Area</vt:lpstr>
      <vt:lpstr>女子個票!Print_Area</vt:lpstr>
      <vt:lpstr>振込票貼付用紙!Print_Area</vt:lpstr>
      <vt:lpstr>説明!Print_Area</vt:lpstr>
      <vt:lpstr>前年度登録!Print_Area</vt:lpstr>
      <vt:lpstr>男子一覧表!Print_Area</vt:lpstr>
      <vt:lpstr>男子個票!Print_Area</vt:lpstr>
      <vt:lpstr>名簿!Print_Area</vt:lpstr>
      <vt:lpstr>ジュニアO!Print_Titles</vt:lpstr>
      <vt:lpstr>リレーカー二バル!Print_Titles</vt:lpstr>
      <vt:lpstr>ロードレース!Print_Titles</vt:lpstr>
      <vt:lpstr>県選!Print_Titles</vt:lpstr>
      <vt:lpstr>国体1次!Print_Titles</vt:lpstr>
      <vt:lpstr>三重陸協記録会!Print_Titles</vt:lpstr>
      <vt:lpstr>前年度登録!Print_Titles</vt:lpstr>
      <vt:lpstr>名簿!Print_Titles</vt:lpstr>
    </vt:vector>
  </TitlesOfParts>
  <Company>三重陸上競技協会</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2016中学大会申込Ver1.1</dc:title>
  <dc:creator>三重陸上競技協会情報部</dc:creator>
  <cp:lastModifiedBy>NANS21</cp:lastModifiedBy>
  <cp:lastPrinted>2013-11-30T07:45:53Z</cp:lastPrinted>
  <dcterms:created xsi:type="dcterms:W3CDTF">2003-01-04T11:51:22Z</dcterms:created>
  <dcterms:modified xsi:type="dcterms:W3CDTF">2018-05-07T10:45:31Z</dcterms:modified>
</cp:coreProperties>
</file>